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0" yWindow="1080" windowWidth="25600" windowHeight="14980" tabRatio="500"/>
  </bookViews>
  <sheets>
    <sheet name="Cheatsheet" sheetId="1" r:id="rId1"/>
    <sheet name="Draft Board" sheetId="2" r:id="rId2"/>
    <sheet name="Bank" sheetId="3" r:id="rId3"/>
    <sheet name="Settings" sheetId="4" r:id="rId4"/>
    <sheet name="Rosters" sheetId="5" r:id="rId5"/>
    <sheet name="Depth Charts" sheetId="6" r:id="rId6"/>
    <sheet name="VBD" sheetId="7" r:id="rId7"/>
    <sheet name="Charts" sheetId="8" r:id="rId8"/>
    <sheet name="QB" sheetId="9" r:id="rId9"/>
    <sheet name="RB" sheetId="10" r:id="rId10"/>
    <sheet name="WR" sheetId="11" r:id="rId11"/>
    <sheet name="TE" sheetId="12" r:id="rId12"/>
    <sheet name="K" sheetId="13" r:id="rId13"/>
    <sheet name="DST" sheetId="14" r:id="rId14"/>
    <sheet name="FFTodayData" sheetId="15" r:id="rId15"/>
    <sheet name="ESPNData" sheetId="16" r:id="rId16"/>
    <sheet name="SportslineData" sheetId="17" r:id="rId17"/>
    <sheet name="Taken" sheetId="18" r:id="rId1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89" i="18" l="1"/>
  <c r="G89" i="18"/>
  <c r="A4" i="11"/>
  <c r="B4" i="11"/>
  <c r="D4" i="11"/>
  <c r="E4" i="11"/>
  <c r="F4" i="11"/>
  <c r="G4" i="11"/>
  <c r="H4" i="11"/>
  <c r="T4" i="11"/>
  <c r="I4" i="11"/>
  <c r="J4" i="11"/>
  <c r="K4" i="11"/>
  <c r="L4" i="11"/>
  <c r="M4" i="11"/>
  <c r="U4" i="11"/>
  <c r="AD4" i="17"/>
  <c r="N4" i="11"/>
  <c r="O4" i="11"/>
  <c r="P4" i="11"/>
  <c r="Q4" i="11"/>
  <c r="V4" i="11"/>
  <c r="B23" i="4"/>
  <c r="W4" i="11"/>
  <c r="A5" i="11"/>
  <c r="B5" i="11"/>
  <c r="D5" i="11"/>
  <c r="E5" i="11"/>
  <c r="F5" i="11"/>
  <c r="G5" i="11"/>
  <c r="H5" i="11"/>
  <c r="T5" i="11"/>
  <c r="I5" i="11"/>
  <c r="J5" i="11"/>
  <c r="K5" i="11"/>
  <c r="L5" i="11"/>
  <c r="M5" i="11"/>
  <c r="U5" i="11"/>
  <c r="AD5" i="17"/>
  <c r="N5" i="11"/>
  <c r="O5" i="11"/>
  <c r="P5" i="11"/>
  <c r="Q5" i="11"/>
  <c r="V5" i="11"/>
  <c r="W5" i="11"/>
  <c r="A6" i="11"/>
  <c r="B6" i="11"/>
  <c r="D6" i="11"/>
  <c r="E6" i="11"/>
  <c r="F6" i="11"/>
  <c r="G6" i="11"/>
  <c r="H6" i="11"/>
  <c r="T6" i="11"/>
  <c r="I6" i="11"/>
  <c r="J6" i="11"/>
  <c r="K6" i="11"/>
  <c r="L6" i="11"/>
  <c r="M6" i="11"/>
  <c r="U6" i="11"/>
  <c r="AD6" i="17"/>
  <c r="AD7" i="17"/>
  <c r="AD8" i="17"/>
  <c r="N6" i="11"/>
  <c r="O6" i="11"/>
  <c r="P6" i="11"/>
  <c r="Q6" i="11"/>
  <c r="V6" i="11"/>
  <c r="W6" i="11"/>
  <c r="A7" i="11"/>
  <c r="B7" i="11"/>
  <c r="D7" i="11"/>
  <c r="E7" i="11"/>
  <c r="F7" i="11"/>
  <c r="G7" i="11"/>
  <c r="H7" i="11"/>
  <c r="T7" i="11"/>
  <c r="I7" i="11"/>
  <c r="J7" i="11"/>
  <c r="K7" i="11"/>
  <c r="L7" i="11"/>
  <c r="M7" i="11"/>
  <c r="U7" i="11"/>
  <c r="N7" i="11"/>
  <c r="O7" i="11"/>
  <c r="P7" i="11"/>
  <c r="Q7" i="11"/>
  <c r="V7" i="11"/>
  <c r="W7" i="11"/>
  <c r="A8" i="11"/>
  <c r="B8" i="11"/>
  <c r="D8" i="11"/>
  <c r="E8" i="11"/>
  <c r="F8" i="11"/>
  <c r="G8" i="11"/>
  <c r="H8" i="11"/>
  <c r="T8" i="11"/>
  <c r="I8" i="11"/>
  <c r="J8" i="11"/>
  <c r="K8" i="11"/>
  <c r="L8" i="11"/>
  <c r="M8" i="11"/>
  <c r="U8" i="11"/>
  <c r="AD9" i="17"/>
  <c r="N8" i="11"/>
  <c r="O8" i="11"/>
  <c r="P8" i="11"/>
  <c r="Q8" i="11"/>
  <c r="V8" i="11"/>
  <c r="W8" i="11"/>
  <c r="A9" i="11"/>
  <c r="B9" i="11"/>
  <c r="D9" i="11"/>
  <c r="E9" i="11"/>
  <c r="F9" i="11"/>
  <c r="G9" i="11"/>
  <c r="H9" i="11"/>
  <c r="T9" i="11"/>
  <c r="I9" i="11"/>
  <c r="J9" i="11"/>
  <c r="K9" i="11"/>
  <c r="L9" i="11"/>
  <c r="M9" i="11"/>
  <c r="U9" i="11"/>
  <c r="N9" i="11"/>
  <c r="O9" i="11"/>
  <c r="P9" i="11"/>
  <c r="Q9" i="11"/>
  <c r="V9" i="11"/>
  <c r="W9" i="11"/>
  <c r="A10" i="11"/>
  <c r="B10" i="11"/>
  <c r="D10" i="11"/>
  <c r="E10" i="11"/>
  <c r="F10" i="11"/>
  <c r="G10" i="11"/>
  <c r="H10" i="11"/>
  <c r="T10" i="11"/>
  <c r="I10" i="11"/>
  <c r="J10" i="11"/>
  <c r="K10" i="11"/>
  <c r="L10" i="11"/>
  <c r="M10" i="11"/>
  <c r="U10" i="11"/>
  <c r="AD10" i="17"/>
  <c r="N10" i="11"/>
  <c r="O10" i="11"/>
  <c r="P10" i="11"/>
  <c r="Q10" i="11"/>
  <c r="V10" i="11"/>
  <c r="W10" i="11"/>
  <c r="A11" i="11"/>
  <c r="B11" i="11"/>
  <c r="D11" i="11"/>
  <c r="E11" i="11"/>
  <c r="F11" i="11"/>
  <c r="G11" i="11"/>
  <c r="H11" i="11"/>
  <c r="T11" i="11"/>
  <c r="I11" i="11"/>
  <c r="J11" i="11"/>
  <c r="K11" i="11"/>
  <c r="L11" i="11"/>
  <c r="M11" i="11"/>
  <c r="U11" i="11"/>
  <c r="AD11" i="17"/>
  <c r="AD12" i="17"/>
  <c r="N11" i="11"/>
  <c r="O11" i="11"/>
  <c r="P11" i="11"/>
  <c r="Q11" i="11"/>
  <c r="V11" i="11"/>
  <c r="W11" i="11"/>
  <c r="A12" i="11"/>
  <c r="B12" i="11"/>
  <c r="D12" i="11"/>
  <c r="E12" i="11"/>
  <c r="F12" i="11"/>
  <c r="G12" i="11"/>
  <c r="H12" i="11"/>
  <c r="T12" i="11"/>
  <c r="I12" i="11"/>
  <c r="J12" i="11"/>
  <c r="K12" i="11"/>
  <c r="L12" i="11"/>
  <c r="M12" i="11"/>
  <c r="U12" i="11"/>
  <c r="N12" i="11"/>
  <c r="O12" i="11"/>
  <c r="P12" i="11"/>
  <c r="Q12" i="11"/>
  <c r="V12" i="11"/>
  <c r="W12" i="11"/>
  <c r="A13" i="11"/>
  <c r="B13" i="11"/>
  <c r="D13" i="11"/>
  <c r="E13" i="11"/>
  <c r="F13" i="11"/>
  <c r="G13" i="11"/>
  <c r="H13" i="11"/>
  <c r="T13" i="11"/>
  <c r="I13" i="11"/>
  <c r="J13" i="11"/>
  <c r="K13" i="11"/>
  <c r="L13" i="11"/>
  <c r="M13" i="11"/>
  <c r="U13" i="11"/>
  <c r="AD13" i="17"/>
  <c r="N13" i="11"/>
  <c r="O13" i="11"/>
  <c r="P13" i="11"/>
  <c r="Q13" i="11"/>
  <c r="V13" i="11"/>
  <c r="W13" i="11"/>
  <c r="A14" i="11"/>
  <c r="B14" i="11"/>
  <c r="D14" i="11"/>
  <c r="E14" i="11"/>
  <c r="F14" i="11"/>
  <c r="G14" i="11"/>
  <c r="H14" i="11"/>
  <c r="T14" i="11"/>
  <c r="I14" i="11"/>
  <c r="J14" i="11"/>
  <c r="K14" i="11"/>
  <c r="L14" i="11"/>
  <c r="M14" i="11"/>
  <c r="U14" i="11"/>
  <c r="AD14" i="17"/>
  <c r="AD15" i="17"/>
  <c r="AD16" i="17"/>
  <c r="AD17" i="17"/>
  <c r="N14" i="11"/>
  <c r="O14" i="11"/>
  <c r="P14" i="11"/>
  <c r="Q14" i="11"/>
  <c r="V14" i="11"/>
  <c r="W14" i="11"/>
  <c r="A15" i="11"/>
  <c r="B15" i="11"/>
  <c r="D15" i="11"/>
  <c r="E15" i="11"/>
  <c r="F15" i="11"/>
  <c r="G15" i="11"/>
  <c r="H15" i="11"/>
  <c r="T15" i="11"/>
  <c r="I15" i="11"/>
  <c r="J15" i="11"/>
  <c r="K15" i="11"/>
  <c r="L15" i="11"/>
  <c r="M15" i="11"/>
  <c r="U15" i="11"/>
  <c r="N15" i="11"/>
  <c r="O15" i="11"/>
  <c r="P15" i="11"/>
  <c r="Q15" i="11"/>
  <c r="V15" i="11"/>
  <c r="W15" i="11"/>
  <c r="A16" i="11"/>
  <c r="B16" i="11"/>
  <c r="D16" i="11"/>
  <c r="E16" i="11"/>
  <c r="F16" i="11"/>
  <c r="G16" i="11"/>
  <c r="H16" i="11"/>
  <c r="T16" i="11"/>
  <c r="I16" i="11"/>
  <c r="J16" i="11"/>
  <c r="K16" i="11"/>
  <c r="L16" i="11"/>
  <c r="M16" i="11"/>
  <c r="U16" i="11"/>
  <c r="N16" i="11"/>
  <c r="O16" i="11"/>
  <c r="P16" i="11"/>
  <c r="Q16" i="11"/>
  <c r="V16" i="11"/>
  <c r="W16" i="11"/>
  <c r="A17" i="11"/>
  <c r="B17" i="11"/>
  <c r="D17" i="11"/>
  <c r="E17" i="11"/>
  <c r="F17" i="11"/>
  <c r="G17" i="11"/>
  <c r="H17" i="11"/>
  <c r="T17" i="11"/>
  <c r="I17" i="11"/>
  <c r="J17" i="11"/>
  <c r="K17" i="11"/>
  <c r="L17" i="11"/>
  <c r="M17" i="11"/>
  <c r="U17" i="11"/>
  <c r="AD18" i="17"/>
  <c r="N17" i="11"/>
  <c r="O17" i="11"/>
  <c r="P17" i="11"/>
  <c r="Q17" i="11"/>
  <c r="V17" i="11"/>
  <c r="W17" i="11"/>
  <c r="A18" i="11"/>
  <c r="B18" i="11"/>
  <c r="D18" i="11"/>
  <c r="E18" i="11"/>
  <c r="F18" i="11"/>
  <c r="G18" i="11"/>
  <c r="H18" i="11"/>
  <c r="T18" i="11"/>
  <c r="I18" i="11"/>
  <c r="J18" i="11"/>
  <c r="K18" i="11"/>
  <c r="L18" i="11"/>
  <c r="M18" i="11"/>
  <c r="U18" i="11"/>
  <c r="AD19" i="17"/>
  <c r="N18" i="11"/>
  <c r="O18" i="11"/>
  <c r="P18" i="11"/>
  <c r="Q18" i="11"/>
  <c r="V18" i="11"/>
  <c r="W18" i="11"/>
  <c r="A19" i="11"/>
  <c r="B19" i="11"/>
  <c r="D19" i="11"/>
  <c r="E19" i="11"/>
  <c r="F19" i="11"/>
  <c r="G19" i="11"/>
  <c r="H19" i="11"/>
  <c r="T19" i="11"/>
  <c r="I19" i="11"/>
  <c r="J19" i="11"/>
  <c r="K19" i="11"/>
  <c r="L19" i="11"/>
  <c r="M19" i="11"/>
  <c r="U19" i="11"/>
  <c r="AD20" i="17"/>
  <c r="AD21" i="17"/>
  <c r="AD22" i="17"/>
  <c r="AD23" i="17"/>
  <c r="AD24" i="17"/>
  <c r="AD25" i="17"/>
  <c r="AD26" i="17"/>
  <c r="AD27" i="17"/>
  <c r="AD28" i="17"/>
  <c r="AD29" i="17"/>
  <c r="AD30" i="17"/>
  <c r="AD31" i="17"/>
  <c r="AD32" i="17"/>
  <c r="AD33" i="17"/>
  <c r="AD34" i="17"/>
  <c r="AD35" i="17"/>
  <c r="AD36" i="17"/>
  <c r="AD37" i="17"/>
  <c r="AD38" i="17"/>
  <c r="AD39" i="17"/>
  <c r="AD40" i="17"/>
  <c r="AD41" i="17"/>
  <c r="AD42" i="17"/>
  <c r="AD43" i="17"/>
  <c r="AD44" i="17"/>
  <c r="AD45" i="17"/>
  <c r="AD46" i="17"/>
  <c r="AD47" i="17"/>
  <c r="AD48" i="17"/>
  <c r="AD49" i="17"/>
  <c r="AD50" i="17"/>
  <c r="AD51" i="17"/>
  <c r="AD52" i="17"/>
  <c r="AD53" i="17"/>
  <c r="AD54" i="17"/>
  <c r="AD55" i="17"/>
  <c r="AD56" i="17"/>
  <c r="AD57" i="17"/>
  <c r="AD58" i="17"/>
  <c r="AD59" i="17"/>
  <c r="AD60" i="17"/>
  <c r="AD61" i="17"/>
  <c r="AD62" i="17"/>
  <c r="AD63" i="17"/>
  <c r="AD64" i="17"/>
  <c r="AD65" i="17"/>
  <c r="AD66" i="17"/>
  <c r="AD67" i="17"/>
  <c r="AD68" i="17"/>
  <c r="AD69" i="17"/>
  <c r="AD70" i="17"/>
  <c r="AD71" i="17"/>
  <c r="AD72" i="17"/>
  <c r="AD73" i="17"/>
  <c r="AD74" i="17"/>
  <c r="AD75" i="17"/>
  <c r="AD76" i="17"/>
  <c r="AD77" i="17"/>
  <c r="AD78" i="17"/>
  <c r="AD79" i="17"/>
  <c r="AD80" i="17"/>
  <c r="AD81" i="17"/>
  <c r="AD82" i="17"/>
  <c r="AD83" i="17"/>
  <c r="AD84" i="17"/>
  <c r="AD85" i="17"/>
  <c r="AD86" i="17"/>
  <c r="AD87" i="17"/>
  <c r="AD88" i="17"/>
  <c r="AD89" i="17"/>
  <c r="AD90" i="17"/>
  <c r="AD91" i="17"/>
  <c r="AD92" i="17"/>
  <c r="AD93" i="17"/>
  <c r="AD94" i="17"/>
  <c r="AD95" i="17"/>
  <c r="AD96" i="17"/>
  <c r="AD97" i="17"/>
  <c r="AD98" i="17"/>
  <c r="AD99" i="17"/>
  <c r="AD100" i="17"/>
  <c r="AD101" i="17"/>
  <c r="AD102" i="17"/>
  <c r="AD103" i="17"/>
  <c r="AD104" i="17"/>
  <c r="AD105" i="17"/>
  <c r="AD106" i="17"/>
  <c r="AD107" i="17"/>
  <c r="AD108" i="17"/>
  <c r="AD109" i="17"/>
  <c r="AD110" i="17"/>
  <c r="AD111" i="17"/>
  <c r="AD112" i="17"/>
  <c r="AD113" i="17"/>
  <c r="AD114" i="17"/>
  <c r="AD115" i="17"/>
  <c r="AD116" i="17"/>
  <c r="AD117" i="17"/>
  <c r="AD118" i="17"/>
  <c r="AD119" i="17"/>
  <c r="AD120" i="17"/>
  <c r="AD121" i="17"/>
  <c r="AD122" i="17"/>
  <c r="AD123" i="17"/>
  <c r="AD124" i="17"/>
  <c r="AD125" i="17"/>
  <c r="AD126" i="17"/>
  <c r="AD127" i="17"/>
  <c r="AD128" i="17"/>
  <c r="AD129" i="17"/>
  <c r="AD130" i="17"/>
  <c r="AD131" i="17"/>
  <c r="AD132" i="17"/>
  <c r="AD133" i="17"/>
  <c r="AD134" i="17"/>
  <c r="AD135" i="17"/>
  <c r="AD136" i="17"/>
  <c r="AD137" i="17"/>
  <c r="AD138" i="17"/>
  <c r="AD139" i="17"/>
  <c r="AD140" i="17"/>
  <c r="AD141" i="17"/>
  <c r="AD142" i="17"/>
  <c r="AD143" i="17"/>
  <c r="AD144" i="17"/>
  <c r="AD145" i="17"/>
  <c r="AD146" i="17"/>
  <c r="AD147" i="17"/>
  <c r="AD148" i="17"/>
  <c r="AD149" i="17"/>
  <c r="AD150" i="17"/>
  <c r="AD151" i="17"/>
  <c r="AD152" i="17"/>
  <c r="AD153" i="17"/>
  <c r="AD154" i="17"/>
  <c r="AD155" i="17"/>
  <c r="AD156" i="17"/>
  <c r="AD157" i="17"/>
  <c r="AD158" i="17"/>
  <c r="AD159" i="17"/>
  <c r="AD160" i="17"/>
  <c r="AD161" i="17"/>
  <c r="AD162" i="17"/>
  <c r="AD163" i="17"/>
  <c r="AD164" i="17"/>
  <c r="AD165" i="17"/>
  <c r="AD166" i="17"/>
  <c r="AD167" i="17"/>
  <c r="AD168" i="17"/>
  <c r="AD169" i="17"/>
  <c r="AD170" i="17"/>
  <c r="AD171" i="17"/>
  <c r="AD172" i="17"/>
  <c r="AD173" i="17"/>
  <c r="AD174" i="17"/>
  <c r="AD175" i="17"/>
  <c r="AD176" i="17"/>
  <c r="AD177" i="17"/>
  <c r="AD178" i="17"/>
  <c r="AD179" i="17"/>
  <c r="AD180" i="17"/>
  <c r="AD181" i="17"/>
  <c r="AD182" i="17"/>
  <c r="AD183" i="17"/>
  <c r="AD184" i="17"/>
  <c r="AD185" i="17"/>
  <c r="AD186" i="17"/>
  <c r="AD187" i="17"/>
  <c r="AD188" i="17"/>
  <c r="AD189" i="17"/>
  <c r="AD190" i="17"/>
  <c r="AD191" i="17"/>
  <c r="AD192" i="17"/>
  <c r="AD193" i="17"/>
  <c r="AD194" i="17"/>
  <c r="AD195" i="17"/>
  <c r="AD196" i="17"/>
  <c r="AD197" i="17"/>
  <c r="AD198" i="17"/>
  <c r="AD199" i="17"/>
  <c r="AD200" i="17"/>
  <c r="AD201" i="17"/>
  <c r="AD202" i="17"/>
  <c r="AD203" i="17"/>
  <c r="AD204" i="17"/>
  <c r="AD205" i="17"/>
  <c r="AD206" i="17"/>
  <c r="AD207" i="17"/>
  <c r="AD208" i="17"/>
  <c r="AD209" i="17"/>
  <c r="AD210" i="17"/>
  <c r="AD211" i="17"/>
  <c r="N19" i="11"/>
  <c r="O19" i="11"/>
  <c r="P19" i="11"/>
  <c r="Q19" i="11"/>
  <c r="V19" i="11"/>
  <c r="W19" i="11"/>
  <c r="A20" i="11"/>
  <c r="B20" i="11"/>
  <c r="D20" i="11"/>
  <c r="E20" i="11"/>
  <c r="F20" i="11"/>
  <c r="G20" i="11"/>
  <c r="H20" i="11"/>
  <c r="T20" i="11"/>
  <c r="I20" i="11"/>
  <c r="J20" i="11"/>
  <c r="K20" i="11"/>
  <c r="L20" i="11"/>
  <c r="M20" i="11"/>
  <c r="U20" i="11"/>
  <c r="N20" i="11"/>
  <c r="O20" i="11"/>
  <c r="P20" i="11"/>
  <c r="Q20" i="11"/>
  <c r="V20" i="11"/>
  <c r="W20" i="11"/>
  <c r="A21" i="11"/>
  <c r="B21" i="11"/>
  <c r="D21" i="11"/>
  <c r="E21" i="11"/>
  <c r="F21" i="11"/>
  <c r="G21" i="11"/>
  <c r="H21" i="11"/>
  <c r="T21" i="11"/>
  <c r="I21" i="11"/>
  <c r="J21" i="11"/>
  <c r="K21" i="11"/>
  <c r="L21" i="11"/>
  <c r="M21" i="11"/>
  <c r="U21" i="11"/>
  <c r="N21" i="11"/>
  <c r="O21" i="11"/>
  <c r="P21" i="11"/>
  <c r="Q21" i="11"/>
  <c r="V21" i="11"/>
  <c r="W21" i="11"/>
  <c r="A22" i="11"/>
  <c r="B22" i="11"/>
  <c r="D22" i="11"/>
  <c r="E22" i="11"/>
  <c r="F22" i="11"/>
  <c r="G22" i="11"/>
  <c r="H22" i="11"/>
  <c r="T22" i="11"/>
  <c r="I22" i="11"/>
  <c r="J22" i="11"/>
  <c r="K22" i="11"/>
  <c r="L22" i="11"/>
  <c r="M22" i="11"/>
  <c r="U22" i="11"/>
  <c r="N22" i="11"/>
  <c r="O22" i="11"/>
  <c r="P22" i="11"/>
  <c r="Q22" i="11"/>
  <c r="V22" i="11"/>
  <c r="W22" i="11"/>
  <c r="A23" i="11"/>
  <c r="B23" i="11"/>
  <c r="D23" i="11"/>
  <c r="E23" i="11"/>
  <c r="F23" i="11"/>
  <c r="G23" i="11"/>
  <c r="H23" i="11"/>
  <c r="T23" i="11"/>
  <c r="I23" i="11"/>
  <c r="J23" i="11"/>
  <c r="K23" i="11"/>
  <c r="L23" i="11"/>
  <c r="M23" i="11"/>
  <c r="U23" i="11"/>
  <c r="N23" i="11"/>
  <c r="O23" i="11"/>
  <c r="P23" i="11"/>
  <c r="Q23" i="11"/>
  <c r="V23" i="11"/>
  <c r="W23" i="11"/>
  <c r="A24" i="11"/>
  <c r="B24" i="11"/>
  <c r="D24" i="11"/>
  <c r="E24" i="11"/>
  <c r="F24" i="11"/>
  <c r="G24" i="11"/>
  <c r="H24" i="11"/>
  <c r="T24" i="11"/>
  <c r="I24" i="11"/>
  <c r="J24" i="11"/>
  <c r="K24" i="11"/>
  <c r="L24" i="11"/>
  <c r="M24" i="11"/>
  <c r="U24" i="11"/>
  <c r="N24" i="11"/>
  <c r="O24" i="11"/>
  <c r="P24" i="11"/>
  <c r="Q24" i="11"/>
  <c r="V24" i="11"/>
  <c r="W24" i="11"/>
  <c r="A25" i="11"/>
  <c r="B25" i="11"/>
  <c r="D25" i="11"/>
  <c r="E25" i="11"/>
  <c r="F25" i="11"/>
  <c r="G25" i="11"/>
  <c r="H25" i="11"/>
  <c r="T25" i="11"/>
  <c r="I25" i="11"/>
  <c r="J25" i="11"/>
  <c r="K25" i="11"/>
  <c r="L25" i="11"/>
  <c r="M25" i="11"/>
  <c r="U25" i="11"/>
  <c r="N25" i="11"/>
  <c r="O25" i="11"/>
  <c r="P25" i="11"/>
  <c r="Q25" i="11"/>
  <c r="V25" i="11"/>
  <c r="W25" i="11"/>
  <c r="A26" i="11"/>
  <c r="B26" i="11"/>
  <c r="D26" i="11"/>
  <c r="E26" i="11"/>
  <c r="F26" i="11"/>
  <c r="G26" i="11"/>
  <c r="H26" i="11"/>
  <c r="T26" i="11"/>
  <c r="I26" i="11"/>
  <c r="J26" i="11"/>
  <c r="K26" i="11"/>
  <c r="L26" i="11"/>
  <c r="M26" i="11"/>
  <c r="U26" i="11"/>
  <c r="N26" i="11"/>
  <c r="O26" i="11"/>
  <c r="P26" i="11"/>
  <c r="Q26" i="11"/>
  <c r="V26" i="11"/>
  <c r="W26" i="11"/>
  <c r="A27" i="11"/>
  <c r="B27" i="11"/>
  <c r="D27" i="11"/>
  <c r="E27" i="11"/>
  <c r="F27" i="11"/>
  <c r="G27" i="11"/>
  <c r="H27" i="11"/>
  <c r="T27" i="11"/>
  <c r="I27" i="11"/>
  <c r="J27" i="11"/>
  <c r="K27" i="11"/>
  <c r="L27" i="11"/>
  <c r="M27" i="11"/>
  <c r="U27" i="11"/>
  <c r="N27" i="11"/>
  <c r="O27" i="11"/>
  <c r="P27" i="11"/>
  <c r="Q27" i="11"/>
  <c r="V27" i="11"/>
  <c r="W27" i="11"/>
  <c r="A28" i="11"/>
  <c r="B28" i="11"/>
  <c r="D28" i="11"/>
  <c r="E28" i="11"/>
  <c r="F28" i="11"/>
  <c r="G28" i="11"/>
  <c r="H28" i="11"/>
  <c r="T28" i="11"/>
  <c r="I28" i="11"/>
  <c r="J28" i="11"/>
  <c r="K28" i="11"/>
  <c r="L28" i="11"/>
  <c r="M28" i="11"/>
  <c r="U28" i="11"/>
  <c r="N28" i="11"/>
  <c r="O28" i="11"/>
  <c r="P28" i="11"/>
  <c r="Q28" i="11"/>
  <c r="V28" i="11"/>
  <c r="W28" i="11"/>
  <c r="A29" i="11"/>
  <c r="B29" i="11"/>
  <c r="D29" i="11"/>
  <c r="E29" i="11"/>
  <c r="F29" i="11"/>
  <c r="G29" i="11"/>
  <c r="H29" i="11"/>
  <c r="T29" i="11"/>
  <c r="I29" i="11"/>
  <c r="J29" i="11"/>
  <c r="K29" i="11"/>
  <c r="L29" i="11"/>
  <c r="M29" i="11"/>
  <c r="U29" i="11"/>
  <c r="N29" i="11"/>
  <c r="O29" i="11"/>
  <c r="P29" i="11"/>
  <c r="Q29" i="11"/>
  <c r="V29" i="11"/>
  <c r="W29" i="11"/>
  <c r="A30" i="11"/>
  <c r="B30" i="11"/>
  <c r="D30" i="11"/>
  <c r="E30" i="11"/>
  <c r="F30" i="11"/>
  <c r="G30" i="11"/>
  <c r="H30" i="11"/>
  <c r="T30" i="11"/>
  <c r="I30" i="11"/>
  <c r="J30" i="11"/>
  <c r="K30" i="11"/>
  <c r="L30" i="11"/>
  <c r="M30" i="11"/>
  <c r="U30" i="11"/>
  <c r="N30" i="11"/>
  <c r="O30" i="11"/>
  <c r="P30" i="11"/>
  <c r="Q30" i="11"/>
  <c r="V30" i="11"/>
  <c r="W30" i="11"/>
  <c r="A31" i="11"/>
  <c r="B31" i="11"/>
  <c r="D31" i="11"/>
  <c r="E31" i="11"/>
  <c r="F31" i="11"/>
  <c r="G31" i="11"/>
  <c r="H31" i="11"/>
  <c r="T31" i="11"/>
  <c r="I31" i="11"/>
  <c r="J31" i="11"/>
  <c r="K31" i="11"/>
  <c r="L31" i="11"/>
  <c r="M31" i="11"/>
  <c r="U31" i="11"/>
  <c r="N31" i="11"/>
  <c r="O31" i="11"/>
  <c r="P31" i="11"/>
  <c r="Q31" i="11"/>
  <c r="V31" i="11"/>
  <c r="W31" i="11"/>
  <c r="A32" i="11"/>
  <c r="B32" i="11"/>
  <c r="D32" i="11"/>
  <c r="E32" i="11"/>
  <c r="F32" i="11"/>
  <c r="G32" i="11"/>
  <c r="H32" i="11"/>
  <c r="T32" i="11"/>
  <c r="I32" i="11"/>
  <c r="J32" i="11"/>
  <c r="K32" i="11"/>
  <c r="L32" i="11"/>
  <c r="M32" i="11"/>
  <c r="U32" i="11"/>
  <c r="N32" i="11"/>
  <c r="O32" i="11"/>
  <c r="P32" i="11"/>
  <c r="Q32" i="11"/>
  <c r="V32" i="11"/>
  <c r="W32" i="11"/>
  <c r="A33" i="11"/>
  <c r="B33" i="11"/>
  <c r="D33" i="11"/>
  <c r="E33" i="11"/>
  <c r="F33" i="11"/>
  <c r="G33" i="11"/>
  <c r="H33" i="11"/>
  <c r="T33" i="11"/>
  <c r="I33" i="11"/>
  <c r="J33" i="11"/>
  <c r="K33" i="11"/>
  <c r="L33" i="11"/>
  <c r="M33" i="11"/>
  <c r="U33" i="11"/>
  <c r="N33" i="11"/>
  <c r="O33" i="11"/>
  <c r="P33" i="11"/>
  <c r="Q33" i="11"/>
  <c r="V33" i="11"/>
  <c r="W33" i="11"/>
  <c r="A34" i="11"/>
  <c r="B34" i="11"/>
  <c r="D34" i="11"/>
  <c r="E34" i="11"/>
  <c r="F34" i="11"/>
  <c r="G34" i="11"/>
  <c r="H34" i="11"/>
  <c r="T34" i="11"/>
  <c r="I34" i="11"/>
  <c r="J34" i="11"/>
  <c r="K34" i="11"/>
  <c r="L34" i="11"/>
  <c r="M34" i="11"/>
  <c r="U34" i="11"/>
  <c r="N34" i="11"/>
  <c r="O34" i="11"/>
  <c r="P34" i="11"/>
  <c r="Q34" i="11"/>
  <c r="V34" i="11"/>
  <c r="W34" i="11"/>
  <c r="A35" i="11"/>
  <c r="B35" i="11"/>
  <c r="D35" i="11"/>
  <c r="E35" i="11"/>
  <c r="F35" i="11"/>
  <c r="G35" i="11"/>
  <c r="H35" i="11"/>
  <c r="T35" i="11"/>
  <c r="I35" i="11"/>
  <c r="J35" i="11"/>
  <c r="K35" i="11"/>
  <c r="L35" i="11"/>
  <c r="M35" i="11"/>
  <c r="U35" i="11"/>
  <c r="N35" i="11"/>
  <c r="O35" i="11"/>
  <c r="P35" i="11"/>
  <c r="Q35" i="11"/>
  <c r="V35" i="11"/>
  <c r="W35" i="11"/>
  <c r="A36" i="11"/>
  <c r="B36" i="11"/>
  <c r="D36" i="11"/>
  <c r="E36" i="11"/>
  <c r="F36" i="11"/>
  <c r="G36" i="11"/>
  <c r="H36" i="11"/>
  <c r="T36" i="11"/>
  <c r="I36" i="11"/>
  <c r="J36" i="11"/>
  <c r="K36" i="11"/>
  <c r="L36" i="11"/>
  <c r="M36" i="11"/>
  <c r="U36" i="11"/>
  <c r="N36" i="11"/>
  <c r="O36" i="11"/>
  <c r="P36" i="11"/>
  <c r="Q36" i="11"/>
  <c r="V36" i="11"/>
  <c r="W36" i="11"/>
  <c r="A37" i="11"/>
  <c r="B37" i="11"/>
  <c r="D37" i="11"/>
  <c r="E37" i="11"/>
  <c r="F37" i="11"/>
  <c r="G37" i="11"/>
  <c r="H37" i="11"/>
  <c r="T37" i="11"/>
  <c r="I37" i="11"/>
  <c r="J37" i="11"/>
  <c r="K37" i="11"/>
  <c r="L37" i="11"/>
  <c r="M37" i="11"/>
  <c r="U37" i="11"/>
  <c r="N37" i="11"/>
  <c r="O37" i="11"/>
  <c r="P37" i="11"/>
  <c r="Q37" i="11"/>
  <c r="V37" i="11"/>
  <c r="W37" i="11"/>
  <c r="A38" i="11"/>
  <c r="B38" i="11"/>
  <c r="D38" i="11"/>
  <c r="E38" i="11"/>
  <c r="F38" i="11"/>
  <c r="G38" i="11"/>
  <c r="H38" i="11"/>
  <c r="T38" i="11"/>
  <c r="I38" i="11"/>
  <c r="J38" i="11"/>
  <c r="K38" i="11"/>
  <c r="L38" i="11"/>
  <c r="M38" i="11"/>
  <c r="U38" i="11"/>
  <c r="N38" i="11"/>
  <c r="O38" i="11"/>
  <c r="P38" i="11"/>
  <c r="Q38" i="11"/>
  <c r="V38" i="11"/>
  <c r="W38" i="11"/>
  <c r="A39" i="11"/>
  <c r="B39" i="11"/>
  <c r="D39" i="11"/>
  <c r="E39" i="11"/>
  <c r="F39" i="11"/>
  <c r="G39" i="11"/>
  <c r="H39" i="11"/>
  <c r="T39" i="11"/>
  <c r="I39" i="11"/>
  <c r="J39" i="11"/>
  <c r="K39" i="11"/>
  <c r="L39" i="11"/>
  <c r="M39" i="11"/>
  <c r="U39" i="11"/>
  <c r="N39" i="11"/>
  <c r="O39" i="11"/>
  <c r="P39" i="11"/>
  <c r="Q39" i="11"/>
  <c r="V39" i="11"/>
  <c r="W39" i="11"/>
  <c r="A40" i="11"/>
  <c r="B40" i="11"/>
  <c r="D40" i="11"/>
  <c r="E40" i="11"/>
  <c r="F40" i="11"/>
  <c r="G40" i="11"/>
  <c r="H40" i="11"/>
  <c r="T40" i="11"/>
  <c r="I40" i="11"/>
  <c r="J40" i="11"/>
  <c r="K40" i="11"/>
  <c r="L40" i="11"/>
  <c r="M40" i="11"/>
  <c r="U40" i="11"/>
  <c r="N40" i="11"/>
  <c r="O40" i="11"/>
  <c r="P40" i="11"/>
  <c r="Q40" i="11"/>
  <c r="V40" i="11"/>
  <c r="W40" i="11"/>
  <c r="A41" i="11"/>
  <c r="B41" i="11"/>
  <c r="D41" i="11"/>
  <c r="E41" i="11"/>
  <c r="F41" i="11"/>
  <c r="G41" i="11"/>
  <c r="H41" i="11"/>
  <c r="T41" i="11"/>
  <c r="I41" i="11"/>
  <c r="J41" i="11"/>
  <c r="K41" i="11"/>
  <c r="L41" i="11"/>
  <c r="M41" i="11"/>
  <c r="U41" i="11"/>
  <c r="N41" i="11"/>
  <c r="O41" i="11"/>
  <c r="P41" i="11"/>
  <c r="Q41" i="11"/>
  <c r="V41" i="11"/>
  <c r="W41" i="11"/>
  <c r="A42" i="11"/>
  <c r="B42" i="11"/>
  <c r="D42" i="11"/>
  <c r="E42" i="11"/>
  <c r="F42" i="11"/>
  <c r="G42" i="11"/>
  <c r="H42" i="11"/>
  <c r="T42" i="11"/>
  <c r="I42" i="11"/>
  <c r="J42" i="11"/>
  <c r="K42" i="11"/>
  <c r="L42" i="11"/>
  <c r="M42" i="11"/>
  <c r="U42" i="11"/>
  <c r="N42" i="11"/>
  <c r="O42" i="11"/>
  <c r="P42" i="11"/>
  <c r="Q42" i="11"/>
  <c r="V42" i="11"/>
  <c r="W42" i="11"/>
  <c r="A43" i="11"/>
  <c r="B43" i="11"/>
  <c r="D43" i="11"/>
  <c r="E43" i="11"/>
  <c r="F43" i="11"/>
  <c r="G43" i="11"/>
  <c r="H43" i="11"/>
  <c r="T43" i="11"/>
  <c r="I43" i="11"/>
  <c r="J43" i="11"/>
  <c r="K43" i="11"/>
  <c r="L43" i="11"/>
  <c r="M43" i="11"/>
  <c r="U43" i="11"/>
  <c r="N43" i="11"/>
  <c r="O43" i="11"/>
  <c r="P43" i="11"/>
  <c r="Q43" i="11"/>
  <c r="V43" i="11"/>
  <c r="W43" i="11"/>
  <c r="A44" i="11"/>
  <c r="B44" i="11"/>
  <c r="D44" i="11"/>
  <c r="E44" i="11"/>
  <c r="F44" i="11"/>
  <c r="G44" i="11"/>
  <c r="H44" i="11"/>
  <c r="T44" i="11"/>
  <c r="I44" i="11"/>
  <c r="J44" i="11"/>
  <c r="K44" i="11"/>
  <c r="L44" i="11"/>
  <c r="M44" i="11"/>
  <c r="U44" i="11"/>
  <c r="N44" i="11"/>
  <c r="O44" i="11"/>
  <c r="P44" i="11"/>
  <c r="Q44" i="11"/>
  <c r="V44" i="11"/>
  <c r="W44" i="11"/>
  <c r="A45" i="11"/>
  <c r="B45" i="11"/>
  <c r="D45" i="11"/>
  <c r="E45" i="11"/>
  <c r="F45" i="11"/>
  <c r="G45" i="11"/>
  <c r="H45" i="11"/>
  <c r="T45" i="11"/>
  <c r="I45" i="11"/>
  <c r="J45" i="11"/>
  <c r="K45" i="11"/>
  <c r="L45" i="11"/>
  <c r="M45" i="11"/>
  <c r="U45" i="11"/>
  <c r="N45" i="11"/>
  <c r="O45" i="11"/>
  <c r="P45" i="11"/>
  <c r="Q45" i="11"/>
  <c r="V45" i="11"/>
  <c r="W45" i="11"/>
  <c r="A46" i="11"/>
  <c r="B46" i="11"/>
  <c r="D46" i="11"/>
  <c r="E46" i="11"/>
  <c r="F46" i="11"/>
  <c r="G46" i="11"/>
  <c r="H46" i="11"/>
  <c r="T46" i="11"/>
  <c r="I46" i="11"/>
  <c r="J46" i="11"/>
  <c r="K46" i="11"/>
  <c r="L46" i="11"/>
  <c r="M46" i="11"/>
  <c r="U46" i="11"/>
  <c r="N46" i="11"/>
  <c r="O46" i="11"/>
  <c r="P46" i="11"/>
  <c r="Q46" i="11"/>
  <c r="V46" i="11"/>
  <c r="W46" i="11"/>
  <c r="A47" i="11"/>
  <c r="B47" i="11"/>
  <c r="D47" i="11"/>
  <c r="E47" i="11"/>
  <c r="F47" i="11"/>
  <c r="G47" i="11"/>
  <c r="H47" i="11"/>
  <c r="T47" i="11"/>
  <c r="I47" i="11"/>
  <c r="J47" i="11"/>
  <c r="K47" i="11"/>
  <c r="L47" i="11"/>
  <c r="M47" i="11"/>
  <c r="U47" i="11"/>
  <c r="N47" i="11"/>
  <c r="O47" i="11"/>
  <c r="P47" i="11"/>
  <c r="Q47" i="11"/>
  <c r="V47" i="11"/>
  <c r="W47" i="11"/>
  <c r="A48" i="11"/>
  <c r="B48" i="11"/>
  <c r="D48" i="11"/>
  <c r="E48" i="11"/>
  <c r="F48" i="11"/>
  <c r="G48" i="11"/>
  <c r="H48" i="11"/>
  <c r="T48" i="11"/>
  <c r="I48" i="11"/>
  <c r="J48" i="11"/>
  <c r="K48" i="11"/>
  <c r="L48" i="11"/>
  <c r="M48" i="11"/>
  <c r="U48" i="11"/>
  <c r="N48" i="11"/>
  <c r="O48" i="11"/>
  <c r="P48" i="11"/>
  <c r="Q48" i="11"/>
  <c r="V48" i="11"/>
  <c r="W48" i="11"/>
  <c r="A49" i="11"/>
  <c r="B49" i="11"/>
  <c r="D49" i="11"/>
  <c r="E49" i="11"/>
  <c r="F49" i="11"/>
  <c r="G49" i="11"/>
  <c r="H49" i="11"/>
  <c r="T49" i="11"/>
  <c r="I49" i="11"/>
  <c r="J49" i="11"/>
  <c r="K49" i="11"/>
  <c r="L49" i="11"/>
  <c r="M49" i="11"/>
  <c r="U49" i="11"/>
  <c r="N49" i="11"/>
  <c r="O49" i="11"/>
  <c r="P49" i="11"/>
  <c r="Q49" i="11"/>
  <c r="V49" i="11"/>
  <c r="W49" i="11"/>
  <c r="A50" i="11"/>
  <c r="B50" i="11"/>
  <c r="D50" i="11"/>
  <c r="E50" i="11"/>
  <c r="F50" i="11"/>
  <c r="G50" i="11"/>
  <c r="H50" i="11"/>
  <c r="T50" i="11"/>
  <c r="I50" i="11"/>
  <c r="J50" i="11"/>
  <c r="K50" i="11"/>
  <c r="L50" i="11"/>
  <c r="M50" i="11"/>
  <c r="U50" i="11"/>
  <c r="N50" i="11"/>
  <c r="O50" i="11"/>
  <c r="P50" i="11"/>
  <c r="Q50" i="11"/>
  <c r="V50" i="11"/>
  <c r="W50" i="11"/>
  <c r="A51" i="11"/>
  <c r="B51" i="11"/>
  <c r="D51" i="11"/>
  <c r="E51" i="11"/>
  <c r="F51" i="11"/>
  <c r="G51" i="11"/>
  <c r="H51" i="11"/>
  <c r="T51" i="11"/>
  <c r="I51" i="11"/>
  <c r="J51" i="11"/>
  <c r="K51" i="11"/>
  <c r="L51" i="11"/>
  <c r="M51" i="11"/>
  <c r="U51" i="11"/>
  <c r="N51" i="11"/>
  <c r="O51" i="11"/>
  <c r="P51" i="11"/>
  <c r="Q51" i="11"/>
  <c r="V51" i="11"/>
  <c r="W51" i="11"/>
  <c r="A52" i="11"/>
  <c r="B52" i="11"/>
  <c r="D52" i="11"/>
  <c r="E52" i="11"/>
  <c r="F52" i="11"/>
  <c r="G52" i="11"/>
  <c r="H52" i="11"/>
  <c r="T52" i="11"/>
  <c r="I52" i="11"/>
  <c r="J52" i="11"/>
  <c r="K52" i="11"/>
  <c r="L52" i="11"/>
  <c r="M52" i="11"/>
  <c r="U52" i="11"/>
  <c r="N52" i="11"/>
  <c r="O52" i="11"/>
  <c r="P52" i="11"/>
  <c r="Q52" i="11"/>
  <c r="V52" i="11"/>
  <c r="W52" i="11"/>
  <c r="A53" i="11"/>
  <c r="B53" i="11"/>
  <c r="D53" i="11"/>
  <c r="E53" i="11"/>
  <c r="F53" i="11"/>
  <c r="G53" i="11"/>
  <c r="H53" i="11"/>
  <c r="T53" i="11"/>
  <c r="I53" i="11"/>
  <c r="J53" i="11"/>
  <c r="K53" i="11"/>
  <c r="L53" i="11"/>
  <c r="M53" i="11"/>
  <c r="U53" i="11"/>
  <c r="N53" i="11"/>
  <c r="O53" i="11"/>
  <c r="P53" i="11"/>
  <c r="Q53" i="11"/>
  <c r="V53" i="11"/>
  <c r="W53" i="11"/>
  <c r="A54" i="11"/>
  <c r="B54" i="11"/>
  <c r="D54" i="11"/>
  <c r="E54" i="11"/>
  <c r="F54" i="11"/>
  <c r="G54" i="11"/>
  <c r="H54" i="11"/>
  <c r="T54" i="11"/>
  <c r="I54" i="11"/>
  <c r="J54" i="11"/>
  <c r="K54" i="11"/>
  <c r="L54" i="11"/>
  <c r="M54" i="11"/>
  <c r="U54" i="11"/>
  <c r="N54" i="11"/>
  <c r="O54" i="11"/>
  <c r="P54" i="11"/>
  <c r="Q54" i="11"/>
  <c r="V54" i="11"/>
  <c r="W54" i="11"/>
  <c r="A55" i="11"/>
  <c r="B55" i="11"/>
  <c r="D55" i="11"/>
  <c r="E55" i="11"/>
  <c r="F55" i="11"/>
  <c r="G55" i="11"/>
  <c r="H55" i="11"/>
  <c r="T55" i="11"/>
  <c r="I55" i="11"/>
  <c r="J55" i="11"/>
  <c r="K55" i="11"/>
  <c r="L55" i="11"/>
  <c r="M55" i="11"/>
  <c r="U55" i="11"/>
  <c r="N55" i="11"/>
  <c r="O55" i="11"/>
  <c r="P55" i="11"/>
  <c r="Q55" i="11"/>
  <c r="V55" i="11"/>
  <c r="W55" i="11"/>
  <c r="A56" i="11"/>
  <c r="B56" i="11"/>
  <c r="D56" i="11"/>
  <c r="E56" i="11"/>
  <c r="F56" i="11"/>
  <c r="G56" i="11"/>
  <c r="H56" i="11"/>
  <c r="T56" i="11"/>
  <c r="I56" i="11"/>
  <c r="J56" i="11"/>
  <c r="K56" i="11"/>
  <c r="L56" i="11"/>
  <c r="M56" i="11"/>
  <c r="U56" i="11"/>
  <c r="N56" i="11"/>
  <c r="O56" i="11"/>
  <c r="P56" i="11"/>
  <c r="Q56" i="11"/>
  <c r="V56" i="11"/>
  <c r="W56" i="11"/>
  <c r="A57" i="11"/>
  <c r="B57" i="11"/>
  <c r="D57" i="11"/>
  <c r="E57" i="11"/>
  <c r="F57" i="11"/>
  <c r="G57" i="11"/>
  <c r="H57" i="11"/>
  <c r="T57" i="11"/>
  <c r="I57" i="11"/>
  <c r="J57" i="11"/>
  <c r="K57" i="11"/>
  <c r="L57" i="11"/>
  <c r="M57" i="11"/>
  <c r="U57" i="11"/>
  <c r="N57" i="11"/>
  <c r="O57" i="11"/>
  <c r="P57" i="11"/>
  <c r="Q57" i="11"/>
  <c r="V57" i="11"/>
  <c r="W57" i="11"/>
  <c r="A58" i="11"/>
  <c r="B58" i="11"/>
  <c r="D58" i="11"/>
  <c r="E58" i="11"/>
  <c r="F58" i="11"/>
  <c r="G58" i="11"/>
  <c r="H58" i="11"/>
  <c r="T58" i="11"/>
  <c r="I58" i="11"/>
  <c r="J58" i="11"/>
  <c r="K58" i="11"/>
  <c r="L58" i="11"/>
  <c r="M58" i="11"/>
  <c r="U58" i="11"/>
  <c r="N58" i="11"/>
  <c r="O58" i="11"/>
  <c r="P58" i="11"/>
  <c r="Q58" i="11"/>
  <c r="V58" i="11"/>
  <c r="W58" i="11"/>
  <c r="A59" i="11"/>
  <c r="B59" i="11"/>
  <c r="D59" i="11"/>
  <c r="E59" i="11"/>
  <c r="F59" i="11"/>
  <c r="G59" i="11"/>
  <c r="H59" i="11"/>
  <c r="T59" i="11"/>
  <c r="I59" i="11"/>
  <c r="J59" i="11"/>
  <c r="K59" i="11"/>
  <c r="L59" i="11"/>
  <c r="M59" i="11"/>
  <c r="U59" i="11"/>
  <c r="N59" i="11"/>
  <c r="O59" i="11"/>
  <c r="P59" i="11"/>
  <c r="Q59" i="11"/>
  <c r="V59" i="11"/>
  <c r="W59" i="11"/>
  <c r="A60" i="11"/>
  <c r="B60" i="11"/>
  <c r="D60" i="11"/>
  <c r="E60" i="11"/>
  <c r="F60" i="11"/>
  <c r="G60" i="11"/>
  <c r="H60" i="11"/>
  <c r="T60" i="11"/>
  <c r="I60" i="11"/>
  <c r="J60" i="11"/>
  <c r="K60" i="11"/>
  <c r="L60" i="11"/>
  <c r="M60" i="11"/>
  <c r="U60" i="11"/>
  <c r="N60" i="11"/>
  <c r="O60" i="11"/>
  <c r="P60" i="11"/>
  <c r="Q60" i="11"/>
  <c r="V60" i="11"/>
  <c r="W60" i="11"/>
  <c r="A61" i="11"/>
  <c r="B61" i="11"/>
  <c r="D61" i="11"/>
  <c r="E61" i="11"/>
  <c r="F61" i="11"/>
  <c r="G61" i="11"/>
  <c r="H61" i="11"/>
  <c r="T61" i="11"/>
  <c r="I61" i="11"/>
  <c r="J61" i="11"/>
  <c r="K61" i="11"/>
  <c r="L61" i="11"/>
  <c r="M61" i="11"/>
  <c r="U61" i="11"/>
  <c r="N61" i="11"/>
  <c r="V61" i="11"/>
  <c r="W61" i="11"/>
  <c r="A62" i="11"/>
  <c r="B62" i="11"/>
  <c r="D62" i="11"/>
  <c r="E62" i="11"/>
  <c r="F62" i="11"/>
  <c r="G62" i="11"/>
  <c r="H62" i="11"/>
  <c r="T62" i="11"/>
  <c r="I62" i="11"/>
  <c r="J62" i="11"/>
  <c r="K62" i="11"/>
  <c r="L62" i="11"/>
  <c r="M62" i="11"/>
  <c r="U62" i="11"/>
  <c r="N62" i="11"/>
  <c r="O62" i="11"/>
  <c r="P62" i="11"/>
  <c r="Q62" i="11"/>
  <c r="V62" i="11"/>
  <c r="W62" i="11"/>
  <c r="A63" i="11"/>
  <c r="B63" i="11"/>
  <c r="D63" i="11"/>
  <c r="E63" i="11"/>
  <c r="F63" i="11"/>
  <c r="G63" i="11"/>
  <c r="H63" i="11"/>
  <c r="T63" i="11"/>
  <c r="I63" i="11"/>
  <c r="J63" i="11"/>
  <c r="K63" i="11"/>
  <c r="L63" i="11"/>
  <c r="M63" i="11"/>
  <c r="U63" i="11"/>
  <c r="N63" i="11"/>
  <c r="O63" i="11"/>
  <c r="P63" i="11"/>
  <c r="Q63" i="11"/>
  <c r="V63" i="11"/>
  <c r="W63" i="11"/>
  <c r="A64" i="11"/>
  <c r="B64" i="11"/>
  <c r="D64" i="11"/>
  <c r="E64" i="11"/>
  <c r="F64" i="11"/>
  <c r="G64" i="11"/>
  <c r="H64" i="11"/>
  <c r="T64" i="11"/>
  <c r="I64" i="11"/>
  <c r="J64" i="11"/>
  <c r="K64" i="11"/>
  <c r="L64" i="11"/>
  <c r="M64" i="11"/>
  <c r="U64" i="11"/>
  <c r="N64" i="11"/>
  <c r="O64" i="11"/>
  <c r="P64" i="11"/>
  <c r="Q64" i="11"/>
  <c r="V64" i="11"/>
  <c r="W64" i="11"/>
  <c r="A65" i="11"/>
  <c r="B65" i="11"/>
  <c r="D65" i="11"/>
  <c r="E65" i="11"/>
  <c r="F65" i="11"/>
  <c r="G65" i="11"/>
  <c r="H65" i="11"/>
  <c r="T65" i="11"/>
  <c r="I65" i="11"/>
  <c r="J65" i="11"/>
  <c r="K65" i="11"/>
  <c r="L65" i="11"/>
  <c r="M65" i="11"/>
  <c r="U65" i="11"/>
  <c r="N65" i="11"/>
  <c r="O65" i="11"/>
  <c r="P65" i="11"/>
  <c r="Q65" i="11"/>
  <c r="V65" i="11"/>
  <c r="W65" i="11"/>
  <c r="A66" i="11"/>
  <c r="B66" i="11"/>
  <c r="D66" i="11"/>
  <c r="E66" i="11"/>
  <c r="F66" i="11"/>
  <c r="G66" i="11"/>
  <c r="H66" i="11"/>
  <c r="T66" i="11"/>
  <c r="I66" i="11"/>
  <c r="J66" i="11"/>
  <c r="K66" i="11"/>
  <c r="L66" i="11"/>
  <c r="M66" i="11"/>
  <c r="U66" i="11"/>
  <c r="N66" i="11"/>
  <c r="O66" i="11"/>
  <c r="P66" i="11"/>
  <c r="Q66" i="11"/>
  <c r="V66" i="11"/>
  <c r="W66" i="11"/>
  <c r="A67" i="11"/>
  <c r="B67" i="11"/>
  <c r="D67" i="11"/>
  <c r="E67" i="11"/>
  <c r="F67" i="11"/>
  <c r="G67" i="11"/>
  <c r="H67" i="11"/>
  <c r="T67" i="11"/>
  <c r="I67" i="11"/>
  <c r="J67" i="11"/>
  <c r="K67" i="11"/>
  <c r="L67" i="11"/>
  <c r="M67" i="11"/>
  <c r="U67" i="11"/>
  <c r="N67" i="11"/>
  <c r="O67" i="11"/>
  <c r="P67" i="11"/>
  <c r="Q67" i="11"/>
  <c r="V67" i="11"/>
  <c r="W67" i="11"/>
  <c r="A68" i="11"/>
  <c r="B68" i="11"/>
  <c r="D68" i="11"/>
  <c r="E68" i="11"/>
  <c r="F68" i="11"/>
  <c r="G68" i="11"/>
  <c r="H68" i="11"/>
  <c r="T68" i="11"/>
  <c r="I68" i="11"/>
  <c r="J68" i="11"/>
  <c r="K68" i="11"/>
  <c r="L68" i="11"/>
  <c r="M68" i="11"/>
  <c r="U68" i="11"/>
  <c r="N68" i="11"/>
  <c r="O68" i="11"/>
  <c r="P68" i="11"/>
  <c r="Q68" i="11"/>
  <c r="V68" i="11"/>
  <c r="W68" i="11"/>
  <c r="A69" i="11"/>
  <c r="B69" i="11"/>
  <c r="D69" i="11"/>
  <c r="E69" i="11"/>
  <c r="F69" i="11"/>
  <c r="G69" i="11"/>
  <c r="H69" i="11"/>
  <c r="T69" i="11"/>
  <c r="I69" i="11"/>
  <c r="J69" i="11"/>
  <c r="K69" i="11"/>
  <c r="L69" i="11"/>
  <c r="M69" i="11"/>
  <c r="U69" i="11"/>
  <c r="N69" i="11"/>
  <c r="O69" i="11"/>
  <c r="P69" i="11"/>
  <c r="Q69" i="11"/>
  <c r="V69" i="11"/>
  <c r="W69" i="11"/>
  <c r="A70" i="11"/>
  <c r="B70" i="11"/>
  <c r="D70" i="11"/>
  <c r="E70" i="11"/>
  <c r="F70" i="11"/>
  <c r="G70" i="11"/>
  <c r="H70" i="11"/>
  <c r="T70" i="11"/>
  <c r="I70" i="11"/>
  <c r="J70" i="11"/>
  <c r="K70" i="11"/>
  <c r="L70" i="11"/>
  <c r="M70" i="11"/>
  <c r="U70" i="11"/>
  <c r="N70" i="11"/>
  <c r="O70" i="11"/>
  <c r="P70" i="11"/>
  <c r="Q70" i="11"/>
  <c r="V70" i="11"/>
  <c r="W70" i="11"/>
  <c r="A71" i="11"/>
  <c r="B71" i="11"/>
  <c r="D71" i="11"/>
  <c r="E71" i="11"/>
  <c r="F71" i="11"/>
  <c r="G71" i="11"/>
  <c r="H71" i="11"/>
  <c r="T71" i="11"/>
  <c r="I71" i="11"/>
  <c r="J71" i="11"/>
  <c r="K71" i="11"/>
  <c r="L71" i="11"/>
  <c r="M71" i="11"/>
  <c r="U71" i="11"/>
  <c r="N71" i="11"/>
  <c r="V71" i="11"/>
  <c r="W71" i="11"/>
  <c r="A72" i="11"/>
  <c r="B72" i="11"/>
  <c r="D72" i="11"/>
  <c r="E72" i="11"/>
  <c r="F72" i="11"/>
  <c r="G72" i="11"/>
  <c r="H72" i="11"/>
  <c r="T72" i="11"/>
  <c r="I72" i="11"/>
  <c r="J72" i="11"/>
  <c r="K72" i="11"/>
  <c r="L72" i="11"/>
  <c r="M72" i="11"/>
  <c r="U72" i="11"/>
  <c r="N72" i="11"/>
  <c r="O72" i="11"/>
  <c r="P72" i="11"/>
  <c r="Q72" i="11"/>
  <c r="V72" i="11"/>
  <c r="W72" i="11"/>
  <c r="A73" i="11"/>
  <c r="B73" i="11"/>
  <c r="D73" i="11"/>
  <c r="E73" i="11"/>
  <c r="F73" i="11"/>
  <c r="G73" i="11"/>
  <c r="H73" i="11"/>
  <c r="T73" i="11"/>
  <c r="I73" i="11"/>
  <c r="J73" i="11"/>
  <c r="K73" i="11"/>
  <c r="L73" i="11"/>
  <c r="M73" i="11"/>
  <c r="U73" i="11"/>
  <c r="N73" i="11"/>
  <c r="O73" i="11"/>
  <c r="P73" i="11"/>
  <c r="Q73" i="11"/>
  <c r="V73" i="11"/>
  <c r="W73" i="11"/>
  <c r="A74" i="11"/>
  <c r="B74" i="11"/>
  <c r="D74" i="11"/>
  <c r="E74" i="11"/>
  <c r="F74" i="11"/>
  <c r="G74" i="11"/>
  <c r="H74" i="11"/>
  <c r="T74" i="11"/>
  <c r="I74" i="11"/>
  <c r="J74" i="11"/>
  <c r="K74" i="11"/>
  <c r="L74" i="11"/>
  <c r="M74" i="11"/>
  <c r="U74" i="11"/>
  <c r="N74" i="11"/>
  <c r="O74" i="11"/>
  <c r="P74" i="11"/>
  <c r="Q74" i="11"/>
  <c r="V74" i="11"/>
  <c r="W74" i="11"/>
  <c r="A75" i="11"/>
  <c r="B75" i="11"/>
  <c r="D75" i="11"/>
  <c r="E75" i="11"/>
  <c r="F75" i="11"/>
  <c r="G75" i="11"/>
  <c r="H75" i="11"/>
  <c r="T75" i="11"/>
  <c r="I75" i="11"/>
  <c r="J75" i="11"/>
  <c r="K75" i="11"/>
  <c r="L75" i="11"/>
  <c r="M75" i="11"/>
  <c r="U75" i="11"/>
  <c r="N75" i="11"/>
  <c r="O75" i="11"/>
  <c r="P75" i="11"/>
  <c r="Q75" i="11"/>
  <c r="V75" i="11"/>
  <c r="W75" i="11"/>
  <c r="A76" i="11"/>
  <c r="B76" i="11"/>
  <c r="D76" i="11"/>
  <c r="E76" i="11"/>
  <c r="F76" i="11"/>
  <c r="G76" i="11"/>
  <c r="H76" i="11"/>
  <c r="T76" i="11"/>
  <c r="I76" i="11"/>
  <c r="J76" i="11"/>
  <c r="K76" i="11"/>
  <c r="L76" i="11"/>
  <c r="M76" i="11"/>
  <c r="U76" i="11"/>
  <c r="N76" i="11"/>
  <c r="O76" i="11"/>
  <c r="P76" i="11"/>
  <c r="Q76" i="11"/>
  <c r="V76" i="11"/>
  <c r="W76" i="11"/>
  <c r="A77" i="11"/>
  <c r="B77" i="11"/>
  <c r="D77" i="11"/>
  <c r="E77" i="11"/>
  <c r="F77" i="11"/>
  <c r="G77" i="11"/>
  <c r="H77" i="11"/>
  <c r="T77" i="11"/>
  <c r="I77" i="11"/>
  <c r="J77" i="11"/>
  <c r="K77" i="11"/>
  <c r="L77" i="11"/>
  <c r="M77" i="11"/>
  <c r="U77" i="11"/>
  <c r="N77" i="11"/>
  <c r="O77" i="11"/>
  <c r="P77" i="11"/>
  <c r="Q77" i="11"/>
  <c r="V77" i="11"/>
  <c r="W77" i="11"/>
  <c r="A78" i="11"/>
  <c r="B78" i="11"/>
  <c r="D78" i="11"/>
  <c r="E78" i="11"/>
  <c r="F78" i="11"/>
  <c r="G78" i="11"/>
  <c r="H78" i="11"/>
  <c r="T78" i="11"/>
  <c r="I78" i="11"/>
  <c r="J78" i="11"/>
  <c r="K78" i="11"/>
  <c r="L78" i="11"/>
  <c r="M78" i="11"/>
  <c r="U78" i="11"/>
  <c r="N78" i="11"/>
  <c r="O78" i="11"/>
  <c r="P78" i="11"/>
  <c r="Q78" i="11"/>
  <c r="V78" i="11"/>
  <c r="W78" i="11"/>
  <c r="A79" i="11"/>
  <c r="B79" i="11"/>
  <c r="D79" i="11"/>
  <c r="E79" i="11"/>
  <c r="F79" i="11"/>
  <c r="G79" i="11"/>
  <c r="H79" i="11"/>
  <c r="T79" i="11"/>
  <c r="I79" i="11"/>
  <c r="J79" i="11"/>
  <c r="K79" i="11"/>
  <c r="L79" i="11"/>
  <c r="M79" i="11"/>
  <c r="U79" i="11"/>
  <c r="N79" i="11"/>
  <c r="O79" i="11"/>
  <c r="P79" i="11"/>
  <c r="Q79" i="11"/>
  <c r="V79" i="11"/>
  <c r="W79" i="11"/>
  <c r="A80" i="11"/>
  <c r="B80" i="11"/>
  <c r="D80" i="11"/>
  <c r="E80" i="11"/>
  <c r="F80" i="11"/>
  <c r="G80" i="11"/>
  <c r="H80" i="11"/>
  <c r="T80" i="11"/>
  <c r="I80" i="11"/>
  <c r="J80" i="11"/>
  <c r="K80" i="11"/>
  <c r="L80" i="11"/>
  <c r="M80" i="11"/>
  <c r="U80" i="11"/>
  <c r="N80" i="11"/>
  <c r="O80" i="11"/>
  <c r="P80" i="11"/>
  <c r="Q80" i="11"/>
  <c r="V80" i="11"/>
  <c r="W80" i="11"/>
  <c r="A81" i="11"/>
  <c r="B81" i="11"/>
  <c r="D81" i="11"/>
  <c r="E81" i="11"/>
  <c r="F81" i="11"/>
  <c r="G81" i="11"/>
  <c r="H81" i="11"/>
  <c r="T81" i="11"/>
  <c r="I81" i="11"/>
  <c r="J81" i="11"/>
  <c r="K81" i="11"/>
  <c r="L81" i="11"/>
  <c r="M81" i="11"/>
  <c r="U81" i="11"/>
  <c r="N81" i="11"/>
  <c r="O81" i="11"/>
  <c r="P81" i="11"/>
  <c r="Q81" i="11"/>
  <c r="V81" i="11"/>
  <c r="W81" i="11"/>
  <c r="A82" i="11"/>
  <c r="B82" i="11"/>
  <c r="D82" i="11"/>
  <c r="E82" i="11"/>
  <c r="F82" i="11"/>
  <c r="G82" i="11"/>
  <c r="H82" i="11"/>
  <c r="T82" i="11"/>
  <c r="I82" i="11"/>
  <c r="J82" i="11"/>
  <c r="K82" i="11"/>
  <c r="L82" i="11"/>
  <c r="M82" i="11"/>
  <c r="U82" i="11"/>
  <c r="N82" i="11"/>
  <c r="O82" i="11"/>
  <c r="P82" i="11"/>
  <c r="Q82" i="11"/>
  <c r="V82" i="11"/>
  <c r="W82" i="11"/>
  <c r="A83" i="11"/>
  <c r="B83" i="11"/>
  <c r="D83" i="11"/>
  <c r="E83" i="11"/>
  <c r="F83" i="11"/>
  <c r="G83" i="11"/>
  <c r="H83" i="11"/>
  <c r="T83" i="11"/>
  <c r="I83" i="11"/>
  <c r="J83" i="11"/>
  <c r="K83" i="11"/>
  <c r="L83" i="11"/>
  <c r="M83" i="11"/>
  <c r="U83" i="11"/>
  <c r="N83" i="11"/>
  <c r="O83" i="11"/>
  <c r="P83" i="11"/>
  <c r="Q83" i="11"/>
  <c r="V83" i="11"/>
  <c r="W83" i="11"/>
  <c r="A84" i="11"/>
  <c r="B84" i="11"/>
  <c r="D84" i="11"/>
  <c r="E84" i="11"/>
  <c r="F84" i="11"/>
  <c r="G84" i="11"/>
  <c r="H84" i="11"/>
  <c r="T84" i="11"/>
  <c r="I84" i="11"/>
  <c r="J84" i="11"/>
  <c r="K84" i="11"/>
  <c r="L84" i="11"/>
  <c r="M84" i="11"/>
  <c r="U84" i="11"/>
  <c r="N84" i="11"/>
  <c r="O84" i="11"/>
  <c r="P84" i="11"/>
  <c r="Q84" i="11"/>
  <c r="V84" i="11"/>
  <c r="W84" i="11"/>
  <c r="A85" i="11"/>
  <c r="B85" i="11"/>
  <c r="D85" i="11"/>
  <c r="E85" i="11"/>
  <c r="F85" i="11"/>
  <c r="G85" i="11"/>
  <c r="H85" i="11"/>
  <c r="T85" i="11"/>
  <c r="I85" i="11"/>
  <c r="J85" i="11"/>
  <c r="K85" i="11"/>
  <c r="L85" i="11"/>
  <c r="M85" i="11"/>
  <c r="U85" i="11"/>
  <c r="N85" i="11"/>
  <c r="O85" i="11"/>
  <c r="P85" i="11"/>
  <c r="Q85" i="11"/>
  <c r="V85" i="11"/>
  <c r="W85" i="11"/>
  <c r="A86" i="11"/>
  <c r="B86" i="11"/>
  <c r="D86" i="11"/>
  <c r="E86" i="11"/>
  <c r="F86" i="11"/>
  <c r="G86" i="11"/>
  <c r="H86" i="11"/>
  <c r="T86" i="11"/>
  <c r="I86" i="11"/>
  <c r="J86" i="11"/>
  <c r="K86" i="11"/>
  <c r="L86" i="11"/>
  <c r="M86" i="11"/>
  <c r="U86" i="11"/>
  <c r="N86" i="11"/>
  <c r="O86" i="11"/>
  <c r="P86" i="11"/>
  <c r="Q86" i="11"/>
  <c r="V86" i="11"/>
  <c r="W86" i="11"/>
  <c r="A87" i="11"/>
  <c r="B87" i="11"/>
  <c r="D87" i="11"/>
  <c r="E87" i="11"/>
  <c r="F87" i="11"/>
  <c r="G87" i="11"/>
  <c r="H87" i="11"/>
  <c r="T87" i="11"/>
  <c r="I87" i="11"/>
  <c r="J87" i="11"/>
  <c r="K87" i="11"/>
  <c r="L87" i="11"/>
  <c r="M87" i="11"/>
  <c r="U87" i="11"/>
  <c r="N87" i="11"/>
  <c r="O87" i="11"/>
  <c r="P87" i="11"/>
  <c r="Q87" i="11"/>
  <c r="V87" i="11"/>
  <c r="W87" i="11"/>
  <c r="A88" i="11"/>
  <c r="B88" i="11"/>
  <c r="D88" i="11"/>
  <c r="E88" i="11"/>
  <c r="F88" i="11"/>
  <c r="G88" i="11"/>
  <c r="H88" i="11"/>
  <c r="T88" i="11"/>
  <c r="I88" i="11"/>
  <c r="J88" i="11"/>
  <c r="K88" i="11"/>
  <c r="L88" i="11"/>
  <c r="M88" i="11"/>
  <c r="U88" i="11"/>
  <c r="N88" i="11"/>
  <c r="O88" i="11"/>
  <c r="P88" i="11"/>
  <c r="Q88" i="11"/>
  <c r="V88" i="11"/>
  <c r="W88" i="11"/>
  <c r="A89" i="11"/>
  <c r="B89" i="11"/>
  <c r="D89" i="11"/>
  <c r="E89" i="11"/>
  <c r="F89" i="11"/>
  <c r="G89" i="11"/>
  <c r="H89" i="11"/>
  <c r="T89" i="11"/>
  <c r="I89" i="11"/>
  <c r="J89" i="11"/>
  <c r="K89" i="11"/>
  <c r="L89" i="11"/>
  <c r="M89" i="11"/>
  <c r="U89" i="11"/>
  <c r="N89" i="11"/>
  <c r="O89" i="11"/>
  <c r="P89" i="11"/>
  <c r="Q89" i="11"/>
  <c r="V89" i="11"/>
  <c r="W89" i="11"/>
  <c r="A90" i="11"/>
  <c r="B90" i="11"/>
  <c r="D90" i="11"/>
  <c r="E90" i="11"/>
  <c r="F90" i="11"/>
  <c r="G90" i="11"/>
  <c r="H90" i="11"/>
  <c r="T90" i="11"/>
  <c r="I90" i="11"/>
  <c r="J90" i="11"/>
  <c r="K90" i="11"/>
  <c r="L90" i="11"/>
  <c r="M90" i="11"/>
  <c r="U90" i="11"/>
  <c r="N90" i="11"/>
  <c r="O90" i="11"/>
  <c r="P90" i="11"/>
  <c r="Q90" i="11"/>
  <c r="V90" i="11"/>
  <c r="W90" i="11"/>
  <c r="A91" i="11"/>
  <c r="B91" i="11"/>
  <c r="D91" i="11"/>
  <c r="E91" i="11"/>
  <c r="F91" i="11"/>
  <c r="G91" i="11"/>
  <c r="H91" i="11"/>
  <c r="T91" i="11"/>
  <c r="I91" i="11"/>
  <c r="J91" i="11"/>
  <c r="K91" i="11"/>
  <c r="L91" i="11"/>
  <c r="M91" i="11"/>
  <c r="U91" i="11"/>
  <c r="N91" i="11"/>
  <c r="O91" i="11"/>
  <c r="P91" i="11"/>
  <c r="Q91" i="11"/>
  <c r="V91" i="11"/>
  <c r="W91" i="11"/>
  <c r="A92" i="11"/>
  <c r="B92" i="11"/>
  <c r="D92" i="11"/>
  <c r="E92" i="11"/>
  <c r="F92" i="11"/>
  <c r="G92" i="11"/>
  <c r="H92" i="11"/>
  <c r="T92" i="11"/>
  <c r="I92" i="11"/>
  <c r="J92" i="11"/>
  <c r="K92" i="11"/>
  <c r="L92" i="11"/>
  <c r="M92" i="11"/>
  <c r="U92" i="11"/>
  <c r="N92" i="11"/>
  <c r="O92" i="11"/>
  <c r="P92" i="11"/>
  <c r="Q92" i="11"/>
  <c r="V92" i="11"/>
  <c r="W92" i="11"/>
  <c r="A93" i="11"/>
  <c r="B93" i="11"/>
  <c r="D93" i="11"/>
  <c r="E93" i="11"/>
  <c r="F93" i="11"/>
  <c r="G93" i="11"/>
  <c r="H93" i="11"/>
  <c r="T93" i="11"/>
  <c r="I93" i="11"/>
  <c r="J93" i="11"/>
  <c r="K93" i="11"/>
  <c r="L93" i="11"/>
  <c r="M93" i="11"/>
  <c r="U93" i="11"/>
  <c r="N93" i="11"/>
  <c r="O93" i="11"/>
  <c r="P93" i="11"/>
  <c r="Q93" i="11"/>
  <c r="V93" i="11"/>
  <c r="W93" i="11"/>
  <c r="A94" i="11"/>
  <c r="B94" i="11"/>
  <c r="D94" i="11"/>
  <c r="E94" i="11"/>
  <c r="F94" i="11"/>
  <c r="G94" i="11"/>
  <c r="H94" i="11"/>
  <c r="T94" i="11"/>
  <c r="I94" i="11"/>
  <c r="J94" i="11"/>
  <c r="K94" i="11"/>
  <c r="L94" i="11"/>
  <c r="M94" i="11"/>
  <c r="U94" i="11"/>
  <c r="N94" i="11"/>
  <c r="O94" i="11"/>
  <c r="P94" i="11"/>
  <c r="Q94" i="11"/>
  <c r="V94" i="11"/>
  <c r="W94" i="11"/>
  <c r="A95" i="11"/>
  <c r="B95" i="11"/>
  <c r="D95" i="11"/>
  <c r="E95" i="11"/>
  <c r="F95" i="11"/>
  <c r="G95" i="11"/>
  <c r="H95" i="11"/>
  <c r="T95" i="11"/>
  <c r="I95" i="11"/>
  <c r="J95" i="11"/>
  <c r="K95" i="11"/>
  <c r="L95" i="11"/>
  <c r="M95" i="11"/>
  <c r="U95" i="11"/>
  <c r="N95" i="11"/>
  <c r="O95" i="11"/>
  <c r="P95" i="11"/>
  <c r="Q95" i="11"/>
  <c r="V95" i="11"/>
  <c r="W95" i="11"/>
  <c r="A96" i="11"/>
  <c r="B96" i="11"/>
  <c r="D96" i="11"/>
  <c r="E96" i="11"/>
  <c r="F96" i="11"/>
  <c r="G96" i="11"/>
  <c r="H96" i="11"/>
  <c r="T96" i="11"/>
  <c r="I96" i="11"/>
  <c r="J96" i="11"/>
  <c r="K96" i="11"/>
  <c r="L96" i="11"/>
  <c r="M96" i="11"/>
  <c r="U96" i="11"/>
  <c r="N96" i="11"/>
  <c r="O96" i="11"/>
  <c r="P96" i="11"/>
  <c r="Q96" i="11"/>
  <c r="V96" i="11"/>
  <c r="W96" i="11"/>
  <c r="A97" i="11"/>
  <c r="B97" i="11"/>
  <c r="D97" i="11"/>
  <c r="E97" i="11"/>
  <c r="F97" i="11"/>
  <c r="G97" i="11"/>
  <c r="H97" i="11"/>
  <c r="T97" i="11"/>
  <c r="I97" i="11"/>
  <c r="J97" i="11"/>
  <c r="K97" i="11"/>
  <c r="L97" i="11"/>
  <c r="M97" i="11"/>
  <c r="U97" i="11"/>
  <c r="N97" i="11"/>
  <c r="O97" i="11"/>
  <c r="P97" i="11"/>
  <c r="Q97" i="11"/>
  <c r="V97" i="11"/>
  <c r="W97" i="11"/>
  <c r="A98" i="11"/>
  <c r="B98" i="11"/>
  <c r="D98" i="11"/>
  <c r="E98" i="11"/>
  <c r="F98" i="11"/>
  <c r="G98" i="11"/>
  <c r="H98" i="11"/>
  <c r="T98" i="11"/>
  <c r="I98" i="11"/>
  <c r="J98" i="11"/>
  <c r="K98" i="11"/>
  <c r="L98" i="11"/>
  <c r="M98" i="11"/>
  <c r="U98" i="11"/>
  <c r="N98" i="11"/>
  <c r="O98" i="11"/>
  <c r="P98" i="11"/>
  <c r="Q98" i="11"/>
  <c r="V98" i="11"/>
  <c r="W98" i="11"/>
  <c r="A99" i="11"/>
  <c r="B99" i="11"/>
  <c r="D99" i="11"/>
  <c r="E99" i="11"/>
  <c r="F99" i="11"/>
  <c r="G99" i="11"/>
  <c r="H99" i="11"/>
  <c r="T99" i="11"/>
  <c r="I99" i="11"/>
  <c r="J99" i="11"/>
  <c r="K99" i="11"/>
  <c r="L99" i="11"/>
  <c r="M99" i="11"/>
  <c r="U99" i="11"/>
  <c r="N99" i="11"/>
  <c r="O99" i="11"/>
  <c r="P99" i="11"/>
  <c r="Q99" i="11"/>
  <c r="V99" i="11"/>
  <c r="W99" i="11"/>
  <c r="A100" i="11"/>
  <c r="B100" i="11"/>
  <c r="D100" i="11"/>
  <c r="E100" i="11"/>
  <c r="F100" i="11"/>
  <c r="G100" i="11"/>
  <c r="H100" i="11"/>
  <c r="T100" i="11"/>
  <c r="I100" i="11"/>
  <c r="J100" i="11"/>
  <c r="K100" i="11"/>
  <c r="L100" i="11"/>
  <c r="M100" i="11"/>
  <c r="U100" i="11"/>
  <c r="N100" i="11"/>
  <c r="O100" i="11"/>
  <c r="P100" i="11"/>
  <c r="Q100" i="11"/>
  <c r="V100" i="11"/>
  <c r="W100" i="11"/>
  <c r="A101" i="11"/>
  <c r="B101" i="11"/>
  <c r="D101" i="11"/>
  <c r="E101" i="11"/>
  <c r="F101" i="11"/>
  <c r="G101" i="11"/>
  <c r="H101" i="11"/>
  <c r="T101" i="11"/>
  <c r="I101" i="11"/>
  <c r="J101" i="11"/>
  <c r="K101" i="11"/>
  <c r="L101" i="11"/>
  <c r="M101" i="11"/>
  <c r="U101" i="11"/>
  <c r="N101" i="11"/>
  <c r="O101" i="11"/>
  <c r="P101" i="11"/>
  <c r="Q101" i="11"/>
  <c r="V101" i="11"/>
  <c r="W101" i="11"/>
  <c r="A102" i="11"/>
  <c r="B102" i="11"/>
  <c r="D102" i="11"/>
  <c r="E102" i="11"/>
  <c r="F102" i="11"/>
  <c r="G102" i="11"/>
  <c r="H102" i="11"/>
  <c r="T102" i="11"/>
  <c r="I102" i="11"/>
  <c r="J102" i="11"/>
  <c r="K102" i="11"/>
  <c r="L102" i="11"/>
  <c r="M102" i="11"/>
  <c r="U102" i="11"/>
  <c r="N102" i="11"/>
  <c r="O102" i="11"/>
  <c r="P102" i="11"/>
  <c r="Q102" i="11"/>
  <c r="V102" i="11"/>
  <c r="W102" i="11"/>
  <c r="A103" i="11"/>
  <c r="B103" i="11"/>
  <c r="D103" i="11"/>
  <c r="E103" i="11"/>
  <c r="F103" i="11"/>
  <c r="G103" i="11"/>
  <c r="H103" i="11"/>
  <c r="T103" i="11"/>
  <c r="I103" i="11"/>
  <c r="J103" i="11"/>
  <c r="K103" i="11"/>
  <c r="L103" i="11"/>
  <c r="M103" i="11"/>
  <c r="U103" i="11"/>
  <c r="N103" i="11"/>
  <c r="O103" i="11"/>
  <c r="P103" i="11"/>
  <c r="Q103" i="11"/>
  <c r="V103" i="11"/>
  <c r="W103" i="11"/>
  <c r="A104" i="11"/>
  <c r="B104" i="11"/>
  <c r="D104" i="11"/>
  <c r="E104" i="11"/>
  <c r="F104" i="11"/>
  <c r="G104" i="11"/>
  <c r="H104" i="11"/>
  <c r="T104" i="11"/>
  <c r="I104" i="11"/>
  <c r="J104" i="11"/>
  <c r="K104" i="11"/>
  <c r="L104" i="11"/>
  <c r="M104" i="11"/>
  <c r="U104" i="11"/>
  <c r="N104" i="11"/>
  <c r="O104" i="11"/>
  <c r="P104" i="11"/>
  <c r="Q104" i="11"/>
  <c r="V104" i="11"/>
  <c r="W104" i="11"/>
  <c r="A105" i="11"/>
  <c r="B105" i="11"/>
  <c r="D105" i="11"/>
  <c r="E105" i="11"/>
  <c r="F105" i="11"/>
  <c r="G105" i="11"/>
  <c r="H105" i="11"/>
  <c r="T105" i="11"/>
  <c r="I105" i="11"/>
  <c r="J105" i="11"/>
  <c r="K105" i="11"/>
  <c r="L105" i="11"/>
  <c r="M105" i="11"/>
  <c r="U105" i="11"/>
  <c r="N105" i="11"/>
  <c r="O105" i="11"/>
  <c r="P105" i="11"/>
  <c r="Q105" i="11"/>
  <c r="V105" i="11"/>
  <c r="W105" i="11"/>
  <c r="A106" i="11"/>
  <c r="B106" i="11"/>
  <c r="D106" i="11"/>
  <c r="E106" i="11"/>
  <c r="F106" i="11"/>
  <c r="G106" i="11"/>
  <c r="H106" i="11"/>
  <c r="T106" i="11"/>
  <c r="I106" i="11"/>
  <c r="J106" i="11"/>
  <c r="K106" i="11"/>
  <c r="L106" i="11"/>
  <c r="M106" i="11"/>
  <c r="U106" i="11"/>
  <c r="N106" i="11"/>
  <c r="O106" i="11"/>
  <c r="P106" i="11"/>
  <c r="Q106" i="11"/>
  <c r="V106" i="11"/>
  <c r="W106" i="11"/>
  <c r="A107" i="11"/>
  <c r="B107" i="11"/>
  <c r="D107" i="11"/>
  <c r="E107" i="11"/>
  <c r="F107" i="11"/>
  <c r="G107" i="11"/>
  <c r="H107" i="11"/>
  <c r="T107" i="11"/>
  <c r="I107" i="11"/>
  <c r="J107" i="11"/>
  <c r="K107" i="11"/>
  <c r="L107" i="11"/>
  <c r="M107" i="11"/>
  <c r="U107" i="11"/>
  <c r="N107" i="11"/>
  <c r="O107" i="11"/>
  <c r="P107" i="11"/>
  <c r="Q107" i="11"/>
  <c r="V107" i="11"/>
  <c r="W107" i="11"/>
  <c r="A108" i="11"/>
  <c r="B108" i="11"/>
  <c r="D108" i="11"/>
  <c r="E108" i="11"/>
  <c r="F108" i="11"/>
  <c r="G108" i="11"/>
  <c r="H108" i="11"/>
  <c r="T108" i="11"/>
  <c r="I108" i="11"/>
  <c r="J108" i="11"/>
  <c r="K108" i="11"/>
  <c r="L108" i="11"/>
  <c r="M108" i="11"/>
  <c r="U108" i="11"/>
  <c r="N108" i="11"/>
  <c r="O108" i="11"/>
  <c r="P108" i="11"/>
  <c r="Q108" i="11"/>
  <c r="V108" i="11"/>
  <c r="W108" i="11"/>
  <c r="A109" i="11"/>
  <c r="B109" i="11"/>
  <c r="D109" i="11"/>
  <c r="E109" i="11"/>
  <c r="F109" i="11"/>
  <c r="G109" i="11"/>
  <c r="H109" i="11"/>
  <c r="T109" i="11"/>
  <c r="I109" i="11"/>
  <c r="J109" i="11"/>
  <c r="K109" i="11"/>
  <c r="L109" i="11"/>
  <c r="M109" i="11"/>
  <c r="U109" i="11"/>
  <c r="N109" i="11"/>
  <c r="O109" i="11"/>
  <c r="P109" i="11"/>
  <c r="Q109" i="11"/>
  <c r="V109" i="11"/>
  <c r="W109" i="11"/>
  <c r="A110" i="11"/>
  <c r="B110" i="11"/>
  <c r="D110" i="11"/>
  <c r="E110" i="11"/>
  <c r="F110" i="11"/>
  <c r="G110" i="11"/>
  <c r="H110" i="11"/>
  <c r="T110" i="11"/>
  <c r="I110" i="11"/>
  <c r="J110" i="11"/>
  <c r="K110" i="11"/>
  <c r="L110" i="11"/>
  <c r="M110" i="11"/>
  <c r="U110" i="11"/>
  <c r="N110" i="11"/>
  <c r="O110" i="11"/>
  <c r="P110" i="11"/>
  <c r="Q110" i="11"/>
  <c r="V110" i="11"/>
  <c r="W110" i="11"/>
  <c r="A111" i="11"/>
  <c r="B111" i="11"/>
  <c r="D111" i="11"/>
  <c r="E111" i="11"/>
  <c r="F111" i="11"/>
  <c r="G111" i="11"/>
  <c r="H111" i="11"/>
  <c r="T111" i="11"/>
  <c r="I111" i="11"/>
  <c r="J111" i="11"/>
  <c r="K111" i="11"/>
  <c r="L111" i="11"/>
  <c r="M111" i="11"/>
  <c r="U111" i="11"/>
  <c r="N111" i="11"/>
  <c r="O111" i="11"/>
  <c r="P111" i="11"/>
  <c r="Q111" i="11"/>
  <c r="V111" i="11"/>
  <c r="W111" i="11"/>
  <c r="A112" i="11"/>
  <c r="B112" i="11"/>
  <c r="D112" i="11"/>
  <c r="E112" i="11"/>
  <c r="F112" i="11"/>
  <c r="G112" i="11"/>
  <c r="H112" i="11"/>
  <c r="T112" i="11"/>
  <c r="I112" i="11"/>
  <c r="J112" i="11"/>
  <c r="K112" i="11"/>
  <c r="L112" i="11"/>
  <c r="M112" i="11"/>
  <c r="U112" i="11"/>
  <c r="N112" i="11"/>
  <c r="O112" i="11"/>
  <c r="P112" i="11"/>
  <c r="Q112" i="11"/>
  <c r="V112" i="11"/>
  <c r="W112" i="11"/>
  <c r="A113" i="11"/>
  <c r="B113" i="11"/>
  <c r="D113" i="11"/>
  <c r="E113" i="11"/>
  <c r="F113" i="11"/>
  <c r="G113" i="11"/>
  <c r="H113" i="11"/>
  <c r="T113" i="11"/>
  <c r="I113" i="11"/>
  <c r="J113" i="11"/>
  <c r="K113" i="11"/>
  <c r="L113" i="11"/>
  <c r="M113" i="11"/>
  <c r="U113" i="11"/>
  <c r="N113" i="11"/>
  <c r="O113" i="11"/>
  <c r="P113" i="11"/>
  <c r="Q113" i="11"/>
  <c r="V113" i="11"/>
  <c r="W113" i="11"/>
  <c r="A114" i="11"/>
  <c r="B114" i="11"/>
  <c r="D114" i="11"/>
  <c r="E114" i="11"/>
  <c r="F114" i="11"/>
  <c r="G114" i="11"/>
  <c r="H114" i="11"/>
  <c r="T114" i="11"/>
  <c r="I114" i="11"/>
  <c r="J114" i="11"/>
  <c r="K114" i="11"/>
  <c r="L114" i="11"/>
  <c r="M114" i="11"/>
  <c r="U114" i="11"/>
  <c r="N114" i="11"/>
  <c r="O114" i="11"/>
  <c r="P114" i="11"/>
  <c r="Q114" i="11"/>
  <c r="V114" i="11"/>
  <c r="W114" i="11"/>
  <c r="A115" i="11"/>
  <c r="B115" i="11"/>
  <c r="D115" i="11"/>
  <c r="E115" i="11"/>
  <c r="F115" i="11"/>
  <c r="G115" i="11"/>
  <c r="H115" i="11"/>
  <c r="T115" i="11"/>
  <c r="I115" i="11"/>
  <c r="J115" i="11"/>
  <c r="K115" i="11"/>
  <c r="L115" i="11"/>
  <c r="M115" i="11"/>
  <c r="U115" i="11"/>
  <c r="N115" i="11"/>
  <c r="O115" i="11"/>
  <c r="P115" i="11"/>
  <c r="Q115" i="11"/>
  <c r="V115" i="11"/>
  <c r="W115" i="11"/>
  <c r="A116" i="11"/>
  <c r="B116" i="11"/>
  <c r="D116" i="11"/>
  <c r="E116" i="11"/>
  <c r="F116" i="11"/>
  <c r="G116" i="11"/>
  <c r="H116" i="11"/>
  <c r="T116" i="11"/>
  <c r="I116" i="11"/>
  <c r="J116" i="11"/>
  <c r="K116" i="11"/>
  <c r="L116" i="11"/>
  <c r="M116" i="11"/>
  <c r="U116" i="11"/>
  <c r="N116" i="11"/>
  <c r="O116" i="11"/>
  <c r="P116" i="11"/>
  <c r="Q116" i="11"/>
  <c r="V116" i="11"/>
  <c r="W116" i="11"/>
  <c r="A117" i="11"/>
  <c r="B117" i="11"/>
  <c r="D117" i="11"/>
  <c r="E117" i="11"/>
  <c r="F117" i="11"/>
  <c r="G117" i="11"/>
  <c r="H117" i="11"/>
  <c r="T117" i="11"/>
  <c r="I117" i="11"/>
  <c r="J117" i="11"/>
  <c r="K117" i="11"/>
  <c r="L117" i="11"/>
  <c r="M117" i="11"/>
  <c r="U117" i="11"/>
  <c r="N117" i="11"/>
  <c r="O117" i="11"/>
  <c r="P117" i="11"/>
  <c r="Q117" i="11"/>
  <c r="V117" i="11"/>
  <c r="W117" i="11"/>
  <c r="A118" i="11"/>
  <c r="B118" i="11"/>
  <c r="D118" i="11"/>
  <c r="E118" i="11"/>
  <c r="F118" i="11"/>
  <c r="G118" i="11"/>
  <c r="H118" i="11"/>
  <c r="T118" i="11"/>
  <c r="I118" i="11"/>
  <c r="J118" i="11"/>
  <c r="K118" i="11"/>
  <c r="L118" i="11"/>
  <c r="M118" i="11"/>
  <c r="U118" i="11"/>
  <c r="N118" i="11"/>
  <c r="O118" i="11"/>
  <c r="P118" i="11"/>
  <c r="Q118" i="11"/>
  <c r="V118" i="11"/>
  <c r="W118" i="11"/>
  <c r="A119" i="11"/>
  <c r="B119" i="11"/>
  <c r="D119" i="11"/>
  <c r="E119" i="11"/>
  <c r="F119" i="11"/>
  <c r="G119" i="11"/>
  <c r="H119" i="11"/>
  <c r="T119" i="11"/>
  <c r="I119" i="11"/>
  <c r="J119" i="11"/>
  <c r="K119" i="11"/>
  <c r="L119" i="11"/>
  <c r="M119" i="11"/>
  <c r="U119" i="11"/>
  <c r="N119" i="11"/>
  <c r="O119" i="11"/>
  <c r="P119" i="11"/>
  <c r="Q119" i="11"/>
  <c r="V119" i="11"/>
  <c r="W119" i="11"/>
  <c r="A120" i="11"/>
  <c r="B120" i="11"/>
  <c r="D120" i="11"/>
  <c r="E120" i="11"/>
  <c r="F120" i="11"/>
  <c r="G120" i="11"/>
  <c r="H120" i="11"/>
  <c r="T120" i="11"/>
  <c r="I120" i="11"/>
  <c r="J120" i="11"/>
  <c r="K120" i="11"/>
  <c r="L120" i="11"/>
  <c r="M120" i="11"/>
  <c r="U120" i="11"/>
  <c r="N120" i="11"/>
  <c r="O120" i="11"/>
  <c r="P120" i="11"/>
  <c r="Q120" i="11"/>
  <c r="V120" i="11"/>
  <c r="W120" i="11"/>
  <c r="A121" i="11"/>
  <c r="B121" i="11"/>
  <c r="D121" i="11"/>
  <c r="E121" i="11"/>
  <c r="F121" i="11"/>
  <c r="G121" i="11"/>
  <c r="H121" i="11"/>
  <c r="T121" i="11"/>
  <c r="I121" i="11"/>
  <c r="J121" i="11"/>
  <c r="K121" i="11"/>
  <c r="L121" i="11"/>
  <c r="M121" i="11"/>
  <c r="U121" i="11"/>
  <c r="N121" i="11"/>
  <c r="O121" i="11"/>
  <c r="P121" i="11"/>
  <c r="Q121" i="11"/>
  <c r="V121" i="11"/>
  <c r="W121" i="11"/>
  <c r="A122" i="11"/>
  <c r="B122" i="11"/>
  <c r="D122" i="11"/>
  <c r="E122" i="11"/>
  <c r="F122" i="11"/>
  <c r="G122" i="11"/>
  <c r="H122" i="11"/>
  <c r="T122" i="11"/>
  <c r="I122" i="11"/>
  <c r="J122" i="11"/>
  <c r="K122" i="11"/>
  <c r="L122" i="11"/>
  <c r="M122" i="11"/>
  <c r="U122" i="11"/>
  <c r="N122" i="11"/>
  <c r="O122" i="11"/>
  <c r="P122" i="11"/>
  <c r="Q122" i="11"/>
  <c r="V122" i="11"/>
  <c r="W122" i="11"/>
  <c r="A123" i="11"/>
  <c r="B123" i="11"/>
  <c r="D123" i="11"/>
  <c r="E123" i="11"/>
  <c r="F123" i="11"/>
  <c r="G123" i="11"/>
  <c r="H123" i="11"/>
  <c r="T123" i="11"/>
  <c r="I123" i="11"/>
  <c r="J123" i="11"/>
  <c r="K123" i="11"/>
  <c r="L123" i="11"/>
  <c r="M123" i="11"/>
  <c r="U123" i="11"/>
  <c r="N123" i="11"/>
  <c r="O123" i="11"/>
  <c r="P123" i="11"/>
  <c r="Q123" i="11"/>
  <c r="V123" i="11"/>
  <c r="W123" i="11"/>
  <c r="A124" i="11"/>
  <c r="B124" i="11"/>
  <c r="D124" i="11"/>
  <c r="E124" i="11"/>
  <c r="F124" i="11"/>
  <c r="G124" i="11"/>
  <c r="H124" i="11"/>
  <c r="T124" i="11"/>
  <c r="I124" i="11"/>
  <c r="J124" i="11"/>
  <c r="K124" i="11"/>
  <c r="L124" i="11"/>
  <c r="M124" i="11"/>
  <c r="U124" i="11"/>
  <c r="N124" i="11"/>
  <c r="O124" i="11"/>
  <c r="P124" i="11"/>
  <c r="Q124" i="11"/>
  <c r="V124" i="11"/>
  <c r="W124" i="11"/>
  <c r="A125" i="11"/>
  <c r="B125" i="11"/>
  <c r="D125" i="11"/>
  <c r="E125" i="11"/>
  <c r="F125" i="11"/>
  <c r="G125" i="11"/>
  <c r="H125" i="11"/>
  <c r="T125" i="11"/>
  <c r="I125" i="11"/>
  <c r="J125" i="11"/>
  <c r="K125" i="11"/>
  <c r="L125" i="11"/>
  <c r="M125" i="11"/>
  <c r="U125" i="11"/>
  <c r="N125" i="11"/>
  <c r="O125" i="11"/>
  <c r="P125" i="11"/>
  <c r="Q125" i="11"/>
  <c r="V125" i="11"/>
  <c r="W125" i="11"/>
  <c r="A126" i="11"/>
  <c r="B126" i="11"/>
  <c r="D126" i="11"/>
  <c r="E126" i="11"/>
  <c r="F126" i="11"/>
  <c r="G126" i="11"/>
  <c r="H126" i="11"/>
  <c r="T126" i="11"/>
  <c r="I126" i="11"/>
  <c r="J126" i="11"/>
  <c r="K126" i="11"/>
  <c r="L126" i="11"/>
  <c r="M126" i="11"/>
  <c r="U126" i="11"/>
  <c r="N126" i="11"/>
  <c r="O126" i="11"/>
  <c r="P126" i="11"/>
  <c r="Q126" i="11"/>
  <c r="V126" i="11"/>
  <c r="W126" i="11"/>
  <c r="A127" i="11"/>
  <c r="B127" i="11"/>
  <c r="D127" i="11"/>
  <c r="E127" i="11"/>
  <c r="F127" i="11"/>
  <c r="G127" i="11"/>
  <c r="H127" i="11"/>
  <c r="T127" i="11"/>
  <c r="I127" i="11"/>
  <c r="J127" i="11"/>
  <c r="K127" i="11"/>
  <c r="L127" i="11"/>
  <c r="M127" i="11"/>
  <c r="U127" i="11"/>
  <c r="N127" i="11"/>
  <c r="O127" i="11"/>
  <c r="P127" i="11"/>
  <c r="Q127" i="11"/>
  <c r="V127" i="11"/>
  <c r="W127" i="11"/>
  <c r="A128" i="11"/>
  <c r="B128" i="11"/>
  <c r="D128" i="11"/>
  <c r="E128" i="11"/>
  <c r="F128" i="11"/>
  <c r="G128" i="11"/>
  <c r="H128" i="11"/>
  <c r="T128" i="11"/>
  <c r="I128" i="11"/>
  <c r="J128" i="11"/>
  <c r="K128" i="11"/>
  <c r="L128" i="11"/>
  <c r="M128" i="11"/>
  <c r="U128" i="11"/>
  <c r="N128" i="11"/>
  <c r="O128" i="11"/>
  <c r="P128" i="11"/>
  <c r="Q128" i="11"/>
  <c r="V128" i="11"/>
  <c r="W128" i="11"/>
  <c r="A129" i="11"/>
  <c r="B129" i="11"/>
  <c r="D129" i="11"/>
  <c r="E129" i="11"/>
  <c r="F129" i="11"/>
  <c r="G129" i="11"/>
  <c r="H129" i="11"/>
  <c r="T129" i="11"/>
  <c r="I129" i="11"/>
  <c r="J129" i="11"/>
  <c r="K129" i="11"/>
  <c r="L129" i="11"/>
  <c r="M129" i="11"/>
  <c r="U129" i="11"/>
  <c r="N129" i="11"/>
  <c r="O129" i="11"/>
  <c r="P129" i="11"/>
  <c r="Q129" i="11"/>
  <c r="V129" i="11"/>
  <c r="W129" i="11"/>
  <c r="A130" i="11"/>
  <c r="B130" i="11"/>
  <c r="D130" i="11"/>
  <c r="E130" i="11"/>
  <c r="F130" i="11"/>
  <c r="G130" i="11"/>
  <c r="H130" i="11"/>
  <c r="T130" i="11"/>
  <c r="I130" i="11"/>
  <c r="J130" i="11"/>
  <c r="K130" i="11"/>
  <c r="L130" i="11"/>
  <c r="M130" i="11"/>
  <c r="U130" i="11"/>
  <c r="N130" i="11"/>
  <c r="O130" i="11"/>
  <c r="P130" i="11"/>
  <c r="Q130" i="11"/>
  <c r="V130" i="11"/>
  <c r="W130" i="11"/>
  <c r="A131" i="11"/>
  <c r="B131" i="11"/>
  <c r="D131" i="11"/>
  <c r="E131" i="11"/>
  <c r="F131" i="11"/>
  <c r="G131" i="11"/>
  <c r="H131" i="11"/>
  <c r="T131" i="11"/>
  <c r="I131" i="11"/>
  <c r="J131" i="11"/>
  <c r="K131" i="11"/>
  <c r="L131" i="11"/>
  <c r="M131" i="11"/>
  <c r="U131" i="11"/>
  <c r="N131" i="11"/>
  <c r="O131" i="11"/>
  <c r="P131" i="11"/>
  <c r="Q131" i="11"/>
  <c r="V131" i="11"/>
  <c r="W131" i="11"/>
  <c r="A132" i="11"/>
  <c r="B132" i="11"/>
  <c r="D132" i="11"/>
  <c r="E132" i="11"/>
  <c r="F132" i="11"/>
  <c r="G132" i="11"/>
  <c r="H132" i="11"/>
  <c r="T132" i="11"/>
  <c r="I132" i="11"/>
  <c r="J132" i="11"/>
  <c r="K132" i="11"/>
  <c r="L132" i="11"/>
  <c r="M132" i="11"/>
  <c r="U132" i="11"/>
  <c r="N132" i="11"/>
  <c r="O132" i="11"/>
  <c r="P132" i="11"/>
  <c r="Q132" i="11"/>
  <c r="V132" i="11"/>
  <c r="W132" i="11"/>
  <c r="A133" i="11"/>
  <c r="B133" i="11"/>
  <c r="D133" i="11"/>
  <c r="E133" i="11"/>
  <c r="F133" i="11"/>
  <c r="G133" i="11"/>
  <c r="H133" i="11"/>
  <c r="T133" i="11"/>
  <c r="I133" i="11"/>
  <c r="J133" i="11"/>
  <c r="K133" i="11"/>
  <c r="L133" i="11"/>
  <c r="M133" i="11"/>
  <c r="U133" i="11"/>
  <c r="N133" i="11"/>
  <c r="O133" i="11"/>
  <c r="P133" i="11"/>
  <c r="Q133" i="11"/>
  <c r="V133" i="11"/>
  <c r="W133" i="11"/>
  <c r="A134" i="11"/>
  <c r="B134" i="11"/>
  <c r="D134" i="11"/>
  <c r="E134" i="11"/>
  <c r="F134" i="11"/>
  <c r="G134" i="11"/>
  <c r="H134" i="11"/>
  <c r="T134" i="11"/>
  <c r="I134" i="11"/>
  <c r="J134" i="11"/>
  <c r="K134" i="11"/>
  <c r="L134" i="11"/>
  <c r="M134" i="11"/>
  <c r="U134" i="11"/>
  <c r="N134" i="11"/>
  <c r="O134" i="11"/>
  <c r="P134" i="11"/>
  <c r="Q134" i="11"/>
  <c r="V134" i="11"/>
  <c r="W134" i="11"/>
  <c r="A135" i="11"/>
  <c r="B135" i="11"/>
  <c r="D135" i="11"/>
  <c r="E135" i="11"/>
  <c r="F135" i="11"/>
  <c r="G135" i="11"/>
  <c r="H135" i="11"/>
  <c r="T135" i="11"/>
  <c r="I135" i="11"/>
  <c r="J135" i="11"/>
  <c r="K135" i="11"/>
  <c r="L135" i="11"/>
  <c r="M135" i="11"/>
  <c r="U135" i="11"/>
  <c r="N135" i="11"/>
  <c r="O135" i="11"/>
  <c r="P135" i="11"/>
  <c r="Q135" i="11"/>
  <c r="V135" i="11"/>
  <c r="W135" i="11"/>
  <c r="A136" i="11"/>
  <c r="B136" i="11"/>
  <c r="D136" i="11"/>
  <c r="E136" i="11"/>
  <c r="F136" i="11"/>
  <c r="G136" i="11"/>
  <c r="H136" i="11"/>
  <c r="T136" i="11"/>
  <c r="I136" i="11"/>
  <c r="J136" i="11"/>
  <c r="K136" i="11"/>
  <c r="L136" i="11"/>
  <c r="M136" i="11"/>
  <c r="U136" i="11"/>
  <c r="N136" i="11"/>
  <c r="O136" i="11"/>
  <c r="P136" i="11"/>
  <c r="Q136" i="11"/>
  <c r="V136" i="11"/>
  <c r="W136" i="11"/>
  <c r="A137" i="11"/>
  <c r="B137" i="11"/>
  <c r="D137" i="11"/>
  <c r="E137" i="11"/>
  <c r="F137" i="11"/>
  <c r="G137" i="11"/>
  <c r="H137" i="11"/>
  <c r="T137" i="11"/>
  <c r="I137" i="11"/>
  <c r="J137" i="11"/>
  <c r="K137" i="11"/>
  <c r="L137" i="11"/>
  <c r="M137" i="11"/>
  <c r="U137" i="11"/>
  <c r="N137" i="11"/>
  <c r="O137" i="11"/>
  <c r="P137" i="11"/>
  <c r="Q137" i="11"/>
  <c r="V137" i="11"/>
  <c r="W137" i="11"/>
  <c r="A138" i="11"/>
  <c r="B138" i="11"/>
  <c r="D138" i="11"/>
  <c r="E138" i="11"/>
  <c r="F138" i="11"/>
  <c r="G138" i="11"/>
  <c r="H138" i="11"/>
  <c r="T138" i="11"/>
  <c r="I138" i="11"/>
  <c r="J138" i="11"/>
  <c r="K138" i="11"/>
  <c r="L138" i="11"/>
  <c r="M138" i="11"/>
  <c r="U138" i="11"/>
  <c r="N138" i="11"/>
  <c r="O138" i="11"/>
  <c r="P138" i="11"/>
  <c r="Q138" i="11"/>
  <c r="V138" i="11"/>
  <c r="W138" i="11"/>
  <c r="A139" i="11"/>
  <c r="B139" i="11"/>
  <c r="D139" i="11"/>
  <c r="E139" i="11"/>
  <c r="F139" i="11"/>
  <c r="G139" i="11"/>
  <c r="H139" i="11"/>
  <c r="T139" i="11"/>
  <c r="I139" i="11"/>
  <c r="J139" i="11"/>
  <c r="K139" i="11"/>
  <c r="L139" i="11"/>
  <c r="M139" i="11"/>
  <c r="U139" i="11"/>
  <c r="N139" i="11"/>
  <c r="O139" i="11"/>
  <c r="P139" i="11"/>
  <c r="Q139" i="11"/>
  <c r="V139" i="11"/>
  <c r="W139" i="11"/>
  <c r="A140" i="11"/>
  <c r="B140" i="11"/>
  <c r="D140" i="11"/>
  <c r="E140" i="11"/>
  <c r="F140" i="11"/>
  <c r="G140" i="11"/>
  <c r="H140" i="11"/>
  <c r="T140" i="11"/>
  <c r="I140" i="11"/>
  <c r="J140" i="11"/>
  <c r="K140" i="11"/>
  <c r="L140" i="11"/>
  <c r="M140" i="11"/>
  <c r="U140" i="11"/>
  <c r="N140" i="11"/>
  <c r="O140" i="11"/>
  <c r="P140" i="11"/>
  <c r="Q140" i="11"/>
  <c r="V140" i="11"/>
  <c r="W140" i="11"/>
  <c r="A141" i="11"/>
  <c r="B141" i="11"/>
  <c r="D141" i="11"/>
  <c r="E141" i="11"/>
  <c r="F141" i="11"/>
  <c r="G141" i="11"/>
  <c r="H141" i="11"/>
  <c r="T141" i="11"/>
  <c r="I141" i="11"/>
  <c r="J141" i="11"/>
  <c r="K141" i="11"/>
  <c r="L141" i="11"/>
  <c r="M141" i="11"/>
  <c r="U141" i="11"/>
  <c r="N141" i="11"/>
  <c r="O141" i="11"/>
  <c r="P141" i="11"/>
  <c r="Q141" i="11"/>
  <c r="V141" i="11"/>
  <c r="W141" i="11"/>
  <c r="A142" i="11"/>
  <c r="B142" i="11"/>
  <c r="D142" i="11"/>
  <c r="E142" i="11"/>
  <c r="F142" i="11"/>
  <c r="G142" i="11"/>
  <c r="H142" i="11"/>
  <c r="T142" i="11"/>
  <c r="I142" i="11"/>
  <c r="J142" i="11"/>
  <c r="K142" i="11"/>
  <c r="L142" i="11"/>
  <c r="M142" i="11"/>
  <c r="U142" i="11"/>
  <c r="N142" i="11"/>
  <c r="O142" i="11"/>
  <c r="P142" i="11"/>
  <c r="Q142" i="11"/>
  <c r="V142" i="11"/>
  <c r="W142" i="11"/>
  <c r="A143" i="11"/>
  <c r="B143" i="11"/>
  <c r="D143" i="11"/>
  <c r="E143" i="11"/>
  <c r="F143" i="11"/>
  <c r="G143" i="11"/>
  <c r="H143" i="11"/>
  <c r="T143" i="11"/>
  <c r="I143" i="11"/>
  <c r="J143" i="11"/>
  <c r="K143" i="11"/>
  <c r="L143" i="11"/>
  <c r="M143" i="11"/>
  <c r="U143" i="11"/>
  <c r="N143" i="11"/>
  <c r="O143" i="11"/>
  <c r="P143" i="11"/>
  <c r="Q143" i="11"/>
  <c r="V143" i="11"/>
  <c r="W143" i="11"/>
  <c r="A144" i="11"/>
  <c r="B144" i="11"/>
  <c r="D144" i="11"/>
  <c r="E144" i="11"/>
  <c r="F144" i="11"/>
  <c r="G144" i="11"/>
  <c r="H144" i="11"/>
  <c r="T144" i="11"/>
  <c r="I144" i="11"/>
  <c r="J144" i="11"/>
  <c r="K144" i="11"/>
  <c r="L144" i="11"/>
  <c r="M144" i="11"/>
  <c r="U144" i="11"/>
  <c r="N144" i="11"/>
  <c r="O144" i="11"/>
  <c r="P144" i="11"/>
  <c r="Q144" i="11"/>
  <c r="V144" i="11"/>
  <c r="W144" i="11"/>
  <c r="A145" i="11"/>
  <c r="B145" i="11"/>
  <c r="D145" i="11"/>
  <c r="E145" i="11"/>
  <c r="F145" i="11"/>
  <c r="G145" i="11"/>
  <c r="H145" i="11"/>
  <c r="T145" i="11"/>
  <c r="I145" i="11"/>
  <c r="J145" i="11"/>
  <c r="K145" i="11"/>
  <c r="L145" i="11"/>
  <c r="M145" i="11"/>
  <c r="U145" i="11"/>
  <c r="N145" i="11"/>
  <c r="O145" i="11"/>
  <c r="P145" i="11"/>
  <c r="Q145" i="11"/>
  <c r="V145" i="11"/>
  <c r="W145" i="11"/>
  <c r="A146" i="11"/>
  <c r="B146" i="11"/>
  <c r="D146" i="11"/>
  <c r="E146" i="11"/>
  <c r="F146" i="11"/>
  <c r="G146" i="11"/>
  <c r="H146" i="11"/>
  <c r="T146" i="11"/>
  <c r="I146" i="11"/>
  <c r="J146" i="11"/>
  <c r="K146" i="11"/>
  <c r="L146" i="11"/>
  <c r="M146" i="11"/>
  <c r="U146" i="11"/>
  <c r="N146" i="11"/>
  <c r="O146" i="11"/>
  <c r="P146" i="11"/>
  <c r="Q146" i="11"/>
  <c r="V146" i="11"/>
  <c r="W146" i="11"/>
  <c r="A147" i="11"/>
  <c r="B147" i="11"/>
  <c r="D147" i="11"/>
  <c r="E147" i="11"/>
  <c r="F147" i="11"/>
  <c r="G147" i="11"/>
  <c r="H147" i="11"/>
  <c r="T147" i="11"/>
  <c r="I147" i="11"/>
  <c r="J147" i="11"/>
  <c r="K147" i="11"/>
  <c r="L147" i="11"/>
  <c r="M147" i="11"/>
  <c r="U147" i="11"/>
  <c r="N147" i="11"/>
  <c r="O147" i="11"/>
  <c r="P147" i="11"/>
  <c r="Q147" i="11"/>
  <c r="V147" i="11"/>
  <c r="W147" i="11"/>
  <c r="A148" i="11"/>
  <c r="B148" i="11"/>
  <c r="D148" i="11"/>
  <c r="E148" i="11"/>
  <c r="F148" i="11"/>
  <c r="G148" i="11"/>
  <c r="H148" i="11"/>
  <c r="T148" i="11"/>
  <c r="I148" i="11"/>
  <c r="J148" i="11"/>
  <c r="K148" i="11"/>
  <c r="L148" i="11"/>
  <c r="M148" i="11"/>
  <c r="U148" i="11"/>
  <c r="N148" i="11"/>
  <c r="O148" i="11"/>
  <c r="P148" i="11"/>
  <c r="Q148" i="11"/>
  <c r="V148" i="11"/>
  <c r="W148" i="11"/>
  <c r="A149" i="11"/>
  <c r="B149" i="11"/>
  <c r="D149" i="11"/>
  <c r="E149" i="11"/>
  <c r="F149" i="11"/>
  <c r="G149" i="11"/>
  <c r="H149" i="11"/>
  <c r="T149" i="11"/>
  <c r="I149" i="11"/>
  <c r="J149" i="11"/>
  <c r="K149" i="11"/>
  <c r="L149" i="11"/>
  <c r="M149" i="11"/>
  <c r="U149" i="11"/>
  <c r="N149" i="11"/>
  <c r="O149" i="11"/>
  <c r="P149" i="11"/>
  <c r="Q149" i="11"/>
  <c r="V149" i="11"/>
  <c r="W149" i="11"/>
  <c r="A150" i="11"/>
  <c r="B150" i="11"/>
  <c r="D150" i="11"/>
  <c r="E150" i="11"/>
  <c r="F150" i="11"/>
  <c r="G150" i="11"/>
  <c r="H150" i="11"/>
  <c r="T150" i="11"/>
  <c r="I150" i="11"/>
  <c r="J150" i="11"/>
  <c r="K150" i="11"/>
  <c r="L150" i="11"/>
  <c r="M150" i="11"/>
  <c r="U150" i="11"/>
  <c r="N150" i="11"/>
  <c r="O150" i="11"/>
  <c r="P150" i="11"/>
  <c r="Q150" i="11"/>
  <c r="V150" i="11"/>
  <c r="W150" i="11"/>
  <c r="A151" i="11"/>
  <c r="B151" i="11"/>
  <c r="D151" i="11"/>
  <c r="E151" i="11"/>
  <c r="F151" i="11"/>
  <c r="G151" i="11"/>
  <c r="H151" i="11"/>
  <c r="T151" i="11"/>
  <c r="I151" i="11"/>
  <c r="J151" i="11"/>
  <c r="K151" i="11"/>
  <c r="L151" i="11"/>
  <c r="M151" i="11"/>
  <c r="U151" i="11"/>
  <c r="N151" i="11"/>
  <c r="O151" i="11"/>
  <c r="P151" i="11"/>
  <c r="Q151" i="11"/>
  <c r="V151" i="11"/>
  <c r="W151" i="11"/>
  <c r="A152" i="11"/>
  <c r="B152" i="11"/>
  <c r="D152" i="11"/>
  <c r="E152" i="11"/>
  <c r="F152" i="11"/>
  <c r="G152" i="11"/>
  <c r="H152" i="11"/>
  <c r="T152" i="11"/>
  <c r="I152" i="11"/>
  <c r="J152" i="11"/>
  <c r="K152" i="11"/>
  <c r="L152" i="11"/>
  <c r="M152" i="11"/>
  <c r="U152" i="11"/>
  <c r="N152" i="11"/>
  <c r="V152" i="11"/>
  <c r="W152" i="11"/>
  <c r="A153" i="11"/>
  <c r="B153" i="11"/>
  <c r="D153" i="11"/>
  <c r="E153" i="11"/>
  <c r="F153" i="11"/>
  <c r="G153" i="11"/>
  <c r="H153" i="11"/>
  <c r="T153" i="11"/>
  <c r="I153" i="11"/>
  <c r="J153" i="11"/>
  <c r="K153" i="11"/>
  <c r="L153" i="11"/>
  <c r="M153" i="11"/>
  <c r="U153" i="11"/>
  <c r="N153" i="11"/>
  <c r="V153" i="11"/>
  <c r="W153" i="11"/>
  <c r="A154" i="11"/>
  <c r="B154" i="11"/>
  <c r="D154" i="11"/>
  <c r="E154" i="11"/>
  <c r="F154" i="11"/>
  <c r="G154" i="11"/>
  <c r="H154" i="11"/>
  <c r="T154" i="11"/>
  <c r="I154" i="11"/>
  <c r="J154" i="11"/>
  <c r="K154" i="11"/>
  <c r="L154" i="11"/>
  <c r="M154" i="11"/>
  <c r="U154" i="11"/>
  <c r="N154" i="11"/>
  <c r="V154" i="11"/>
  <c r="W154" i="11"/>
  <c r="A155" i="11"/>
  <c r="B155" i="11"/>
  <c r="D155" i="11"/>
  <c r="E155" i="11"/>
  <c r="F155" i="11"/>
  <c r="G155" i="11"/>
  <c r="H155" i="11"/>
  <c r="T155" i="11"/>
  <c r="I155" i="11"/>
  <c r="J155" i="11"/>
  <c r="K155" i="11"/>
  <c r="L155" i="11"/>
  <c r="M155" i="11"/>
  <c r="U155" i="11"/>
  <c r="N155" i="11"/>
  <c r="V155" i="11"/>
  <c r="W155" i="11"/>
  <c r="A156" i="11"/>
  <c r="B156" i="11"/>
  <c r="D156" i="11"/>
  <c r="E156" i="11"/>
  <c r="F156" i="11"/>
  <c r="G156" i="11"/>
  <c r="H156" i="11"/>
  <c r="T156" i="11"/>
  <c r="I156" i="11"/>
  <c r="J156" i="11"/>
  <c r="K156" i="11"/>
  <c r="L156" i="11"/>
  <c r="M156" i="11"/>
  <c r="U156" i="11"/>
  <c r="N156" i="11"/>
  <c r="V156" i="11"/>
  <c r="W156" i="11"/>
  <c r="A157" i="11"/>
  <c r="B157" i="11"/>
  <c r="D157" i="11"/>
  <c r="E157" i="11"/>
  <c r="F157" i="11"/>
  <c r="G157" i="11"/>
  <c r="H157" i="11"/>
  <c r="T157" i="11"/>
  <c r="I157" i="11"/>
  <c r="J157" i="11"/>
  <c r="K157" i="11"/>
  <c r="L157" i="11"/>
  <c r="M157" i="11"/>
  <c r="U157" i="11"/>
  <c r="N157" i="11"/>
  <c r="V157" i="11"/>
  <c r="W157" i="11"/>
  <c r="A158" i="11"/>
  <c r="B158" i="11"/>
  <c r="D158" i="11"/>
  <c r="E158" i="11"/>
  <c r="F158" i="11"/>
  <c r="G158" i="11"/>
  <c r="H158" i="11"/>
  <c r="T158" i="11"/>
  <c r="I158" i="11"/>
  <c r="J158" i="11"/>
  <c r="K158" i="11"/>
  <c r="L158" i="11"/>
  <c r="M158" i="11"/>
  <c r="U158" i="11"/>
  <c r="N158" i="11"/>
  <c r="V158" i="11"/>
  <c r="W158" i="11"/>
  <c r="A159" i="11"/>
  <c r="B159" i="11"/>
  <c r="D159" i="11"/>
  <c r="E159" i="11"/>
  <c r="F159" i="11"/>
  <c r="G159" i="11"/>
  <c r="H159" i="11"/>
  <c r="T159" i="11"/>
  <c r="I159" i="11"/>
  <c r="J159" i="11"/>
  <c r="K159" i="11"/>
  <c r="L159" i="11"/>
  <c r="M159" i="11"/>
  <c r="U159" i="11"/>
  <c r="N159" i="11"/>
  <c r="V159" i="11"/>
  <c r="W159" i="11"/>
  <c r="A160" i="11"/>
  <c r="B160" i="11"/>
  <c r="D160" i="11"/>
  <c r="E160" i="11"/>
  <c r="F160" i="11"/>
  <c r="G160" i="11"/>
  <c r="H160" i="11"/>
  <c r="T160" i="11"/>
  <c r="I160" i="11"/>
  <c r="J160" i="11"/>
  <c r="K160" i="11"/>
  <c r="L160" i="11"/>
  <c r="M160" i="11"/>
  <c r="U160" i="11"/>
  <c r="N160" i="11"/>
  <c r="V160" i="11"/>
  <c r="W160" i="11"/>
  <c r="A161" i="11"/>
  <c r="B161" i="11"/>
  <c r="D161" i="11"/>
  <c r="E161" i="11"/>
  <c r="F161" i="11"/>
  <c r="G161" i="11"/>
  <c r="H161" i="11"/>
  <c r="T161" i="11"/>
  <c r="I161" i="11"/>
  <c r="J161" i="11"/>
  <c r="K161" i="11"/>
  <c r="L161" i="11"/>
  <c r="M161" i="11"/>
  <c r="U161" i="11"/>
  <c r="N161" i="11"/>
  <c r="V161" i="11"/>
  <c r="W161" i="11"/>
  <c r="A162" i="11"/>
  <c r="B162" i="11"/>
  <c r="D162" i="11"/>
  <c r="E162" i="11"/>
  <c r="F162" i="11"/>
  <c r="G162" i="11"/>
  <c r="H162" i="11"/>
  <c r="T162" i="11"/>
  <c r="I162" i="11"/>
  <c r="J162" i="11"/>
  <c r="K162" i="11"/>
  <c r="L162" i="11"/>
  <c r="M162" i="11"/>
  <c r="U162" i="11"/>
  <c r="N162" i="11"/>
  <c r="V162" i="11"/>
  <c r="W162" i="11"/>
  <c r="A163" i="11"/>
  <c r="B163" i="11"/>
  <c r="D163" i="11"/>
  <c r="E163" i="11"/>
  <c r="F163" i="11"/>
  <c r="G163" i="11"/>
  <c r="H163" i="11"/>
  <c r="T163" i="11"/>
  <c r="I163" i="11"/>
  <c r="J163" i="11"/>
  <c r="K163" i="11"/>
  <c r="L163" i="11"/>
  <c r="M163" i="11"/>
  <c r="U163" i="11"/>
  <c r="N163" i="11"/>
  <c r="V163" i="11"/>
  <c r="W163" i="11"/>
  <c r="A164" i="11"/>
  <c r="B164" i="11"/>
  <c r="D164" i="11"/>
  <c r="E164" i="11"/>
  <c r="F164" i="11"/>
  <c r="G164" i="11"/>
  <c r="H164" i="11"/>
  <c r="T164" i="11"/>
  <c r="I164" i="11"/>
  <c r="J164" i="11"/>
  <c r="K164" i="11"/>
  <c r="L164" i="11"/>
  <c r="M164" i="11"/>
  <c r="U164" i="11"/>
  <c r="N164" i="11"/>
  <c r="V164" i="11"/>
  <c r="W164" i="11"/>
  <c r="A165" i="11"/>
  <c r="B165" i="11"/>
  <c r="D165" i="11"/>
  <c r="E165" i="11"/>
  <c r="F165" i="11"/>
  <c r="G165" i="11"/>
  <c r="H165" i="11"/>
  <c r="T165" i="11"/>
  <c r="I165" i="11"/>
  <c r="J165" i="11"/>
  <c r="K165" i="11"/>
  <c r="L165" i="11"/>
  <c r="M165" i="11"/>
  <c r="U165" i="11"/>
  <c r="N165" i="11"/>
  <c r="V165" i="11"/>
  <c r="W165" i="11"/>
  <c r="A166" i="11"/>
  <c r="B166" i="11"/>
  <c r="D166" i="11"/>
  <c r="E166" i="11"/>
  <c r="F166" i="11"/>
  <c r="G166" i="11"/>
  <c r="H166" i="11"/>
  <c r="T166" i="11"/>
  <c r="I166" i="11"/>
  <c r="J166" i="11"/>
  <c r="K166" i="11"/>
  <c r="L166" i="11"/>
  <c r="M166" i="11"/>
  <c r="U166" i="11"/>
  <c r="N166" i="11"/>
  <c r="V166" i="11"/>
  <c r="W166" i="11"/>
  <c r="A167" i="11"/>
  <c r="B167" i="11"/>
  <c r="D167" i="11"/>
  <c r="E167" i="11"/>
  <c r="F167" i="11"/>
  <c r="G167" i="11"/>
  <c r="H167" i="11"/>
  <c r="T167" i="11"/>
  <c r="I167" i="11"/>
  <c r="J167" i="11"/>
  <c r="K167" i="11"/>
  <c r="L167" i="11"/>
  <c r="M167" i="11"/>
  <c r="U167" i="11"/>
  <c r="N167" i="11"/>
  <c r="V167" i="11"/>
  <c r="W167" i="11"/>
  <c r="A168" i="11"/>
  <c r="B168" i="11"/>
  <c r="D168" i="11"/>
  <c r="E168" i="11"/>
  <c r="F168" i="11"/>
  <c r="G168" i="11"/>
  <c r="H168" i="11"/>
  <c r="T168" i="11"/>
  <c r="I168" i="11"/>
  <c r="J168" i="11"/>
  <c r="K168" i="11"/>
  <c r="L168" i="11"/>
  <c r="M168" i="11"/>
  <c r="U168" i="11"/>
  <c r="N168" i="11"/>
  <c r="V168" i="11"/>
  <c r="W168" i="11"/>
  <c r="A169" i="11"/>
  <c r="B169" i="11"/>
  <c r="D169" i="11"/>
  <c r="E169" i="11"/>
  <c r="F169" i="11"/>
  <c r="G169" i="11"/>
  <c r="H169" i="11"/>
  <c r="T169" i="11"/>
  <c r="I169" i="11"/>
  <c r="J169" i="11"/>
  <c r="K169" i="11"/>
  <c r="L169" i="11"/>
  <c r="M169" i="11"/>
  <c r="U169" i="11"/>
  <c r="N169" i="11"/>
  <c r="V169" i="11"/>
  <c r="W169" i="11"/>
  <c r="A170" i="11"/>
  <c r="B170" i="11"/>
  <c r="D170" i="11"/>
  <c r="E170" i="11"/>
  <c r="F170" i="11"/>
  <c r="G170" i="11"/>
  <c r="H170" i="11"/>
  <c r="T170" i="11"/>
  <c r="I170" i="11"/>
  <c r="J170" i="11"/>
  <c r="K170" i="11"/>
  <c r="L170" i="11"/>
  <c r="M170" i="11"/>
  <c r="U170" i="11"/>
  <c r="N170" i="11"/>
  <c r="V170" i="11"/>
  <c r="W170" i="11"/>
  <c r="A171" i="11"/>
  <c r="B171" i="11"/>
  <c r="D171" i="11"/>
  <c r="E171" i="11"/>
  <c r="F171" i="11"/>
  <c r="G171" i="11"/>
  <c r="H171" i="11"/>
  <c r="T171" i="11"/>
  <c r="I171" i="11"/>
  <c r="J171" i="11"/>
  <c r="K171" i="11"/>
  <c r="L171" i="11"/>
  <c r="M171" i="11"/>
  <c r="U171" i="11"/>
  <c r="N171" i="11"/>
  <c r="V171" i="11"/>
  <c r="W171" i="11"/>
  <c r="A172" i="11"/>
  <c r="B172" i="11"/>
  <c r="D172" i="11"/>
  <c r="E172" i="11"/>
  <c r="F172" i="11"/>
  <c r="G172" i="11"/>
  <c r="H172" i="11"/>
  <c r="T172" i="11"/>
  <c r="I172" i="11"/>
  <c r="J172" i="11"/>
  <c r="K172" i="11"/>
  <c r="L172" i="11"/>
  <c r="M172" i="11"/>
  <c r="U172" i="11"/>
  <c r="N172" i="11"/>
  <c r="V172" i="11"/>
  <c r="W172" i="11"/>
  <c r="A173" i="11"/>
  <c r="B173" i="11"/>
  <c r="D173" i="11"/>
  <c r="E173" i="11"/>
  <c r="F173" i="11"/>
  <c r="G173" i="11"/>
  <c r="H173" i="11"/>
  <c r="T173" i="11"/>
  <c r="I173" i="11"/>
  <c r="J173" i="11"/>
  <c r="K173" i="11"/>
  <c r="L173" i="11"/>
  <c r="M173" i="11"/>
  <c r="U173" i="11"/>
  <c r="N173" i="11"/>
  <c r="V173" i="11"/>
  <c r="W173" i="11"/>
  <c r="A174" i="11"/>
  <c r="B174" i="11"/>
  <c r="D174" i="11"/>
  <c r="E174" i="11"/>
  <c r="F174" i="11"/>
  <c r="G174" i="11"/>
  <c r="H174" i="11"/>
  <c r="T174" i="11"/>
  <c r="I174" i="11"/>
  <c r="J174" i="11"/>
  <c r="K174" i="11"/>
  <c r="L174" i="11"/>
  <c r="M174" i="11"/>
  <c r="U174" i="11"/>
  <c r="N174" i="11"/>
  <c r="V174" i="11"/>
  <c r="W174" i="11"/>
  <c r="A175" i="11"/>
  <c r="B175" i="11"/>
  <c r="D175" i="11"/>
  <c r="E175" i="11"/>
  <c r="F175" i="11"/>
  <c r="G175" i="11"/>
  <c r="H175" i="11"/>
  <c r="T175" i="11"/>
  <c r="I175" i="11"/>
  <c r="J175" i="11"/>
  <c r="K175" i="11"/>
  <c r="L175" i="11"/>
  <c r="M175" i="11"/>
  <c r="U175" i="11"/>
  <c r="N175" i="11"/>
  <c r="V175" i="11"/>
  <c r="W175" i="11"/>
  <c r="A176" i="11"/>
  <c r="B176" i="11"/>
  <c r="D176" i="11"/>
  <c r="E176" i="11"/>
  <c r="F176" i="11"/>
  <c r="G176" i="11"/>
  <c r="H176" i="11"/>
  <c r="T176" i="11"/>
  <c r="I176" i="11"/>
  <c r="J176" i="11"/>
  <c r="K176" i="11"/>
  <c r="L176" i="11"/>
  <c r="M176" i="11"/>
  <c r="U176" i="11"/>
  <c r="N176" i="11"/>
  <c r="V176" i="11"/>
  <c r="W176" i="11"/>
  <c r="A177" i="11"/>
  <c r="B177" i="11"/>
  <c r="D177" i="11"/>
  <c r="E177" i="11"/>
  <c r="F177" i="11"/>
  <c r="G177" i="11"/>
  <c r="H177" i="11"/>
  <c r="T177" i="11"/>
  <c r="I177" i="11"/>
  <c r="J177" i="11"/>
  <c r="K177" i="11"/>
  <c r="L177" i="11"/>
  <c r="M177" i="11"/>
  <c r="U177" i="11"/>
  <c r="N177" i="11"/>
  <c r="V177" i="11"/>
  <c r="W177" i="11"/>
  <c r="A178" i="11"/>
  <c r="B178" i="11"/>
  <c r="D178" i="11"/>
  <c r="E178" i="11"/>
  <c r="F178" i="11"/>
  <c r="G178" i="11"/>
  <c r="H178" i="11"/>
  <c r="T178" i="11"/>
  <c r="I178" i="11"/>
  <c r="J178" i="11"/>
  <c r="K178" i="11"/>
  <c r="L178" i="11"/>
  <c r="M178" i="11"/>
  <c r="U178" i="11"/>
  <c r="N178" i="11"/>
  <c r="V178" i="11"/>
  <c r="W178" i="11"/>
  <c r="A179" i="11"/>
  <c r="B179" i="11"/>
  <c r="D179" i="11"/>
  <c r="E179" i="11"/>
  <c r="F179" i="11"/>
  <c r="G179" i="11"/>
  <c r="H179" i="11"/>
  <c r="T179" i="11"/>
  <c r="I179" i="11"/>
  <c r="J179" i="11"/>
  <c r="K179" i="11"/>
  <c r="L179" i="11"/>
  <c r="M179" i="11"/>
  <c r="U179" i="11"/>
  <c r="N179" i="11"/>
  <c r="V179" i="11"/>
  <c r="W179" i="11"/>
  <c r="A180" i="11"/>
  <c r="B180" i="11"/>
  <c r="D180" i="11"/>
  <c r="E180" i="11"/>
  <c r="F180" i="11"/>
  <c r="G180" i="11"/>
  <c r="H180" i="11"/>
  <c r="T180" i="11"/>
  <c r="I180" i="11"/>
  <c r="J180" i="11"/>
  <c r="K180" i="11"/>
  <c r="L180" i="11"/>
  <c r="M180" i="11"/>
  <c r="U180" i="11"/>
  <c r="N180" i="11"/>
  <c r="V180" i="11"/>
  <c r="W180" i="11"/>
  <c r="A181" i="11"/>
  <c r="B181" i="11"/>
  <c r="D181" i="11"/>
  <c r="E181" i="11"/>
  <c r="F181" i="11"/>
  <c r="G181" i="11"/>
  <c r="H181" i="11"/>
  <c r="T181" i="11"/>
  <c r="I181" i="11"/>
  <c r="J181" i="11"/>
  <c r="K181" i="11"/>
  <c r="L181" i="11"/>
  <c r="M181" i="11"/>
  <c r="U181" i="11"/>
  <c r="N181" i="11"/>
  <c r="V181" i="11"/>
  <c r="W181" i="11"/>
  <c r="A182" i="11"/>
  <c r="B182" i="11"/>
  <c r="D182" i="11"/>
  <c r="E182" i="11"/>
  <c r="F182" i="11"/>
  <c r="G182" i="11"/>
  <c r="H182" i="11"/>
  <c r="T182" i="11"/>
  <c r="I182" i="11"/>
  <c r="J182" i="11"/>
  <c r="K182" i="11"/>
  <c r="L182" i="11"/>
  <c r="M182" i="11"/>
  <c r="U182" i="11"/>
  <c r="N182" i="11"/>
  <c r="V182" i="11"/>
  <c r="W182" i="11"/>
  <c r="X4" i="11"/>
  <c r="X5" i="11"/>
  <c r="X6" i="11"/>
  <c r="Y4" i="11"/>
  <c r="Y5" i="11"/>
  <c r="Y6" i="11"/>
  <c r="X7" i="11"/>
  <c r="Y7" i="11"/>
  <c r="X8" i="11"/>
  <c r="Y8" i="11"/>
  <c r="X9" i="11"/>
  <c r="Y9" i="11"/>
  <c r="X10" i="11"/>
  <c r="Y10" i="11"/>
  <c r="X11" i="11"/>
  <c r="Y11" i="11"/>
  <c r="X12" i="11"/>
  <c r="Y12" i="11"/>
  <c r="X13" i="11"/>
  <c r="Y13" i="11"/>
  <c r="X14" i="11"/>
  <c r="Y14" i="11"/>
  <c r="X15" i="11"/>
  <c r="Y15" i="11"/>
  <c r="X16" i="11"/>
  <c r="Y16" i="11"/>
  <c r="X17" i="11"/>
  <c r="Y17" i="11"/>
  <c r="X18" i="11"/>
  <c r="Y18" i="11"/>
  <c r="X19" i="11"/>
  <c r="Y19" i="11"/>
  <c r="X20" i="11"/>
  <c r="Y20" i="11"/>
  <c r="X21" i="11"/>
  <c r="Y21" i="11"/>
  <c r="X22" i="11"/>
  <c r="Y22" i="11"/>
  <c r="X23" i="11"/>
  <c r="Y23" i="11"/>
  <c r="X24" i="11"/>
  <c r="Y24" i="11"/>
  <c r="X25" i="11"/>
  <c r="Y25" i="11"/>
  <c r="X26" i="11"/>
  <c r="Y26" i="11"/>
  <c r="X27" i="11"/>
  <c r="Y27" i="11"/>
  <c r="X28" i="11"/>
  <c r="Y28" i="11"/>
  <c r="X29" i="11"/>
  <c r="Y29" i="11"/>
  <c r="X30" i="11"/>
  <c r="Y30" i="11"/>
  <c r="X31" i="11"/>
  <c r="Y31" i="11"/>
  <c r="X32" i="11"/>
  <c r="Y32" i="11"/>
  <c r="X33" i="11"/>
  <c r="Y33" i="11"/>
  <c r="X34" i="11"/>
  <c r="Y34" i="11"/>
  <c r="X35" i="11"/>
  <c r="Y35" i="11"/>
  <c r="X36" i="11"/>
  <c r="Y36" i="11"/>
  <c r="X37" i="11"/>
  <c r="Y37" i="11"/>
  <c r="X38" i="11"/>
  <c r="Y38" i="11"/>
  <c r="X39" i="11"/>
  <c r="Y39" i="11"/>
  <c r="X40" i="11"/>
  <c r="Y40" i="11"/>
  <c r="X41" i="11"/>
  <c r="Y41" i="11"/>
  <c r="X42" i="11"/>
  <c r="Y42" i="11"/>
  <c r="X43" i="11"/>
  <c r="Y43" i="11"/>
  <c r="X44" i="11"/>
  <c r="Y44" i="11"/>
  <c r="X45" i="11"/>
  <c r="Y45" i="11"/>
  <c r="X46" i="11"/>
  <c r="Y46" i="11"/>
  <c r="X47" i="11"/>
  <c r="Y47" i="11"/>
  <c r="X48" i="11"/>
  <c r="Y48" i="11"/>
  <c r="X49" i="11"/>
  <c r="Y49" i="11"/>
  <c r="X50" i="11"/>
  <c r="Y50" i="11"/>
  <c r="X51" i="11"/>
  <c r="Y51" i="11"/>
  <c r="X52" i="11"/>
  <c r="Y52" i="11"/>
  <c r="X53" i="11"/>
  <c r="Y53" i="11"/>
  <c r="X54" i="11"/>
  <c r="Y54" i="11"/>
  <c r="X55" i="11"/>
  <c r="Y55" i="11"/>
  <c r="X56" i="11"/>
  <c r="Y56" i="11"/>
  <c r="X57" i="11"/>
  <c r="Y57" i="11"/>
  <c r="X58" i="11"/>
  <c r="Y58" i="11"/>
  <c r="X59" i="11"/>
  <c r="Y59" i="11"/>
  <c r="X60" i="11"/>
  <c r="Y60" i="11"/>
  <c r="X61" i="11"/>
  <c r="Y61" i="11"/>
  <c r="X62" i="11"/>
  <c r="Y62" i="11"/>
  <c r="X63" i="11"/>
  <c r="Y63" i="11"/>
  <c r="X64" i="11"/>
  <c r="Y64" i="11"/>
  <c r="X65" i="11"/>
  <c r="Y65" i="11"/>
  <c r="X66" i="11"/>
  <c r="Y66" i="11"/>
  <c r="X67" i="11"/>
  <c r="Y67" i="11"/>
  <c r="X68" i="11"/>
  <c r="Y68" i="11"/>
  <c r="X69" i="11"/>
  <c r="Y69" i="11"/>
  <c r="X70" i="11"/>
  <c r="Y70" i="11"/>
  <c r="X71" i="11"/>
  <c r="Y71" i="11"/>
  <c r="X72" i="11"/>
  <c r="Y72" i="11"/>
  <c r="X73" i="11"/>
  <c r="Y73" i="11"/>
  <c r="X74" i="11"/>
  <c r="Y74" i="11"/>
  <c r="X75" i="11"/>
  <c r="Y75" i="11"/>
  <c r="X76" i="11"/>
  <c r="Y76" i="11"/>
  <c r="X77" i="11"/>
  <c r="Y77" i="11"/>
  <c r="X78" i="11"/>
  <c r="Y78" i="11"/>
  <c r="X79" i="11"/>
  <c r="Y79" i="11"/>
  <c r="X80" i="11"/>
  <c r="Y80" i="11"/>
  <c r="X81" i="11"/>
  <c r="Y81" i="11"/>
  <c r="X82" i="11"/>
  <c r="Y82" i="11"/>
  <c r="X83" i="11"/>
  <c r="Y83" i="11"/>
  <c r="X84" i="11"/>
  <c r="Y84" i="11"/>
  <c r="X85" i="11"/>
  <c r="Y85" i="11"/>
  <c r="X86" i="11"/>
  <c r="Y86" i="11"/>
  <c r="X87" i="11"/>
  <c r="Y87" i="11"/>
  <c r="X88" i="11"/>
  <c r="Y88" i="11"/>
  <c r="X89" i="11"/>
  <c r="Y89" i="11"/>
  <c r="X90" i="11"/>
  <c r="Y90" i="11"/>
  <c r="X91" i="11"/>
  <c r="Y91" i="11"/>
  <c r="X92" i="11"/>
  <c r="Y92" i="11"/>
  <c r="X93" i="11"/>
  <c r="Y93" i="11"/>
  <c r="X94" i="11"/>
  <c r="Y94" i="11"/>
  <c r="X95" i="11"/>
  <c r="Y95" i="11"/>
  <c r="X96" i="11"/>
  <c r="Y96" i="11"/>
  <c r="X97" i="11"/>
  <c r="Y97" i="11"/>
  <c r="X98" i="11"/>
  <c r="Y98" i="11"/>
  <c r="X99" i="11"/>
  <c r="Y99" i="11"/>
  <c r="X100" i="11"/>
  <c r="Y100" i="11"/>
  <c r="X101" i="11"/>
  <c r="Y101" i="11"/>
  <c r="X102" i="11"/>
  <c r="Y102" i="11"/>
  <c r="X103" i="11"/>
  <c r="Y103" i="11"/>
  <c r="X104" i="11"/>
  <c r="Y104" i="11"/>
  <c r="X105" i="11"/>
  <c r="Y105" i="11"/>
  <c r="X106" i="11"/>
  <c r="Y106" i="11"/>
  <c r="X107" i="11"/>
  <c r="Y107" i="11"/>
  <c r="X108" i="11"/>
  <c r="Y108" i="11"/>
  <c r="X109" i="11"/>
  <c r="Y109" i="11"/>
  <c r="X110" i="11"/>
  <c r="Y110" i="11"/>
  <c r="X111" i="11"/>
  <c r="Y111" i="11"/>
  <c r="X112" i="11"/>
  <c r="Y112" i="11"/>
  <c r="X113" i="11"/>
  <c r="Y113" i="11"/>
  <c r="X114" i="11"/>
  <c r="Y114" i="11"/>
  <c r="X115" i="11"/>
  <c r="Y115" i="11"/>
  <c r="X116" i="11"/>
  <c r="Y116" i="11"/>
  <c r="X117" i="11"/>
  <c r="Y117" i="11"/>
  <c r="X118" i="11"/>
  <c r="Y118" i="11"/>
  <c r="X119" i="11"/>
  <c r="Y119" i="11"/>
  <c r="X120" i="11"/>
  <c r="Y120" i="11"/>
  <c r="X121" i="11"/>
  <c r="Y121" i="11"/>
  <c r="X122" i="11"/>
  <c r="Y122" i="11"/>
  <c r="X123" i="11"/>
  <c r="Y123" i="11"/>
  <c r="X124" i="11"/>
  <c r="Y124" i="11"/>
  <c r="X125" i="11"/>
  <c r="Y125" i="11"/>
  <c r="X126" i="11"/>
  <c r="Y126" i="11"/>
  <c r="X127" i="11"/>
  <c r="Y127" i="11"/>
  <c r="X128" i="11"/>
  <c r="Y128" i="11"/>
  <c r="X129" i="11"/>
  <c r="Y129" i="11"/>
  <c r="X130" i="11"/>
  <c r="Y130" i="11"/>
  <c r="X131" i="11"/>
  <c r="Y131" i="11"/>
  <c r="X132" i="11"/>
  <c r="Y132" i="11"/>
  <c r="X133" i="11"/>
  <c r="Y133" i="11"/>
  <c r="X134" i="11"/>
  <c r="Y134" i="11"/>
  <c r="X135" i="11"/>
  <c r="Y135" i="11"/>
  <c r="X136" i="11"/>
  <c r="Y136" i="11"/>
  <c r="X137" i="11"/>
  <c r="Y137" i="11"/>
  <c r="X138" i="11"/>
  <c r="Y138" i="11"/>
  <c r="X139" i="11"/>
  <c r="Y139" i="11"/>
  <c r="X140" i="11"/>
  <c r="Y140" i="11"/>
  <c r="X141" i="11"/>
  <c r="Y141" i="11"/>
  <c r="X142" i="11"/>
  <c r="Y142" i="11"/>
  <c r="X143" i="11"/>
  <c r="Y143" i="11"/>
  <c r="X144" i="11"/>
  <c r="Y144" i="11"/>
  <c r="X145" i="11"/>
  <c r="Y145" i="11"/>
  <c r="X146" i="11"/>
  <c r="Y146" i="11"/>
  <c r="X147" i="11"/>
  <c r="Y147" i="11"/>
  <c r="X148" i="11"/>
  <c r="Y148" i="11"/>
  <c r="X149" i="11"/>
  <c r="Y149" i="11"/>
  <c r="X150" i="11"/>
  <c r="Y150" i="11"/>
  <c r="X151" i="11"/>
  <c r="Y151" i="11"/>
  <c r="X152" i="11"/>
  <c r="Y152" i="11"/>
  <c r="X153" i="11"/>
  <c r="Y153" i="11"/>
  <c r="X154" i="11"/>
  <c r="Y154" i="11"/>
  <c r="X155" i="11"/>
  <c r="Y155" i="11"/>
  <c r="X156" i="11"/>
  <c r="Y156" i="11"/>
  <c r="X157" i="11"/>
  <c r="Y157" i="11"/>
  <c r="X158" i="11"/>
  <c r="Y158" i="11"/>
  <c r="X159" i="11"/>
  <c r="Y159" i="11"/>
  <c r="X160" i="11"/>
  <c r="Y160" i="11"/>
  <c r="X161" i="11"/>
  <c r="Y161" i="11"/>
  <c r="X162" i="11"/>
  <c r="Y162" i="11"/>
  <c r="X163" i="11"/>
  <c r="Y163" i="11"/>
  <c r="X164" i="11"/>
  <c r="Y164" i="11"/>
  <c r="X165" i="11"/>
  <c r="Y165" i="11"/>
  <c r="X166" i="11"/>
  <c r="Y166" i="11"/>
  <c r="X167" i="11"/>
  <c r="Y167" i="11"/>
  <c r="X168" i="11"/>
  <c r="Y168" i="11"/>
  <c r="X169" i="11"/>
  <c r="Y169" i="11"/>
  <c r="X170" i="11"/>
  <c r="Y170" i="11"/>
  <c r="X171" i="11"/>
  <c r="Y171" i="11"/>
  <c r="X172" i="11"/>
  <c r="Y172" i="11"/>
  <c r="X173" i="11"/>
  <c r="Y173" i="11"/>
  <c r="X174" i="11"/>
  <c r="Y174" i="11"/>
  <c r="X175" i="11"/>
  <c r="Y175" i="11"/>
  <c r="X176" i="11"/>
  <c r="Y176" i="11"/>
  <c r="X177" i="11"/>
  <c r="Y177" i="11"/>
  <c r="X178" i="11"/>
  <c r="Y178" i="11"/>
  <c r="X179" i="11"/>
  <c r="Y179" i="11"/>
  <c r="X180" i="11"/>
  <c r="Y180" i="11"/>
  <c r="X181" i="11"/>
  <c r="Y181" i="11"/>
  <c r="X182" i="11"/>
  <c r="Y182" i="11"/>
  <c r="H89" i="18"/>
  <c r="F89" i="18"/>
  <c r="D89" i="18"/>
  <c r="A4" i="10"/>
  <c r="B4" i="10"/>
  <c r="D4" i="10"/>
  <c r="E4" i="10"/>
  <c r="F4" i="10"/>
  <c r="G4" i="10"/>
  <c r="H4" i="10"/>
  <c r="V4" i="10"/>
  <c r="I4" i="10"/>
  <c r="J4" i="10"/>
  <c r="K4" i="10"/>
  <c r="L4" i="10"/>
  <c r="M4" i="10"/>
  <c r="W4" i="10"/>
  <c r="Q4" i="17"/>
  <c r="Q5" i="17"/>
  <c r="Q6" i="17"/>
  <c r="Q7" i="17"/>
  <c r="N4" i="10"/>
  <c r="P4" i="10"/>
  <c r="O4" i="10"/>
  <c r="Q4" i="10"/>
  <c r="R4" i="10"/>
  <c r="S4" i="10"/>
  <c r="X4" i="10"/>
  <c r="Y4" i="10"/>
  <c r="A5" i="10"/>
  <c r="B5" i="10"/>
  <c r="D5" i="10"/>
  <c r="E5" i="10"/>
  <c r="F5" i="10"/>
  <c r="G5" i="10"/>
  <c r="H5" i="10"/>
  <c r="V5" i="10"/>
  <c r="I5" i="10"/>
  <c r="J5" i="10"/>
  <c r="K5" i="10"/>
  <c r="L5" i="10"/>
  <c r="M5" i="10"/>
  <c r="W5" i="10"/>
  <c r="N5" i="10"/>
  <c r="P5" i="10"/>
  <c r="O5" i="10"/>
  <c r="Q5" i="10"/>
  <c r="R5" i="10"/>
  <c r="S5" i="10"/>
  <c r="X5" i="10"/>
  <c r="Y5" i="10"/>
  <c r="A6" i="10"/>
  <c r="B6" i="10"/>
  <c r="D6" i="10"/>
  <c r="E6" i="10"/>
  <c r="F6" i="10"/>
  <c r="G6" i="10"/>
  <c r="H6" i="10"/>
  <c r="V6" i="10"/>
  <c r="I6" i="10"/>
  <c r="J6" i="10"/>
  <c r="K6" i="10"/>
  <c r="L6" i="10"/>
  <c r="M6" i="10"/>
  <c r="W6" i="10"/>
  <c r="N6" i="10"/>
  <c r="P6" i="10"/>
  <c r="O6" i="10"/>
  <c r="Q6" i="10"/>
  <c r="R6" i="10"/>
  <c r="S6" i="10"/>
  <c r="X6" i="10"/>
  <c r="Y6" i="10"/>
  <c r="A7" i="10"/>
  <c r="B7" i="10"/>
  <c r="D7" i="10"/>
  <c r="E7" i="10"/>
  <c r="F7" i="10"/>
  <c r="G7" i="10"/>
  <c r="H7" i="10"/>
  <c r="V7" i="10"/>
  <c r="I7" i="10"/>
  <c r="J7" i="10"/>
  <c r="K7" i="10"/>
  <c r="L7" i="10"/>
  <c r="M7" i="10"/>
  <c r="W7" i="10"/>
  <c r="N7" i="10"/>
  <c r="P7" i="10"/>
  <c r="O7" i="10"/>
  <c r="Q7" i="10"/>
  <c r="R7" i="10"/>
  <c r="S7" i="10"/>
  <c r="X7" i="10"/>
  <c r="Y7" i="10"/>
  <c r="A8" i="10"/>
  <c r="B8" i="10"/>
  <c r="D8" i="10"/>
  <c r="E8" i="10"/>
  <c r="F8" i="10"/>
  <c r="G8" i="10"/>
  <c r="H8" i="10"/>
  <c r="V8" i="10"/>
  <c r="I8" i="10"/>
  <c r="J8" i="10"/>
  <c r="K8" i="10"/>
  <c r="L8" i="10"/>
  <c r="M8" i="10"/>
  <c r="W8" i="10"/>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N8" i="10"/>
  <c r="P8" i="10"/>
  <c r="O8" i="10"/>
  <c r="Q8" i="10"/>
  <c r="R8" i="10"/>
  <c r="S8" i="10"/>
  <c r="X8" i="10"/>
  <c r="Y8" i="10"/>
  <c r="A9" i="10"/>
  <c r="B9" i="10"/>
  <c r="D9" i="10"/>
  <c r="E9" i="10"/>
  <c r="F9" i="10"/>
  <c r="G9" i="10"/>
  <c r="H9" i="10"/>
  <c r="V9" i="10"/>
  <c r="I9" i="10"/>
  <c r="J9" i="10"/>
  <c r="K9" i="10"/>
  <c r="L9" i="10"/>
  <c r="M9" i="10"/>
  <c r="W9" i="10"/>
  <c r="N9" i="10"/>
  <c r="P9" i="10"/>
  <c r="O9" i="10"/>
  <c r="Q9" i="10"/>
  <c r="R9" i="10"/>
  <c r="S9" i="10"/>
  <c r="X9" i="10"/>
  <c r="Y9" i="10"/>
  <c r="A10" i="10"/>
  <c r="B10" i="10"/>
  <c r="D10" i="10"/>
  <c r="E10" i="10"/>
  <c r="F10" i="10"/>
  <c r="G10" i="10"/>
  <c r="H10" i="10"/>
  <c r="V10" i="10"/>
  <c r="I10" i="10"/>
  <c r="J10" i="10"/>
  <c r="K10" i="10"/>
  <c r="L10" i="10"/>
  <c r="M10" i="10"/>
  <c r="W10" i="10"/>
  <c r="N10" i="10"/>
  <c r="P10" i="10"/>
  <c r="O10" i="10"/>
  <c r="Q10" i="10"/>
  <c r="R10" i="10"/>
  <c r="S10" i="10"/>
  <c r="X10" i="10"/>
  <c r="Y10" i="10"/>
  <c r="A11" i="10"/>
  <c r="B11" i="10"/>
  <c r="D11" i="10"/>
  <c r="E11" i="10"/>
  <c r="F11" i="10"/>
  <c r="G11" i="10"/>
  <c r="H11" i="10"/>
  <c r="V11" i="10"/>
  <c r="I11" i="10"/>
  <c r="J11" i="10"/>
  <c r="K11" i="10"/>
  <c r="L11" i="10"/>
  <c r="M11" i="10"/>
  <c r="W11" i="10"/>
  <c r="N11" i="10"/>
  <c r="P11" i="10"/>
  <c r="O11" i="10"/>
  <c r="Q11" i="10"/>
  <c r="R11" i="10"/>
  <c r="S11" i="10"/>
  <c r="X11" i="10"/>
  <c r="Y11" i="10"/>
  <c r="A12" i="10"/>
  <c r="B12" i="10"/>
  <c r="D12" i="10"/>
  <c r="E12" i="10"/>
  <c r="F12" i="10"/>
  <c r="G12" i="10"/>
  <c r="H12" i="10"/>
  <c r="V12" i="10"/>
  <c r="I12" i="10"/>
  <c r="J12" i="10"/>
  <c r="K12" i="10"/>
  <c r="L12" i="10"/>
  <c r="M12" i="10"/>
  <c r="W12" i="10"/>
  <c r="N12" i="10"/>
  <c r="P12" i="10"/>
  <c r="O12" i="10"/>
  <c r="Q12" i="10"/>
  <c r="R12" i="10"/>
  <c r="S12" i="10"/>
  <c r="X12" i="10"/>
  <c r="Y12" i="10"/>
  <c r="A13" i="10"/>
  <c r="B13" i="10"/>
  <c r="D13" i="10"/>
  <c r="E13" i="10"/>
  <c r="F13" i="10"/>
  <c r="G13" i="10"/>
  <c r="H13" i="10"/>
  <c r="V13" i="10"/>
  <c r="I13" i="10"/>
  <c r="J13" i="10"/>
  <c r="K13" i="10"/>
  <c r="L13" i="10"/>
  <c r="M13" i="10"/>
  <c r="W13" i="10"/>
  <c r="N13" i="10"/>
  <c r="P13" i="10"/>
  <c r="O13" i="10"/>
  <c r="Q13" i="10"/>
  <c r="R13" i="10"/>
  <c r="S13" i="10"/>
  <c r="X13" i="10"/>
  <c r="Y13" i="10"/>
  <c r="A14" i="10"/>
  <c r="B14" i="10"/>
  <c r="D14" i="10"/>
  <c r="E14" i="10"/>
  <c r="F14" i="10"/>
  <c r="G14" i="10"/>
  <c r="H14" i="10"/>
  <c r="V14" i="10"/>
  <c r="I14" i="10"/>
  <c r="J14" i="10"/>
  <c r="K14" i="10"/>
  <c r="L14" i="10"/>
  <c r="M14" i="10"/>
  <c r="W14" i="10"/>
  <c r="N14" i="10"/>
  <c r="P14" i="10"/>
  <c r="O14" i="10"/>
  <c r="Q14" i="10"/>
  <c r="R14" i="10"/>
  <c r="S14" i="10"/>
  <c r="X14" i="10"/>
  <c r="Y14" i="10"/>
  <c r="A15" i="10"/>
  <c r="B15" i="10"/>
  <c r="D15" i="10"/>
  <c r="E15" i="10"/>
  <c r="F15" i="10"/>
  <c r="G15" i="10"/>
  <c r="H15" i="10"/>
  <c r="V15" i="10"/>
  <c r="I15" i="10"/>
  <c r="J15" i="10"/>
  <c r="K15" i="10"/>
  <c r="L15" i="10"/>
  <c r="M15" i="10"/>
  <c r="W15" i="10"/>
  <c r="N15" i="10"/>
  <c r="P15" i="10"/>
  <c r="O15" i="10"/>
  <c r="Q15" i="10"/>
  <c r="R15" i="10"/>
  <c r="S15" i="10"/>
  <c r="X15" i="10"/>
  <c r="Y15" i="10"/>
  <c r="A16" i="10"/>
  <c r="B16" i="10"/>
  <c r="D16" i="10"/>
  <c r="E16" i="10"/>
  <c r="F16" i="10"/>
  <c r="G16" i="10"/>
  <c r="H16" i="10"/>
  <c r="V16" i="10"/>
  <c r="I16" i="10"/>
  <c r="J16" i="10"/>
  <c r="K16" i="10"/>
  <c r="L16" i="10"/>
  <c r="M16" i="10"/>
  <c r="W16" i="10"/>
  <c r="N16" i="10"/>
  <c r="P16" i="10"/>
  <c r="O16" i="10"/>
  <c r="Q16" i="10"/>
  <c r="R16" i="10"/>
  <c r="S16" i="10"/>
  <c r="X16" i="10"/>
  <c r="Y16" i="10"/>
  <c r="A17" i="10"/>
  <c r="B17" i="10"/>
  <c r="D17" i="10"/>
  <c r="E17" i="10"/>
  <c r="F17" i="10"/>
  <c r="G17" i="10"/>
  <c r="H17" i="10"/>
  <c r="V17" i="10"/>
  <c r="I17" i="10"/>
  <c r="J17" i="10"/>
  <c r="K17" i="10"/>
  <c r="L17" i="10"/>
  <c r="M17" i="10"/>
  <c r="W17" i="10"/>
  <c r="N17" i="10"/>
  <c r="P17" i="10"/>
  <c r="O17" i="10"/>
  <c r="Q17" i="10"/>
  <c r="R17" i="10"/>
  <c r="S17" i="10"/>
  <c r="X17" i="10"/>
  <c r="Y17" i="10"/>
  <c r="A18" i="10"/>
  <c r="B18" i="10"/>
  <c r="D18" i="10"/>
  <c r="E18" i="10"/>
  <c r="F18" i="10"/>
  <c r="G18" i="10"/>
  <c r="H18" i="10"/>
  <c r="V18" i="10"/>
  <c r="I18" i="10"/>
  <c r="J18" i="10"/>
  <c r="K18" i="10"/>
  <c r="L18" i="10"/>
  <c r="M18" i="10"/>
  <c r="W18" i="10"/>
  <c r="N18" i="10"/>
  <c r="P18" i="10"/>
  <c r="O18" i="10"/>
  <c r="Q18" i="10"/>
  <c r="R18" i="10"/>
  <c r="S18" i="10"/>
  <c r="X18" i="10"/>
  <c r="Y18" i="10"/>
  <c r="A19" i="10"/>
  <c r="B19" i="10"/>
  <c r="D19" i="10"/>
  <c r="E19" i="10"/>
  <c r="F19" i="10"/>
  <c r="G19" i="10"/>
  <c r="H19" i="10"/>
  <c r="V19" i="10"/>
  <c r="I19" i="10"/>
  <c r="J19" i="10"/>
  <c r="K19" i="10"/>
  <c r="L19" i="10"/>
  <c r="M19" i="10"/>
  <c r="W19" i="10"/>
  <c r="N19" i="10"/>
  <c r="P19" i="10"/>
  <c r="O19" i="10"/>
  <c r="Q19" i="10"/>
  <c r="R19" i="10"/>
  <c r="S19" i="10"/>
  <c r="X19" i="10"/>
  <c r="Y19" i="10"/>
  <c r="A20" i="10"/>
  <c r="B20" i="10"/>
  <c r="D20" i="10"/>
  <c r="E20" i="10"/>
  <c r="F20" i="10"/>
  <c r="G20" i="10"/>
  <c r="H20" i="10"/>
  <c r="V20" i="10"/>
  <c r="I20" i="10"/>
  <c r="J20" i="10"/>
  <c r="K20" i="10"/>
  <c r="L20" i="10"/>
  <c r="M20" i="10"/>
  <c r="W20" i="10"/>
  <c r="N20" i="10"/>
  <c r="P20" i="10"/>
  <c r="O20" i="10"/>
  <c r="Q20" i="10"/>
  <c r="R20" i="10"/>
  <c r="S20" i="10"/>
  <c r="X20" i="10"/>
  <c r="Y20" i="10"/>
  <c r="A21" i="10"/>
  <c r="B21" i="10"/>
  <c r="D21" i="10"/>
  <c r="E21" i="10"/>
  <c r="F21" i="10"/>
  <c r="G21" i="10"/>
  <c r="H21" i="10"/>
  <c r="V21" i="10"/>
  <c r="I21" i="10"/>
  <c r="J21" i="10"/>
  <c r="K21" i="10"/>
  <c r="L21" i="10"/>
  <c r="M21" i="10"/>
  <c r="W21" i="10"/>
  <c r="N21" i="10"/>
  <c r="P21" i="10"/>
  <c r="O21" i="10"/>
  <c r="Q21" i="10"/>
  <c r="R21" i="10"/>
  <c r="S21" i="10"/>
  <c r="X21" i="10"/>
  <c r="Y21" i="10"/>
  <c r="A22" i="10"/>
  <c r="B22" i="10"/>
  <c r="D22" i="10"/>
  <c r="E22" i="10"/>
  <c r="F22" i="10"/>
  <c r="G22" i="10"/>
  <c r="H22" i="10"/>
  <c r="V22" i="10"/>
  <c r="I22" i="10"/>
  <c r="J22" i="10"/>
  <c r="K22" i="10"/>
  <c r="L22" i="10"/>
  <c r="M22" i="10"/>
  <c r="W22" i="10"/>
  <c r="N22" i="10"/>
  <c r="P22" i="10"/>
  <c r="O22" i="10"/>
  <c r="Q22" i="10"/>
  <c r="R22" i="10"/>
  <c r="S22" i="10"/>
  <c r="X22" i="10"/>
  <c r="Y22" i="10"/>
  <c r="A23" i="10"/>
  <c r="B23" i="10"/>
  <c r="D23" i="10"/>
  <c r="E23" i="10"/>
  <c r="F23" i="10"/>
  <c r="G23" i="10"/>
  <c r="H23" i="10"/>
  <c r="V23" i="10"/>
  <c r="I23" i="10"/>
  <c r="J23" i="10"/>
  <c r="K23" i="10"/>
  <c r="L23" i="10"/>
  <c r="M23" i="10"/>
  <c r="W23" i="10"/>
  <c r="N23" i="10"/>
  <c r="P23" i="10"/>
  <c r="O23" i="10"/>
  <c r="Q23" i="10"/>
  <c r="R23" i="10"/>
  <c r="S23" i="10"/>
  <c r="X23" i="10"/>
  <c r="Y23" i="10"/>
  <c r="A24" i="10"/>
  <c r="B24" i="10"/>
  <c r="D24" i="10"/>
  <c r="E24" i="10"/>
  <c r="F24" i="10"/>
  <c r="G24" i="10"/>
  <c r="H24" i="10"/>
  <c r="V24" i="10"/>
  <c r="I24" i="10"/>
  <c r="J24" i="10"/>
  <c r="K24" i="10"/>
  <c r="L24" i="10"/>
  <c r="M24" i="10"/>
  <c r="W24" i="10"/>
  <c r="N24" i="10"/>
  <c r="P24" i="10"/>
  <c r="O24" i="10"/>
  <c r="Q24" i="10"/>
  <c r="R24" i="10"/>
  <c r="S24" i="10"/>
  <c r="X24" i="10"/>
  <c r="Y24" i="10"/>
  <c r="A25" i="10"/>
  <c r="B25" i="10"/>
  <c r="D25" i="10"/>
  <c r="E25" i="10"/>
  <c r="F25" i="10"/>
  <c r="G25" i="10"/>
  <c r="H25" i="10"/>
  <c r="V25" i="10"/>
  <c r="I25" i="10"/>
  <c r="J25" i="10"/>
  <c r="K25" i="10"/>
  <c r="L25" i="10"/>
  <c r="M25" i="10"/>
  <c r="W25" i="10"/>
  <c r="N25" i="10"/>
  <c r="P25" i="10"/>
  <c r="O25" i="10"/>
  <c r="Q25" i="10"/>
  <c r="R25" i="10"/>
  <c r="S25" i="10"/>
  <c r="X25" i="10"/>
  <c r="Y25" i="10"/>
  <c r="A26" i="10"/>
  <c r="B26" i="10"/>
  <c r="D26" i="10"/>
  <c r="E26" i="10"/>
  <c r="F26" i="10"/>
  <c r="G26" i="10"/>
  <c r="H26" i="10"/>
  <c r="V26" i="10"/>
  <c r="I26" i="10"/>
  <c r="J26" i="10"/>
  <c r="K26" i="10"/>
  <c r="L26" i="10"/>
  <c r="M26" i="10"/>
  <c r="W26" i="10"/>
  <c r="N26" i="10"/>
  <c r="P26" i="10"/>
  <c r="O26" i="10"/>
  <c r="Q26" i="10"/>
  <c r="R26" i="10"/>
  <c r="S26" i="10"/>
  <c r="X26" i="10"/>
  <c r="Y26" i="10"/>
  <c r="A27" i="10"/>
  <c r="B27" i="10"/>
  <c r="D27" i="10"/>
  <c r="E27" i="10"/>
  <c r="F27" i="10"/>
  <c r="G27" i="10"/>
  <c r="H27" i="10"/>
  <c r="V27" i="10"/>
  <c r="I27" i="10"/>
  <c r="J27" i="10"/>
  <c r="K27" i="10"/>
  <c r="L27" i="10"/>
  <c r="M27" i="10"/>
  <c r="W27" i="10"/>
  <c r="N27" i="10"/>
  <c r="P27" i="10"/>
  <c r="O27" i="10"/>
  <c r="Q27" i="10"/>
  <c r="R27" i="10"/>
  <c r="S27" i="10"/>
  <c r="X27" i="10"/>
  <c r="Y27" i="10"/>
  <c r="A28" i="10"/>
  <c r="B28" i="10"/>
  <c r="D28" i="10"/>
  <c r="E28" i="10"/>
  <c r="F28" i="10"/>
  <c r="G28" i="10"/>
  <c r="H28" i="10"/>
  <c r="V28" i="10"/>
  <c r="I28" i="10"/>
  <c r="J28" i="10"/>
  <c r="K28" i="10"/>
  <c r="L28" i="10"/>
  <c r="M28" i="10"/>
  <c r="W28" i="10"/>
  <c r="N28" i="10"/>
  <c r="P28" i="10"/>
  <c r="O28" i="10"/>
  <c r="Q28" i="10"/>
  <c r="R28" i="10"/>
  <c r="S28" i="10"/>
  <c r="X28" i="10"/>
  <c r="Y28" i="10"/>
  <c r="A29" i="10"/>
  <c r="B29" i="10"/>
  <c r="D29" i="10"/>
  <c r="E29" i="10"/>
  <c r="F29" i="10"/>
  <c r="G29" i="10"/>
  <c r="H29" i="10"/>
  <c r="V29" i="10"/>
  <c r="I29" i="10"/>
  <c r="J29" i="10"/>
  <c r="K29" i="10"/>
  <c r="L29" i="10"/>
  <c r="M29" i="10"/>
  <c r="W29" i="10"/>
  <c r="N29" i="10"/>
  <c r="P29" i="10"/>
  <c r="O29" i="10"/>
  <c r="Q29" i="10"/>
  <c r="R29" i="10"/>
  <c r="S29" i="10"/>
  <c r="X29" i="10"/>
  <c r="Y29" i="10"/>
  <c r="A30" i="10"/>
  <c r="B30" i="10"/>
  <c r="D30" i="10"/>
  <c r="E30" i="10"/>
  <c r="F30" i="10"/>
  <c r="G30" i="10"/>
  <c r="H30" i="10"/>
  <c r="V30" i="10"/>
  <c r="I30" i="10"/>
  <c r="J30" i="10"/>
  <c r="K30" i="10"/>
  <c r="L30" i="10"/>
  <c r="M30" i="10"/>
  <c r="W30" i="10"/>
  <c r="N30" i="10"/>
  <c r="P30" i="10"/>
  <c r="O30" i="10"/>
  <c r="Q30" i="10"/>
  <c r="R30" i="10"/>
  <c r="S30" i="10"/>
  <c r="X30" i="10"/>
  <c r="Y30" i="10"/>
  <c r="A31" i="10"/>
  <c r="B31" i="10"/>
  <c r="D31" i="10"/>
  <c r="E31" i="10"/>
  <c r="F31" i="10"/>
  <c r="G31" i="10"/>
  <c r="H31" i="10"/>
  <c r="V31" i="10"/>
  <c r="I31" i="10"/>
  <c r="J31" i="10"/>
  <c r="K31" i="10"/>
  <c r="L31" i="10"/>
  <c r="M31" i="10"/>
  <c r="W31" i="10"/>
  <c r="N31" i="10"/>
  <c r="P31" i="10"/>
  <c r="O31" i="10"/>
  <c r="Q31" i="10"/>
  <c r="R31" i="10"/>
  <c r="S31" i="10"/>
  <c r="X31" i="10"/>
  <c r="Y31" i="10"/>
  <c r="A32" i="10"/>
  <c r="B32" i="10"/>
  <c r="D32" i="10"/>
  <c r="E32" i="10"/>
  <c r="F32" i="10"/>
  <c r="G32" i="10"/>
  <c r="H32" i="10"/>
  <c r="V32" i="10"/>
  <c r="I32" i="10"/>
  <c r="J32" i="10"/>
  <c r="K32" i="10"/>
  <c r="L32" i="10"/>
  <c r="M32" i="10"/>
  <c r="W32" i="10"/>
  <c r="N32" i="10"/>
  <c r="P32" i="10"/>
  <c r="O32" i="10"/>
  <c r="Q32" i="10"/>
  <c r="R32" i="10"/>
  <c r="S32" i="10"/>
  <c r="X32" i="10"/>
  <c r="Y32" i="10"/>
  <c r="A33" i="10"/>
  <c r="B33" i="10"/>
  <c r="D33" i="10"/>
  <c r="E33" i="10"/>
  <c r="F33" i="10"/>
  <c r="G33" i="10"/>
  <c r="H33" i="10"/>
  <c r="V33" i="10"/>
  <c r="I33" i="10"/>
  <c r="J33" i="10"/>
  <c r="K33" i="10"/>
  <c r="L33" i="10"/>
  <c r="M33" i="10"/>
  <c r="W33" i="10"/>
  <c r="N33" i="10"/>
  <c r="P33" i="10"/>
  <c r="O33" i="10"/>
  <c r="Q33" i="10"/>
  <c r="R33" i="10"/>
  <c r="S33" i="10"/>
  <c r="X33" i="10"/>
  <c r="Y33" i="10"/>
  <c r="A34" i="10"/>
  <c r="B34" i="10"/>
  <c r="D34" i="10"/>
  <c r="E34" i="10"/>
  <c r="F34" i="10"/>
  <c r="G34" i="10"/>
  <c r="H34" i="10"/>
  <c r="V34" i="10"/>
  <c r="I34" i="10"/>
  <c r="J34" i="10"/>
  <c r="K34" i="10"/>
  <c r="L34" i="10"/>
  <c r="M34" i="10"/>
  <c r="W34" i="10"/>
  <c r="N34" i="10"/>
  <c r="P34" i="10"/>
  <c r="O34" i="10"/>
  <c r="Q34" i="10"/>
  <c r="R34" i="10"/>
  <c r="S34" i="10"/>
  <c r="X34" i="10"/>
  <c r="Y34" i="10"/>
  <c r="A35" i="10"/>
  <c r="B35" i="10"/>
  <c r="D35" i="10"/>
  <c r="E35" i="10"/>
  <c r="F35" i="10"/>
  <c r="G35" i="10"/>
  <c r="H35" i="10"/>
  <c r="V35" i="10"/>
  <c r="I35" i="10"/>
  <c r="J35" i="10"/>
  <c r="K35" i="10"/>
  <c r="L35" i="10"/>
  <c r="M35" i="10"/>
  <c r="W35" i="10"/>
  <c r="N35" i="10"/>
  <c r="P35" i="10"/>
  <c r="O35" i="10"/>
  <c r="Q35" i="10"/>
  <c r="R35" i="10"/>
  <c r="S35" i="10"/>
  <c r="X35" i="10"/>
  <c r="Y35" i="10"/>
  <c r="A36" i="10"/>
  <c r="B36" i="10"/>
  <c r="D36" i="10"/>
  <c r="E36" i="10"/>
  <c r="F36" i="10"/>
  <c r="G36" i="10"/>
  <c r="H36" i="10"/>
  <c r="V36" i="10"/>
  <c r="I36" i="10"/>
  <c r="J36" i="10"/>
  <c r="K36" i="10"/>
  <c r="L36" i="10"/>
  <c r="M36" i="10"/>
  <c r="W36" i="10"/>
  <c r="N36" i="10"/>
  <c r="P36" i="10"/>
  <c r="O36" i="10"/>
  <c r="Q36" i="10"/>
  <c r="R36" i="10"/>
  <c r="S36" i="10"/>
  <c r="X36" i="10"/>
  <c r="Y36" i="10"/>
  <c r="A37" i="10"/>
  <c r="B37" i="10"/>
  <c r="D37" i="10"/>
  <c r="E37" i="10"/>
  <c r="F37" i="10"/>
  <c r="G37" i="10"/>
  <c r="H37" i="10"/>
  <c r="V37" i="10"/>
  <c r="I37" i="10"/>
  <c r="J37" i="10"/>
  <c r="K37" i="10"/>
  <c r="L37" i="10"/>
  <c r="M37" i="10"/>
  <c r="W37" i="10"/>
  <c r="N37" i="10"/>
  <c r="P37" i="10"/>
  <c r="O37" i="10"/>
  <c r="Q37" i="10"/>
  <c r="R37" i="10"/>
  <c r="S37" i="10"/>
  <c r="X37" i="10"/>
  <c r="Y37" i="10"/>
  <c r="A38" i="10"/>
  <c r="B38" i="10"/>
  <c r="D38" i="10"/>
  <c r="E38" i="10"/>
  <c r="F38" i="10"/>
  <c r="G38" i="10"/>
  <c r="H38" i="10"/>
  <c r="V38" i="10"/>
  <c r="I38" i="10"/>
  <c r="J38" i="10"/>
  <c r="K38" i="10"/>
  <c r="L38" i="10"/>
  <c r="M38" i="10"/>
  <c r="W38" i="10"/>
  <c r="N38" i="10"/>
  <c r="P38" i="10"/>
  <c r="O38" i="10"/>
  <c r="Q38" i="10"/>
  <c r="R38" i="10"/>
  <c r="S38" i="10"/>
  <c r="X38" i="10"/>
  <c r="Y38" i="10"/>
  <c r="A39" i="10"/>
  <c r="B39" i="10"/>
  <c r="D39" i="10"/>
  <c r="E39" i="10"/>
  <c r="F39" i="10"/>
  <c r="G39" i="10"/>
  <c r="H39" i="10"/>
  <c r="V39" i="10"/>
  <c r="I39" i="10"/>
  <c r="J39" i="10"/>
  <c r="K39" i="10"/>
  <c r="L39" i="10"/>
  <c r="M39" i="10"/>
  <c r="W39" i="10"/>
  <c r="N39" i="10"/>
  <c r="P39" i="10"/>
  <c r="O39" i="10"/>
  <c r="Q39" i="10"/>
  <c r="R39" i="10"/>
  <c r="S39" i="10"/>
  <c r="X39" i="10"/>
  <c r="Y39" i="10"/>
  <c r="A40" i="10"/>
  <c r="B40" i="10"/>
  <c r="D40" i="10"/>
  <c r="E40" i="10"/>
  <c r="F40" i="10"/>
  <c r="G40" i="10"/>
  <c r="H40" i="10"/>
  <c r="V40" i="10"/>
  <c r="I40" i="10"/>
  <c r="J40" i="10"/>
  <c r="K40" i="10"/>
  <c r="L40" i="10"/>
  <c r="M40" i="10"/>
  <c r="W40" i="10"/>
  <c r="N40" i="10"/>
  <c r="P40" i="10"/>
  <c r="O40" i="10"/>
  <c r="Q40" i="10"/>
  <c r="R40" i="10"/>
  <c r="S40" i="10"/>
  <c r="X40" i="10"/>
  <c r="Y40" i="10"/>
  <c r="A41" i="10"/>
  <c r="B41" i="10"/>
  <c r="D41" i="10"/>
  <c r="E41" i="10"/>
  <c r="F41" i="10"/>
  <c r="G41" i="10"/>
  <c r="H41" i="10"/>
  <c r="V41" i="10"/>
  <c r="I41" i="10"/>
  <c r="J41" i="10"/>
  <c r="K41" i="10"/>
  <c r="L41" i="10"/>
  <c r="M41" i="10"/>
  <c r="W41" i="10"/>
  <c r="N41" i="10"/>
  <c r="P41" i="10"/>
  <c r="O41" i="10"/>
  <c r="Q41" i="10"/>
  <c r="R41" i="10"/>
  <c r="S41" i="10"/>
  <c r="X41" i="10"/>
  <c r="Y41" i="10"/>
  <c r="A42" i="10"/>
  <c r="B42" i="10"/>
  <c r="D42" i="10"/>
  <c r="E42" i="10"/>
  <c r="F42" i="10"/>
  <c r="G42" i="10"/>
  <c r="H42" i="10"/>
  <c r="V42" i="10"/>
  <c r="I42" i="10"/>
  <c r="J42" i="10"/>
  <c r="K42" i="10"/>
  <c r="L42" i="10"/>
  <c r="M42" i="10"/>
  <c r="W42" i="10"/>
  <c r="N42" i="10"/>
  <c r="P42" i="10"/>
  <c r="O42" i="10"/>
  <c r="Q42" i="10"/>
  <c r="R42" i="10"/>
  <c r="S42" i="10"/>
  <c r="X42" i="10"/>
  <c r="Y42" i="10"/>
  <c r="A43" i="10"/>
  <c r="B43" i="10"/>
  <c r="D43" i="10"/>
  <c r="E43" i="10"/>
  <c r="F43" i="10"/>
  <c r="G43" i="10"/>
  <c r="H43" i="10"/>
  <c r="V43" i="10"/>
  <c r="I43" i="10"/>
  <c r="J43" i="10"/>
  <c r="K43" i="10"/>
  <c r="L43" i="10"/>
  <c r="M43" i="10"/>
  <c r="W43" i="10"/>
  <c r="N43" i="10"/>
  <c r="P43" i="10"/>
  <c r="O43" i="10"/>
  <c r="Q43" i="10"/>
  <c r="R43" i="10"/>
  <c r="S43" i="10"/>
  <c r="X43" i="10"/>
  <c r="Y43" i="10"/>
  <c r="A44" i="10"/>
  <c r="B44" i="10"/>
  <c r="D44" i="10"/>
  <c r="E44" i="10"/>
  <c r="F44" i="10"/>
  <c r="G44" i="10"/>
  <c r="H44" i="10"/>
  <c r="V44" i="10"/>
  <c r="I44" i="10"/>
  <c r="J44" i="10"/>
  <c r="K44" i="10"/>
  <c r="L44" i="10"/>
  <c r="M44" i="10"/>
  <c r="W44" i="10"/>
  <c r="N44" i="10"/>
  <c r="P44" i="10"/>
  <c r="O44" i="10"/>
  <c r="Q44" i="10"/>
  <c r="R44" i="10"/>
  <c r="S44" i="10"/>
  <c r="X44" i="10"/>
  <c r="Y44" i="10"/>
  <c r="A45" i="10"/>
  <c r="B45" i="10"/>
  <c r="D45" i="10"/>
  <c r="E45" i="10"/>
  <c r="F45" i="10"/>
  <c r="G45" i="10"/>
  <c r="H45" i="10"/>
  <c r="V45" i="10"/>
  <c r="I45" i="10"/>
  <c r="J45" i="10"/>
  <c r="K45" i="10"/>
  <c r="L45" i="10"/>
  <c r="M45" i="10"/>
  <c r="W45" i="10"/>
  <c r="N45" i="10"/>
  <c r="P45" i="10"/>
  <c r="O45" i="10"/>
  <c r="Q45" i="10"/>
  <c r="R45" i="10"/>
  <c r="S45" i="10"/>
  <c r="X45" i="10"/>
  <c r="Y45" i="10"/>
  <c r="A46" i="10"/>
  <c r="B46" i="10"/>
  <c r="D46" i="10"/>
  <c r="E46" i="10"/>
  <c r="F46" i="10"/>
  <c r="G46" i="10"/>
  <c r="H46" i="10"/>
  <c r="V46" i="10"/>
  <c r="I46" i="10"/>
  <c r="J46" i="10"/>
  <c r="K46" i="10"/>
  <c r="L46" i="10"/>
  <c r="M46" i="10"/>
  <c r="W46" i="10"/>
  <c r="N46" i="10"/>
  <c r="P46" i="10"/>
  <c r="O46" i="10"/>
  <c r="Q46" i="10"/>
  <c r="R46" i="10"/>
  <c r="S46" i="10"/>
  <c r="X46" i="10"/>
  <c r="Y46" i="10"/>
  <c r="A47" i="10"/>
  <c r="B47" i="10"/>
  <c r="D47" i="10"/>
  <c r="E47" i="10"/>
  <c r="F47" i="10"/>
  <c r="G47" i="10"/>
  <c r="H47" i="10"/>
  <c r="V47" i="10"/>
  <c r="I47" i="10"/>
  <c r="J47" i="10"/>
  <c r="K47" i="10"/>
  <c r="L47" i="10"/>
  <c r="M47" i="10"/>
  <c r="W47" i="10"/>
  <c r="N47" i="10"/>
  <c r="P47" i="10"/>
  <c r="O47" i="10"/>
  <c r="Q47" i="10"/>
  <c r="R47" i="10"/>
  <c r="S47" i="10"/>
  <c r="X47" i="10"/>
  <c r="Y47" i="10"/>
  <c r="A48" i="10"/>
  <c r="B48" i="10"/>
  <c r="D48" i="10"/>
  <c r="E48" i="10"/>
  <c r="F48" i="10"/>
  <c r="G48" i="10"/>
  <c r="H48" i="10"/>
  <c r="V48" i="10"/>
  <c r="I48" i="10"/>
  <c r="J48" i="10"/>
  <c r="K48" i="10"/>
  <c r="L48" i="10"/>
  <c r="M48" i="10"/>
  <c r="W48" i="10"/>
  <c r="N48" i="10"/>
  <c r="P48" i="10"/>
  <c r="O48" i="10"/>
  <c r="Q48" i="10"/>
  <c r="R48" i="10"/>
  <c r="S48" i="10"/>
  <c r="X48" i="10"/>
  <c r="Y48" i="10"/>
  <c r="A49" i="10"/>
  <c r="B49" i="10"/>
  <c r="D49" i="10"/>
  <c r="E49" i="10"/>
  <c r="F49" i="10"/>
  <c r="G49" i="10"/>
  <c r="H49" i="10"/>
  <c r="V49" i="10"/>
  <c r="I49" i="10"/>
  <c r="J49" i="10"/>
  <c r="K49" i="10"/>
  <c r="L49" i="10"/>
  <c r="M49" i="10"/>
  <c r="W49" i="10"/>
  <c r="N49" i="10"/>
  <c r="P49" i="10"/>
  <c r="O49" i="10"/>
  <c r="Q49" i="10"/>
  <c r="R49" i="10"/>
  <c r="S49" i="10"/>
  <c r="X49" i="10"/>
  <c r="Y49" i="10"/>
  <c r="A50" i="10"/>
  <c r="B50" i="10"/>
  <c r="D50" i="10"/>
  <c r="E50" i="10"/>
  <c r="F50" i="10"/>
  <c r="G50" i="10"/>
  <c r="H50" i="10"/>
  <c r="V50" i="10"/>
  <c r="I50" i="10"/>
  <c r="J50" i="10"/>
  <c r="K50" i="10"/>
  <c r="L50" i="10"/>
  <c r="M50" i="10"/>
  <c r="W50" i="10"/>
  <c r="N50" i="10"/>
  <c r="P50" i="10"/>
  <c r="O50" i="10"/>
  <c r="Q50" i="10"/>
  <c r="R50" i="10"/>
  <c r="S50" i="10"/>
  <c r="X50" i="10"/>
  <c r="Y50" i="10"/>
  <c r="A51" i="10"/>
  <c r="B51" i="10"/>
  <c r="D51" i="10"/>
  <c r="E51" i="10"/>
  <c r="F51" i="10"/>
  <c r="G51" i="10"/>
  <c r="H51" i="10"/>
  <c r="V51" i="10"/>
  <c r="I51" i="10"/>
  <c r="J51" i="10"/>
  <c r="K51" i="10"/>
  <c r="L51" i="10"/>
  <c r="M51" i="10"/>
  <c r="W51" i="10"/>
  <c r="N51" i="10"/>
  <c r="P51" i="10"/>
  <c r="O51" i="10"/>
  <c r="Q51" i="10"/>
  <c r="R51" i="10"/>
  <c r="S51" i="10"/>
  <c r="X51" i="10"/>
  <c r="Y51" i="10"/>
  <c r="A52" i="10"/>
  <c r="B52" i="10"/>
  <c r="D52" i="10"/>
  <c r="E52" i="10"/>
  <c r="F52" i="10"/>
  <c r="G52" i="10"/>
  <c r="H52" i="10"/>
  <c r="V52" i="10"/>
  <c r="I52" i="10"/>
  <c r="J52" i="10"/>
  <c r="K52" i="10"/>
  <c r="L52" i="10"/>
  <c r="M52" i="10"/>
  <c r="W52" i="10"/>
  <c r="N52" i="10"/>
  <c r="P52" i="10"/>
  <c r="O52" i="10"/>
  <c r="Q52" i="10"/>
  <c r="R52" i="10"/>
  <c r="S52" i="10"/>
  <c r="X52" i="10"/>
  <c r="Y52" i="10"/>
  <c r="A53" i="10"/>
  <c r="B53" i="10"/>
  <c r="D53" i="10"/>
  <c r="E53" i="10"/>
  <c r="F53" i="10"/>
  <c r="G53" i="10"/>
  <c r="H53" i="10"/>
  <c r="V53" i="10"/>
  <c r="I53" i="10"/>
  <c r="J53" i="10"/>
  <c r="K53" i="10"/>
  <c r="L53" i="10"/>
  <c r="M53" i="10"/>
  <c r="W53" i="10"/>
  <c r="N53" i="10"/>
  <c r="P53" i="10"/>
  <c r="O53" i="10"/>
  <c r="Q53" i="10"/>
  <c r="R53" i="10"/>
  <c r="S53" i="10"/>
  <c r="X53" i="10"/>
  <c r="Y53" i="10"/>
  <c r="A54" i="10"/>
  <c r="B54" i="10"/>
  <c r="D54" i="10"/>
  <c r="E54" i="10"/>
  <c r="F54" i="10"/>
  <c r="G54" i="10"/>
  <c r="H54" i="10"/>
  <c r="V54" i="10"/>
  <c r="I54" i="10"/>
  <c r="J54" i="10"/>
  <c r="K54" i="10"/>
  <c r="L54" i="10"/>
  <c r="M54" i="10"/>
  <c r="W54" i="10"/>
  <c r="N54" i="10"/>
  <c r="P54" i="10"/>
  <c r="O54" i="10"/>
  <c r="Q54" i="10"/>
  <c r="R54" i="10"/>
  <c r="S54" i="10"/>
  <c r="X54" i="10"/>
  <c r="Y54" i="10"/>
  <c r="A55" i="10"/>
  <c r="B55" i="10"/>
  <c r="D55" i="10"/>
  <c r="E55" i="10"/>
  <c r="F55" i="10"/>
  <c r="G55" i="10"/>
  <c r="H55" i="10"/>
  <c r="V55" i="10"/>
  <c r="I55" i="10"/>
  <c r="J55" i="10"/>
  <c r="K55" i="10"/>
  <c r="L55" i="10"/>
  <c r="M55" i="10"/>
  <c r="W55" i="10"/>
  <c r="N55" i="10"/>
  <c r="P55" i="10"/>
  <c r="O55" i="10"/>
  <c r="Q55" i="10"/>
  <c r="R55" i="10"/>
  <c r="S55" i="10"/>
  <c r="X55" i="10"/>
  <c r="Y55" i="10"/>
  <c r="A56" i="10"/>
  <c r="B56" i="10"/>
  <c r="D56" i="10"/>
  <c r="E56" i="10"/>
  <c r="F56" i="10"/>
  <c r="G56" i="10"/>
  <c r="H56" i="10"/>
  <c r="V56" i="10"/>
  <c r="I56" i="10"/>
  <c r="J56" i="10"/>
  <c r="K56" i="10"/>
  <c r="L56" i="10"/>
  <c r="M56" i="10"/>
  <c r="W56" i="10"/>
  <c r="N56" i="10"/>
  <c r="P56" i="10"/>
  <c r="O56" i="10"/>
  <c r="Q56" i="10"/>
  <c r="R56" i="10"/>
  <c r="S56" i="10"/>
  <c r="X56" i="10"/>
  <c r="Y56" i="10"/>
  <c r="A57" i="10"/>
  <c r="B57" i="10"/>
  <c r="D57" i="10"/>
  <c r="E57" i="10"/>
  <c r="F57" i="10"/>
  <c r="G57" i="10"/>
  <c r="H57" i="10"/>
  <c r="V57" i="10"/>
  <c r="I57" i="10"/>
  <c r="J57" i="10"/>
  <c r="K57" i="10"/>
  <c r="L57" i="10"/>
  <c r="M57" i="10"/>
  <c r="W57" i="10"/>
  <c r="N57" i="10"/>
  <c r="P57" i="10"/>
  <c r="O57" i="10"/>
  <c r="Q57" i="10"/>
  <c r="R57" i="10"/>
  <c r="S57" i="10"/>
  <c r="X57" i="10"/>
  <c r="Y57" i="10"/>
  <c r="A58" i="10"/>
  <c r="B58" i="10"/>
  <c r="D58" i="10"/>
  <c r="E58" i="10"/>
  <c r="F58" i="10"/>
  <c r="G58" i="10"/>
  <c r="H58" i="10"/>
  <c r="V58" i="10"/>
  <c r="I58" i="10"/>
  <c r="J58" i="10"/>
  <c r="K58" i="10"/>
  <c r="L58" i="10"/>
  <c r="M58" i="10"/>
  <c r="W58" i="10"/>
  <c r="N58" i="10"/>
  <c r="P58" i="10"/>
  <c r="O58" i="10"/>
  <c r="Q58" i="10"/>
  <c r="R58" i="10"/>
  <c r="S58" i="10"/>
  <c r="X58" i="10"/>
  <c r="Y58" i="10"/>
  <c r="A59" i="10"/>
  <c r="B59" i="10"/>
  <c r="D59" i="10"/>
  <c r="E59" i="10"/>
  <c r="F59" i="10"/>
  <c r="G59" i="10"/>
  <c r="H59" i="10"/>
  <c r="V59" i="10"/>
  <c r="I59" i="10"/>
  <c r="J59" i="10"/>
  <c r="K59" i="10"/>
  <c r="L59" i="10"/>
  <c r="M59" i="10"/>
  <c r="W59" i="10"/>
  <c r="N59" i="10"/>
  <c r="P59" i="10"/>
  <c r="O59" i="10"/>
  <c r="Q59" i="10"/>
  <c r="R59" i="10"/>
  <c r="S59" i="10"/>
  <c r="X59" i="10"/>
  <c r="Y59" i="10"/>
  <c r="A60" i="10"/>
  <c r="B60" i="10"/>
  <c r="D60" i="10"/>
  <c r="E60" i="10"/>
  <c r="F60" i="10"/>
  <c r="G60" i="10"/>
  <c r="H60" i="10"/>
  <c r="V60" i="10"/>
  <c r="I60" i="10"/>
  <c r="J60" i="10"/>
  <c r="K60" i="10"/>
  <c r="L60" i="10"/>
  <c r="M60" i="10"/>
  <c r="W60" i="10"/>
  <c r="N60" i="10"/>
  <c r="P60" i="10"/>
  <c r="O60" i="10"/>
  <c r="Q60" i="10"/>
  <c r="R60" i="10"/>
  <c r="S60" i="10"/>
  <c r="X60" i="10"/>
  <c r="Y60" i="10"/>
  <c r="A61" i="10"/>
  <c r="B61" i="10"/>
  <c r="D61" i="10"/>
  <c r="E61" i="10"/>
  <c r="F61" i="10"/>
  <c r="G61" i="10"/>
  <c r="H61" i="10"/>
  <c r="V61" i="10"/>
  <c r="I61" i="10"/>
  <c r="J61" i="10"/>
  <c r="K61" i="10"/>
  <c r="L61" i="10"/>
  <c r="M61" i="10"/>
  <c r="W61" i="10"/>
  <c r="N61" i="10"/>
  <c r="P61" i="10"/>
  <c r="O61" i="10"/>
  <c r="Q61" i="10"/>
  <c r="R61" i="10"/>
  <c r="S61" i="10"/>
  <c r="X61" i="10"/>
  <c r="Y61" i="10"/>
  <c r="A62" i="10"/>
  <c r="B62" i="10"/>
  <c r="D62" i="10"/>
  <c r="E62" i="10"/>
  <c r="F62" i="10"/>
  <c r="G62" i="10"/>
  <c r="H62" i="10"/>
  <c r="V62" i="10"/>
  <c r="I62" i="10"/>
  <c r="J62" i="10"/>
  <c r="K62" i="10"/>
  <c r="L62" i="10"/>
  <c r="M62" i="10"/>
  <c r="W62" i="10"/>
  <c r="N62" i="10"/>
  <c r="P62" i="10"/>
  <c r="O62" i="10"/>
  <c r="Q62" i="10"/>
  <c r="R62" i="10"/>
  <c r="S62" i="10"/>
  <c r="X62" i="10"/>
  <c r="Y62" i="10"/>
  <c r="A63" i="10"/>
  <c r="B63" i="10"/>
  <c r="D63" i="10"/>
  <c r="E63" i="10"/>
  <c r="F63" i="10"/>
  <c r="G63" i="10"/>
  <c r="H63" i="10"/>
  <c r="V63" i="10"/>
  <c r="I63" i="10"/>
  <c r="J63" i="10"/>
  <c r="K63" i="10"/>
  <c r="L63" i="10"/>
  <c r="M63" i="10"/>
  <c r="W63" i="10"/>
  <c r="N63" i="10"/>
  <c r="P63" i="10"/>
  <c r="O63" i="10"/>
  <c r="Q63" i="10"/>
  <c r="R63" i="10"/>
  <c r="S63" i="10"/>
  <c r="X63" i="10"/>
  <c r="Y63" i="10"/>
  <c r="A64" i="10"/>
  <c r="B64" i="10"/>
  <c r="D64" i="10"/>
  <c r="E64" i="10"/>
  <c r="F64" i="10"/>
  <c r="G64" i="10"/>
  <c r="H64" i="10"/>
  <c r="V64" i="10"/>
  <c r="I64" i="10"/>
  <c r="J64" i="10"/>
  <c r="K64" i="10"/>
  <c r="L64" i="10"/>
  <c r="M64" i="10"/>
  <c r="W64" i="10"/>
  <c r="N64" i="10"/>
  <c r="P64" i="10"/>
  <c r="O64" i="10"/>
  <c r="Q64" i="10"/>
  <c r="R64" i="10"/>
  <c r="S64" i="10"/>
  <c r="X64" i="10"/>
  <c r="Y64" i="10"/>
  <c r="A65" i="10"/>
  <c r="B65" i="10"/>
  <c r="D65" i="10"/>
  <c r="E65" i="10"/>
  <c r="F65" i="10"/>
  <c r="G65" i="10"/>
  <c r="H65" i="10"/>
  <c r="V65" i="10"/>
  <c r="I65" i="10"/>
  <c r="J65" i="10"/>
  <c r="K65" i="10"/>
  <c r="L65" i="10"/>
  <c r="M65" i="10"/>
  <c r="W65" i="10"/>
  <c r="N65" i="10"/>
  <c r="P65" i="10"/>
  <c r="O65" i="10"/>
  <c r="Q65" i="10"/>
  <c r="R65" i="10"/>
  <c r="S65" i="10"/>
  <c r="X65" i="10"/>
  <c r="Y65" i="10"/>
  <c r="A66" i="10"/>
  <c r="B66" i="10"/>
  <c r="D66" i="10"/>
  <c r="E66" i="10"/>
  <c r="F66" i="10"/>
  <c r="G66" i="10"/>
  <c r="H66" i="10"/>
  <c r="V66" i="10"/>
  <c r="I66" i="10"/>
  <c r="J66" i="10"/>
  <c r="K66" i="10"/>
  <c r="L66" i="10"/>
  <c r="M66" i="10"/>
  <c r="W66" i="10"/>
  <c r="N66" i="10"/>
  <c r="P66" i="10"/>
  <c r="O66" i="10"/>
  <c r="Q66" i="10"/>
  <c r="R66" i="10"/>
  <c r="S66" i="10"/>
  <c r="X66" i="10"/>
  <c r="Y66" i="10"/>
  <c r="A67" i="10"/>
  <c r="B67" i="10"/>
  <c r="D67" i="10"/>
  <c r="E67" i="10"/>
  <c r="F67" i="10"/>
  <c r="G67" i="10"/>
  <c r="H67" i="10"/>
  <c r="V67" i="10"/>
  <c r="I67" i="10"/>
  <c r="J67" i="10"/>
  <c r="K67" i="10"/>
  <c r="L67" i="10"/>
  <c r="M67" i="10"/>
  <c r="W67" i="10"/>
  <c r="N67" i="10"/>
  <c r="P67" i="10"/>
  <c r="O67" i="10"/>
  <c r="Q67" i="10"/>
  <c r="R67" i="10"/>
  <c r="S67" i="10"/>
  <c r="X67" i="10"/>
  <c r="Y67" i="10"/>
  <c r="A68" i="10"/>
  <c r="B68" i="10"/>
  <c r="D68" i="10"/>
  <c r="E68" i="10"/>
  <c r="F68" i="10"/>
  <c r="G68" i="10"/>
  <c r="H68" i="10"/>
  <c r="V68" i="10"/>
  <c r="I68" i="10"/>
  <c r="J68" i="10"/>
  <c r="K68" i="10"/>
  <c r="L68" i="10"/>
  <c r="M68" i="10"/>
  <c r="W68" i="10"/>
  <c r="N68" i="10"/>
  <c r="P68" i="10"/>
  <c r="O68" i="10"/>
  <c r="Q68" i="10"/>
  <c r="R68" i="10"/>
  <c r="S68" i="10"/>
  <c r="X68" i="10"/>
  <c r="Y68" i="10"/>
  <c r="A69" i="10"/>
  <c r="B69" i="10"/>
  <c r="D69" i="10"/>
  <c r="E69" i="10"/>
  <c r="F69" i="10"/>
  <c r="G69" i="10"/>
  <c r="H69" i="10"/>
  <c r="V69" i="10"/>
  <c r="I69" i="10"/>
  <c r="J69" i="10"/>
  <c r="K69" i="10"/>
  <c r="L69" i="10"/>
  <c r="M69" i="10"/>
  <c r="W69" i="10"/>
  <c r="N69" i="10"/>
  <c r="P69" i="10"/>
  <c r="O69" i="10"/>
  <c r="Q69" i="10"/>
  <c r="R69" i="10"/>
  <c r="S69" i="10"/>
  <c r="X69" i="10"/>
  <c r="Y69" i="10"/>
  <c r="A70" i="10"/>
  <c r="B70" i="10"/>
  <c r="D70" i="10"/>
  <c r="E70" i="10"/>
  <c r="F70" i="10"/>
  <c r="G70" i="10"/>
  <c r="H70" i="10"/>
  <c r="V70" i="10"/>
  <c r="I70" i="10"/>
  <c r="J70" i="10"/>
  <c r="K70" i="10"/>
  <c r="L70" i="10"/>
  <c r="M70" i="10"/>
  <c r="W70" i="10"/>
  <c r="N70" i="10"/>
  <c r="P70" i="10"/>
  <c r="O70" i="10"/>
  <c r="Q70" i="10"/>
  <c r="R70" i="10"/>
  <c r="S70" i="10"/>
  <c r="X70" i="10"/>
  <c r="Y70" i="10"/>
  <c r="A71" i="10"/>
  <c r="B71" i="10"/>
  <c r="D71" i="10"/>
  <c r="E71" i="10"/>
  <c r="F71" i="10"/>
  <c r="G71" i="10"/>
  <c r="H71" i="10"/>
  <c r="V71" i="10"/>
  <c r="I71" i="10"/>
  <c r="J71" i="10"/>
  <c r="K71" i="10"/>
  <c r="L71" i="10"/>
  <c r="M71" i="10"/>
  <c r="W71" i="10"/>
  <c r="N71" i="10"/>
  <c r="P71" i="10"/>
  <c r="O71" i="10"/>
  <c r="Q71" i="10"/>
  <c r="R71" i="10"/>
  <c r="S71" i="10"/>
  <c r="X71" i="10"/>
  <c r="Y71" i="10"/>
  <c r="A72" i="10"/>
  <c r="B72" i="10"/>
  <c r="D72" i="10"/>
  <c r="E72" i="10"/>
  <c r="F72" i="10"/>
  <c r="G72" i="10"/>
  <c r="H72" i="10"/>
  <c r="V72" i="10"/>
  <c r="I72" i="10"/>
  <c r="J72" i="10"/>
  <c r="K72" i="10"/>
  <c r="L72" i="10"/>
  <c r="M72" i="10"/>
  <c r="W72" i="10"/>
  <c r="N72" i="10"/>
  <c r="P72" i="10"/>
  <c r="O72" i="10"/>
  <c r="Q72" i="10"/>
  <c r="R72" i="10"/>
  <c r="S72" i="10"/>
  <c r="X72" i="10"/>
  <c r="Y72" i="10"/>
  <c r="A73" i="10"/>
  <c r="B73" i="10"/>
  <c r="D73" i="10"/>
  <c r="E73" i="10"/>
  <c r="F73" i="10"/>
  <c r="G73" i="10"/>
  <c r="H73" i="10"/>
  <c r="V73" i="10"/>
  <c r="I73" i="10"/>
  <c r="J73" i="10"/>
  <c r="K73" i="10"/>
  <c r="L73" i="10"/>
  <c r="M73" i="10"/>
  <c r="W73" i="10"/>
  <c r="N73" i="10"/>
  <c r="P73" i="10"/>
  <c r="O73" i="10"/>
  <c r="Q73" i="10"/>
  <c r="R73" i="10"/>
  <c r="S73" i="10"/>
  <c r="X73" i="10"/>
  <c r="Y73" i="10"/>
  <c r="A74" i="10"/>
  <c r="B74" i="10"/>
  <c r="D74" i="10"/>
  <c r="E74" i="10"/>
  <c r="F74" i="10"/>
  <c r="G74" i="10"/>
  <c r="H74" i="10"/>
  <c r="V74" i="10"/>
  <c r="I74" i="10"/>
  <c r="J74" i="10"/>
  <c r="K74" i="10"/>
  <c r="L74" i="10"/>
  <c r="M74" i="10"/>
  <c r="W74" i="10"/>
  <c r="N74" i="10"/>
  <c r="P74" i="10"/>
  <c r="O74" i="10"/>
  <c r="Q74" i="10"/>
  <c r="R74" i="10"/>
  <c r="S74" i="10"/>
  <c r="X74" i="10"/>
  <c r="Y74" i="10"/>
  <c r="A75" i="10"/>
  <c r="B75" i="10"/>
  <c r="D75" i="10"/>
  <c r="E75" i="10"/>
  <c r="F75" i="10"/>
  <c r="G75" i="10"/>
  <c r="H75" i="10"/>
  <c r="V75" i="10"/>
  <c r="I75" i="10"/>
  <c r="J75" i="10"/>
  <c r="K75" i="10"/>
  <c r="L75" i="10"/>
  <c r="M75" i="10"/>
  <c r="W75" i="10"/>
  <c r="N75" i="10"/>
  <c r="P75" i="10"/>
  <c r="O75" i="10"/>
  <c r="Q75" i="10"/>
  <c r="R75" i="10"/>
  <c r="S75" i="10"/>
  <c r="X75" i="10"/>
  <c r="Y75" i="10"/>
  <c r="A76" i="10"/>
  <c r="B76" i="10"/>
  <c r="D76" i="10"/>
  <c r="E76" i="10"/>
  <c r="F76" i="10"/>
  <c r="G76" i="10"/>
  <c r="H76" i="10"/>
  <c r="V76" i="10"/>
  <c r="I76" i="10"/>
  <c r="J76" i="10"/>
  <c r="K76" i="10"/>
  <c r="L76" i="10"/>
  <c r="M76" i="10"/>
  <c r="W76" i="10"/>
  <c r="N76" i="10"/>
  <c r="P76" i="10"/>
  <c r="O76" i="10"/>
  <c r="Q76" i="10"/>
  <c r="R76" i="10"/>
  <c r="S76" i="10"/>
  <c r="X76" i="10"/>
  <c r="Y76" i="10"/>
  <c r="A77" i="10"/>
  <c r="B77" i="10"/>
  <c r="D77" i="10"/>
  <c r="E77" i="10"/>
  <c r="F77" i="10"/>
  <c r="G77" i="10"/>
  <c r="H77" i="10"/>
  <c r="V77" i="10"/>
  <c r="I77" i="10"/>
  <c r="J77" i="10"/>
  <c r="K77" i="10"/>
  <c r="L77" i="10"/>
  <c r="M77" i="10"/>
  <c r="W77" i="10"/>
  <c r="N77" i="10"/>
  <c r="P77" i="10"/>
  <c r="O77" i="10"/>
  <c r="Q77" i="10"/>
  <c r="R77" i="10"/>
  <c r="S77" i="10"/>
  <c r="X77" i="10"/>
  <c r="Y77" i="10"/>
  <c r="A78" i="10"/>
  <c r="B78" i="10"/>
  <c r="D78" i="10"/>
  <c r="E78" i="10"/>
  <c r="F78" i="10"/>
  <c r="G78" i="10"/>
  <c r="H78" i="10"/>
  <c r="V78" i="10"/>
  <c r="I78" i="10"/>
  <c r="J78" i="10"/>
  <c r="K78" i="10"/>
  <c r="L78" i="10"/>
  <c r="M78" i="10"/>
  <c r="W78" i="10"/>
  <c r="N78" i="10"/>
  <c r="P78" i="10"/>
  <c r="O78" i="10"/>
  <c r="Q78" i="10"/>
  <c r="R78" i="10"/>
  <c r="S78" i="10"/>
  <c r="X78" i="10"/>
  <c r="Y78" i="10"/>
  <c r="A79" i="10"/>
  <c r="B79" i="10"/>
  <c r="D79" i="10"/>
  <c r="E79" i="10"/>
  <c r="F79" i="10"/>
  <c r="G79" i="10"/>
  <c r="H79" i="10"/>
  <c r="V79" i="10"/>
  <c r="I79" i="10"/>
  <c r="J79" i="10"/>
  <c r="K79" i="10"/>
  <c r="L79" i="10"/>
  <c r="M79" i="10"/>
  <c r="W79" i="10"/>
  <c r="N79" i="10"/>
  <c r="P79" i="10"/>
  <c r="O79" i="10"/>
  <c r="Q79" i="10"/>
  <c r="R79" i="10"/>
  <c r="S79" i="10"/>
  <c r="X79" i="10"/>
  <c r="Y79" i="10"/>
  <c r="A80" i="10"/>
  <c r="B80" i="10"/>
  <c r="D80" i="10"/>
  <c r="E80" i="10"/>
  <c r="F80" i="10"/>
  <c r="G80" i="10"/>
  <c r="H80" i="10"/>
  <c r="V80" i="10"/>
  <c r="I80" i="10"/>
  <c r="J80" i="10"/>
  <c r="K80" i="10"/>
  <c r="L80" i="10"/>
  <c r="M80" i="10"/>
  <c r="W80" i="10"/>
  <c r="N80" i="10"/>
  <c r="P80" i="10"/>
  <c r="O80" i="10"/>
  <c r="Q80" i="10"/>
  <c r="R80" i="10"/>
  <c r="S80" i="10"/>
  <c r="X80" i="10"/>
  <c r="Y80" i="10"/>
  <c r="A81" i="10"/>
  <c r="B81" i="10"/>
  <c r="D81" i="10"/>
  <c r="E81" i="10"/>
  <c r="F81" i="10"/>
  <c r="G81" i="10"/>
  <c r="H81" i="10"/>
  <c r="V81" i="10"/>
  <c r="I81" i="10"/>
  <c r="J81" i="10"/>
  <c r="K81" i="10"/>
  <c r="L81" i="10"/>
  <c r="M81" i="10"/>
  <c r="W81" i="10"/>
  <c r="N81" i="10"/>
  <c r="P81" i="10"/>
  <c r="O81" i="10"/>
  <c r="Q81" i="10"/>
  <c r="R81" i="10"/>
  <c r="S81" i="10"/>
  <c r="X81" i="10"/>
  <c r="Y81" i="10"/>
  <c r="A82" i="10"/>
  <c r="B82" i="10"/>
  <c r="D82" i="10"/>
  <c r="E82" i="10"/>
  <c r="F82" i="10"/>
  <c r="G82" i="10"/>
  <c r="H82" i="10"/>
  <c r="V82" i="10"/>
  <c r="I82" i="10"/>
  <c r="J82" i="10"/>
  <c r="K82" i="10"/>
  <c r="L82" i="10"/>
  <c r="M82" i="10"/>
  <c r="W82" i="10"/>
  <c r="N82" i="10"/>
  <c r="P82" i="10"/>
  <c r="O82" i="10"/>
  <c r="Q82" i="10"/>
  <c r="R82" i="10"/>
  <c r="S82" i="10"/>
  <c r="X82" i="10"/>
  <c r="Y82" i="10"/>
  <c r="A83" i="10"/>
  <c r="B83" i="10"/>
  <c r="D83" i="10"/>
  <c r="E83" i="10"/>
  <c r="F83" i="10"/>
  <c r="G83" i="10"/>
  <c r="H83" i="10"/>
  <c r="V83" i="10"/>
  <c r="I83" i="10"/>
  <c r="J83" i="10"/>
  <c r="K83" i="10"/>
  <c r="L83" i="10"/>
  <c r="M83" i="10"/>
  <c r="W83" i="10"/>
  <c r="N83" i="10"/>
  <c r="P83" i="10"/>
  <c r="O83" i="10"/>
  <c r="Q83" i="10"/>
  <c r="R83" i="10"/>
  <c r="S83" i="10"/>
  <c r="X83" i="10"/>
  <c r="Y83" i="10"/>
  <c r="A84" i="10"/>
  <c r="B84" i="10"/>
  <c r="D84" i="10"/>
  <c r="E84" i="10"/>
  <c r="F84" i="10"/>
  <c r="G84" i="10"/>
  <c r="H84" i="10"/>
  <c r="V84" i="10"/>
  <c r="I84" i="10"/>
  <c r="J84" i="10"/>
  <c r="K84" i="10"/>
  <c r="L84" i="10"/>
  <c r="M84" i="10"/>
  <c r="W84" i="10"/>
  <c r="N84" i="10"/>
  <c r="P84" i="10"/>
  <c r="O84" i="10"/>
  <c r="Q84" i="10"/>
  <c r="R84" i="10"/>
  <c r="S84" i="10"/>
  <c r="X84" i="10"/>
  <c r="Y84" i="10"/>
  <c r="A85" i="10"/>
  <c r="B85" i="10"/>
  <c r="D85" i="10"/>
  <c r="E85" i="10"/>
  <c r="F85" i="10"/>
  <c r="G85" i="10"/>
  <c r="H85" i="10"/>
  <c r="V85" i="10"/>
  <c r="I85" i="10"/>
  <c r="J85" i="10"/>
  <c r="K85" i="10"/>
  <c r="L85" i="10"/>
  <c r="M85" i="10"/>
  <c r="W85" i="10"/>
  <c r="N85" i="10"/>
  <c r="P85" i="10"/>
  <c r="X85" i="10"/>
  <c r="Y85" i="10"/>
  <c r="A86" i="10"/>
  <c r="B86" i="10"/>
  <c r="D86" i="10"/>
  <c r="E86" i="10"/>
  <c r="F86" i="10"/>
  <c r="G86" i="10"/>
  <c r="H86" i="10"/>
  <c r="V86" i="10"/>
  <c r="I86" i="10"/>
  <c r="J86" i="10"/>
  <c r="K86" i="10"/>
  <c r="L86" i="10"/>
  <c r="M86" i="10"/>
  <c r="W86" i="10"/>
  <c r="N86" i="10"/>
  <c r="P86" i="10"/>
  <c r="O86" i="10"/>
  <c r="Q86" i="10"/>
  <c r="R86" i="10"/>
  <c r="S86" i="10"/>
  <c r="X86" i="10"/>
  <c r="Y86" i="10"/>
  <c r="A87" i="10"/>
  <c r="B87" i="10"/>
  <c r="D87" i="10"/>
  <c r="E87" i="10"/>
  <c r="F87" i="10"/>
  <c r="G87" i="10"/>
  <c r="H87" i="10"/>
  <c r="V87" i="10"/>
  <c r="I87" i="10"/>
  <c r="J87" i="10"/>
  <c r="K87" i="10"/>
  <c r="L87" i="10"/>
  <c r="M87" i="10"/>
  <c r="W87" i="10"/>
  <c r="N87" i="10"/>
  <c r="P87" i="10"/>
  <c r="O87" i="10"/>
  <c r="Q87" i="10"/>
  <c r="R87" i="10"/>
  <c r="S87" i="10"/>
  <c r="X87" i="10"/>
  <c r="Y87" i="10"/>
  <c r="A88" i="10"/>
  <c r="B88" i="10"/>
  <c r="D88" i="10"/>
  <c r="E88" i="10"/>
  <c r="F88" i="10"/>
  <c r="G88" i="10"/>
  <c r="H88" i="10"/>
  <c r="V88" i="10"/>
  <c r="I88" i="10"/>
  <c r="J88" i="10"/>
  <c r="K88" i="10"/>
  <c r="L88" i="10"/>
  <c r="M88" i="10"/>
  <c r="W88" i="10"/>
  <c r="N88" i="10"/>
  <c r="P88" i="10"/>
  <c r="O88" i="10"/>
  <c r="Q88" i="10"/>
  <c r="R88" i="10"/>
  <c r="S88" i="10"/>
  <c r="X88" i="10"/>
  <c r="Y88" i="10"/>
  <c r="A89" i="10"/>
  <c r="B89" i="10"/>
  <c r="D89" i="10"/>
  <c r="E89" i="10"/>
  <c r="F89" i="10"/>
  <c r="G89" i="10"/>
  <c r="H89" i="10"/>
  <c r="V89" i="10"/>
  <c r="I89" i="10"/>
  <c r="J89" i="10"/>
  <c r="K89" i="10"/>
  <c r="L89" i="10"/>
  <c r="M89" i="10"/>
  <c r="W89" i="10"/>
  <c r="N89" i="10"/>
  <c r="P89" i="10"/>
  <c r="X89" i="10"/>
  <c r="Y89" i="10"/>
  <c r="A90" i="10"/>
  <c r="B90" i="10"/>
  <c r="D90" i="10"/>
  <c r="E90" i="10"/>
  <c r="F90" i="10"/>
  <c r="G90" i="10"/>
  <c r="H90" i="10"/>
  <c r="V90" i="10"/>
  <c r="I90" i="10"/>
  <c r="J90" i="10"/>
  <c r="K90" i="10"/>
  <c r="L90" i="10"/>
  <c r="M90" i="10"/>
  <c r="W90" i="10"/>
  <c r="N90" i="10"/>
  <c r="P90" i="10"/>
  <c r="O90" i="10"/>
  <c r="Q90" i="10"/>
  <c r="R90" i="10"/>
  <c r="S90" i="10"/>
  <c r="X90" i="10"/>
  <c r="Y90" i="10"/>
  <c r="A91" i="10"/>
  <c r="B91" i="10"/>
  <c r="D91" i="10"/>
  <c r="E91" i="10"/>
  <c r="F91" i="10"/>
  <c r="G91" i="10"/>
  <c r="H91" i="10"/>
  <c r="V91" i="10"/>
  <c r="I91" i="10"/>
  <c r="J91" i="10"/>
  <c r="K91" i="10"/>
  <c r="L91" i="10"/>
  <c r="M91" i="10"/>
  <c r="W91" i="10"/>
  <c r="N91" i="10"/>
  <c r="P91" i="10"/>
  <c r="O91" i="10"/>
  <c r="Q91" i="10"/>
  <c r="R91" i="10"/>
  <c r="S91" i="10"/>
  <c r="X91" i="10"/>
  <c r="Y91" i="10"/>
  <c r="A92" i="10"/>
  <c r="B92" i="10"/>
  <c r="D92" i="10"/>
  <c r="E92" i="10"/>
  <c r="F92" i="10"/>
  <c r="G92" i="10"/>
  <c r="H92" i="10"/>
  <c r="V92" i="10"/>
  <c r="I92" i="10"/>
  <c r="J92" i="10"/>
  <c r="K92" i="10"/>
  <c r="L92" i="10"/>
  <c r="M92" i="10"/>
  <c r="W92" i="10"/>
  <c r="N92" i="10"/>
  <c r="P92" i="10"/>
  <c r="O92" i="10"/>
  <c r="Q92" i="10"/>
  <c r="R92" i="10"/>
  <c r="S92" i="10"/>
  <c r="X92" i="10"/>
  <c r="Y92" i="10"/>
  <c r="A93" i="10"/>
  <c r="B93" i="10"/>
  <c r="D93" i="10"/>
  <c r="E93" i="10"/>
  <c r="F93" i="10"/>
  <c r="G93" i="10"/>
  <c r="H93" i="10"/>
  <c r="V93" i="10"/>
  <c r="I93" i="10"/>
  <c r="J93" i="10"/>
  <c r="K93" i="10"/>
  <c r="L93" i="10"/>
  <c r="M93" i="10"/>
  <c r="W93" i="10"/>
  <c r="N93" i="10"/>
  <c r="P93" i="10"/>
  <c r="O93" i="10"/>
  <c r="Q93" i="10"/>
  <c r="R93" i="10"/>
  <c r="S93" i="10"/>
  <c r="X93" i="10"/>
  <c r="Y93" i="10"/>
  <c r="A94" i="10"/>
  <c r="B94" i="10"/>
  <c r="D94" i="10"/>
  <c r="E94" i="10"/>
  <c r="F94" i="10"/>
  <c r="G94" i="10"/>
  <c r="H94" i="10"/>
  <c r="V94" i="10"/>
  <c r="I94" i="10"/>
  <c r="J94" i="10"/>
  <c r="K94" i="10"/>
  <c r="L94" i="10"/>
  <c r="M94" i="10"/>
  <c r="W94" i="10"/>
  <c r="N94" i="10"/>
  <c r="P94" i="10"/>
  <c r="O94" i="10"/>
  <c r="Q94" i="10"/>
  <c r="R94" i="10"/>
  <c r="S94" i="10"/>
  <c r="X94" i="10"/>
  <c r="Y94" i="10"/>
  <c r="A95" i="10"/>
  <c r="B95" i="10"/>
  <c r="D95" i="10"/>
  <c r="E95" i="10"/>
  <c r="F95" i="10"/>
  <c r="G95" i="10"/>
  <c r="H95" i="10"/>
  <c r="V95" i="10"/>
  <c r="I95" i="10"/>
  <c r="J95" i="10"/>
  <c r="K95" i="10"/>
  <c r="L95" i="10"/>
  <c r="M95" i="10"/>
  <c r="W95" i="10"/>
  <c r="N95" i="10"/>
  <c r="P95" i="10"/>
  <c r="O95" i="10"/>
  <c r="Q95" i="10"/>
  <c r="R95" i="10"/>
  <c r="S95" i="10"/>
  <c r="X95" i="10"/>
  <c r="Y95" i="10"/>
  <c r="A96" i="10"/>
  <c r="B96" i="10"/>
  <c r="D96" i="10"/>
  <c r="E96" i="10"/>
  <c r="F96" i="10"/>
  <c r="G96" i="10"/>
  <c r="H96" i="10"/>
  <c r="V96" i="10"/>
  <c r="I96" i="10"/>
  <c r="J96" i="10"/>
  <c r="K96" i="10"/>
  <c r="L96" i="10"/>
  <c r="M96" i="10"/>
  <c r="W96" i="10"/>
  <c r="N96" i="10"/>
  <c r="P96" i="10"/>
  <c r="O96" i="10"/>
  <c r="Q96" i="10"/>
  <c r="R96" i="10"/>
  <c r="S96" i="10"/>
  <c r="X96" i="10"/>
  <c r="Y96" i="10"/>
  <c r="A97" i="10"/>
  <c r="B97" i="10"/>
  <c r="D97" i="10"/>
  <c r="E97" i="10"/>
  <c r="F97" i="10"/>
  <c r="G97" i="10"/>
  <c r="H97" i="10"/>
  <c r="V97" i="10"/>
  <c r="I97" i="10"/>
  <c r="J97" i="10"/>
  <c r="K97" i="10"/>
  <c r="L97" i="10"/>
  <c r="M97" i="10"/>
  <c r="W97" i="10"/>
  <c r="N97" i="10"/>
  <c r="P97" i="10"/>
  <c r="O97" i="10"/>
  <c r="Q97" i="10"/>
  <c r="R97" i="10"/>
  <c r="S97" i="10"/>
  <c r="X97" i="10"/>
  <c r="Y97" i="10"/>
  <c r="A98" i="10"/>
  <c r="B98" i="10"/>
  <c r="D98" i="10"/>
  <c r="E98" i="10"/>
  <c r="F98" i="10"/>
  <c r="G98" i="10"/>
  <c r="H98" i="10"/>
  <c r="V98" i="10"/>
  <c r="I98" i="10"/>
  <c r="J98" i="10"/>
  <c r="K98" i="10"/>
  <c r="L98" i="10"/>
  <c r="M98" i="10"/>
  <c r="W98" i="10"/>
  <c r="N98" i="10"/>
  <c r="P98" i="10"/>
  <c r="O98" i="10"/>
  <c r="Q98" i="10"/>
  <c r="R98" i="10"/>
  <c r="S98" i="10"/>
  <c r="X98" i="10"/>
  <c r="Y98" i="10"/>
  <c r="A99" i="10"/>
  <c r="B99" i="10"/>
  <c r="D99" i="10"/>
  <c r="E99" i="10"/>
  <c r="F99" i="10"/>
  <c r="G99" i="10"/>
  <c r="H99" i="10"/>
  <c r="V99" i="10"/>
  <c r="I99" i="10"/>
  <c r="J99" i="10"/>
  <c r="K99" i="10"/>
  <c r="L99" i="10"/>
  <c r="M99" i="10"/>
  <c r="W99" i="10"/>
  <c r="N99" i="10"/>
  <c r="P99" i="10"/>
  <c r="O99" i="10"/>
  <c r="Q99" i="10"/>
  <c r="R99" i="10"/>
  <c r="S99" i="10"/>
  <c r="X99" i="10"/>
  <c r="Y99" i="10"/>
  <c r="A100" i="10"/>
  <c r="B100" i="10"/>
  <c r="D100" i="10"/>
  <c r="E100" i="10"/>
  <c r="F100" i="10"/>
  <c r="G100" i="10"/>
  <c r="H100" i="10"/>
  <c r="V100" i="10"/>
  <c r="I100" i="10"/>
  <c r="J100" i="10"/>
  <c r="K100" i="10"/>
  <c r="L100" i="10"/>
  <c r="M100" i="10"/>
  <c r="W100" i="10"/>
  <c r="N100" i="10"/>
  <c r="P100" i="10"/>
  <c r="O100" i="10"/>
  <c r="Q100" i="10"/>
  <c r="R100" i="10"/>
  <c r="S100" i="10"/>
  <c r="X100" i="10"/>
  <c r="Y100" i="10"/>
  <c r="A101" i="10"/>
  <c r="B101" i="10"/>
  <c r="D101" i="10"/>
  <c r="E101" i="10"/>
  <c r="F101" i="10"/>
  <c r="G101" i="10"/>
  <c r="H101" i="10"/>
  <c r="V101" i="10"/>
  <c r="I101" i="10"/>
  <c r="J101" i="10"/>
  <c r="K101" i="10"/>
  <c r="L101" i="10"/>
  <c r="M101" i="10"/>
  <c r="W101" i="10"/>
  <c r="N101" i="10"/>
  <c r="P101" i="10"/>
  <c r="O101" i="10"/>
  <c r="Q101" i="10"/>
  <c r="R101" i="10"/>
  <c r="S101" i="10"/>
  <c r="X101" i="10"/>
  <c r="Y101" i="10"/>
  <c r="A102" i="10"/>
  <c r="B102" i="10"/>
  <c r="D102" i="10"/>
  <c r="E102" i="10"/>
  <c r="F102" i="10"/>
  <c r="G102" i="10"/>
  <c r="H102" i="10"/>
  <c r="V102" i="10"/>
  <c r="I102" i="10"/>
  <c r="J102" i="10"/>
  <c r="K102" i="10"/>
  <c r="L102" i="10"/>
  <c r="M102" i="10"/>
  <c r="W102" i="10"/>
  <c r="N102" i="10"/>
  <c r="P102" i="10"/>
  <c r="O102" i="10"/>
  <c r="Q102" i="10"/>
  <c r="R102" i="10"/>
  <c r="S102" i="10"/>
  <c r="X102" i="10"/>
  <c r="Y102" i="10"/>
  <c r="A103" i="10"/>
  <c r="B103" i="10"/>
  <c r="D103" i="10"/>
  <c r="E103" i="10"/>
  <c r="F103" i="10"/>
  <c r="G103" i="10"/>
  <c r="H103" i="10"/>
  <c r="V103" i="10"/>
  <c r="I103" i="10"/>
  <c r="J103" i="10"/>
  <c r="K103" i="10"/>
  <c r="L103" i="10"/>
  <c r="M103" i="10"/>
  <c r="W103" i="10"/>
  <c r="N103" i="10"/>
  <c r="P103" i="10"/>
  <c r="O103" i="10"/>
  <c r="Q103" i="10"/>
  <c r="R103" i="10"/>
  <c r="S103" i="10"/>
  <c r="X103" i="10"/>
  <c r="Y103" i="10"/>
  <c r="A104" i="10"/>
  <c r="B104" i="10"/>
  <c r="D104" i="10"/>
  <c r="E104" i="10"/>
  <c r="F104" i="10"/>
  <c r="G104" i="10"/>
  <c r="H104" i="10"/>
  <c r="V104" i="10"/>
  <c r="I104" i="10"/>
  <c r="J104" i="10"/>
  <c r="K104" i="10"/>
  <c r="L104" i="10"/>
  <c r="M104" i="10"/>
  <c r="W104" i="10"/>
  <c r="N104" i="10"/>
  <c r="P104" i="10"/>
  <c r="O104" i="10"/>
  <c r="Q104" i="10"/>
  <c r="R104" i="10"/>
  <c r="S104" i="10"/>
  <c r="X104" i="10"/>
  <c r="Y104" i="10"/>
  <c r="A105" i="10"/>
  <c r="B105" i="10"/>
  <c r="D105" i="10"/>
  <c r="E105" i="10"/>
  <c r="F105" i="10"/>
  <c r="G105" i="10"/>
  <c r="H105" i="10"/>
  <c r="V105" i="10"/>
  <c r="I105" i="10"/>
  <c r="J105" i="10"/>
  <c r="K105" i="10"/>
  <c r="L105" i="10"/>
  <c r="M105" i="10"/>
  <c r="W105" i="10"/>
  <c r="N105" i="10"/>
  <c r="P105" i="10"/>
  <c r="O105" i="10"/>
  <c r="Q105" i="10"/>
  <c r="R105" i="10"/>
  <c r="S105" i="10"/>
  <c r="X105" i="10"/>
  <c r="Y105" i="10"/>
  <c r="A106" i="10"/>
  <c r="B106" i="10"/>
  <c r="D106" i="10"/>
  <c r="E106" i="10"/>
  <c r="F106" i="10"/>
  <c r="G106" i="10"/>
  <c r="H106" i="10"/>
  <c r="V106" i="10"/>
  <c r="I106" i="10"/>
  <c r="J106" i="10"/>
  <c r="K106" i="10"/>
  <c r="L106" i="10"/>
  <c r="M106" i="10"/>
  <c r="W106" i="10"/>
  <c r="N106" i="10"/>
  <c r="P106" i="10"/>
  <c r="O106" i="10"/>
  <c r="Q106" i="10"/>
  <c r="R106" i="10"/>
  <c r="S106" i="10"/>
  <c r="X106" i="10"/>
  <c r="Y106" i="10"/>
  <c r="A107" i="10"/>
  <c r="B107" i="10"/>
  <c r="D107" i="10"/>
  <c r="E107" i="10"/>
  <c r="F107" i="10"/>
  <c r="G107" i="10"/>
  <c r="H107" i="10"/>
  <c r="V107" i="10"/>
  <c r="I107" i="10"/>
  <c r="J107" i="10"/>
  <c r="K107" i="10"/>
  <c r="L107" i="10"/>
  <c r="M107" i="10"/>
  <c r="W107" i="10"/>
  <c r="N107" i="10"/>
  <c r="P107" i="10"/>
  <c r="O107" i="10"/>
  <c r="Q107" i="10"/>
  <c r="R107" i="10"/>
  <c r="S107" i="10"/>
  <c r="X107" i="10"/>
  <c r="Y107" i="10"/>
  <c r="A108" i="10"/>
  <c r="B108" i="10"/>
  <c r="D108" i="10"/>
  <c r="E108" i="10"/>
  <c r="F108" i="10"/>
  <c r="G108" i="10"/>
  <c r="H108" i="10"/>
  <c r="V108" i="10"/>
  <c r="I108" i="10"/>
  <c r="J108" i="10"/>
  <c r="K108" i="10"/>
  <c r="L108" i="10"/>
  <c r="M108" i="10"/>
  <c r="W108" i="10"/>
  <c r="N108" i="10"/>
  <c r="P108" i="10"/>
  <c r="O108" i="10"/>
  <c r="Q108" i="10"/>
  <c r="R108" i="10"/>
  <c r="S108" i="10"/>
  <c r="X108" i="10"/>
  <c r="Y108" i="10"/>
  <c r="A109" i="10"/>
  <c r="B109" i="10"/>
  <c r="D109" i="10"/>
  <c r="E109" i="10"/>
  <c r="F109" i="10"/>
  <c r="G109" i="10"/>
  <c r="H109" i="10"/>
  <c r="V109" i="10"/>
  <c r="I109" i="10"/>
  <c r="J109" i="10"/>
  <c r="K109" i="10"/>
  <c r="L109" i="10"/>
  <c r="M109" i="10"/>
  <c r="W109" i="10"/>
  <c r="N109" i="10"/>
  <c r="P109" i="10"/>
  <c r="O109" i="10"/>
  <c r="Q109" i="10"/>
  <c r="R109" i="10"/>
  <c r="S109" i="10"/>
  <c r="X109" i="10"/>
  <c r="Y109" i="10"/>
  <c r="A110" i="10"/>
  <c r="B110" i="10"/>
  <c r="D110" i="10"/>
  <c r="E110" i="10"/>
  <c r="F110" i="10"/>
  <c r="G110" i="10"/>
  <c r="H110" i="10"/>
  <c r="V110" i="10"/>
  <c r="I110" i="10"/>
  <c r="J110" i="10"/>
  <c r="K110" i="10"/>
  <c r="L110" i="10"/>
  <c r="M110" i="10"/>
  <c r="W110" i="10"/>
  <c r="N110" i="10"/>
  <c r="P110" i="10"/>
  <c r="X110" i="10"/>
  <c r="Y110" i="10"/>
  <c r="A111" i="10"/>
  <c r="B111" i="10"/>
  <c r="D111" i="10"/>
  <c r="E111" i="10"/>
  <c r="F111" i="10"/>
  <c r="G111" i="10"/>
  <c r="H111" i="10"/>
  <c r="V111" i="10"/>
  <c r="I111" i="10"/>
  <c r="J111" i="10"/>
  <c r="K111" i="10"/>
  <c r="L111" i="10"/>
  <c r="M111" i="10"/>
  <c r="W111" i="10"/>
  <c r="N111" i="10"/>
  <c r="P111" i="10"/>
  <c r="O111" i="10"/>
  <c r="Q111" i="10"/>
  <c r="R111" i="10"/>
  <c r="S111" i="10"/>
  <c r="X111" i="10"/>
  <c r="Y111" i="10"/>
  <c r="A112" i="10"/>
  <c r="B112" i="10"/>
  <c r="D112" i="10"/>
  <c r="E112" i="10"/>
  <c r="F112" i="10"/>
  <c r="G112" i="10"/>
  <c r="H112" i="10"/>
  <c r="V112" i="10"/>
  <c r="I112" i="10"/>
  <c r="J112" i="10"/>
  <c r="K112" i="10"/>
  <c r="L112" i="10"/>
  <c r="M112" i="10"/>
  <c r="W112" i="10"/>
  <c r="N112" i="10"/>
  <c r="P112" i="10"/>
  <c r="O112" i="10"/>
  <c r="Q112" i="10"/>
  <c r="R112" i="10"/>
  <c r="S112" i="10"/>
  <c r="X112" i="10"/>
  <c r="Y112" i="10"/>
  <c r="A113" i="10"/>
  <c r="B113" i="10"/>
  <c r="D113" i="10"/>
  <c r="E113" i="10"/>
  <c r="F113" i="10"/>
  <c r="G113" i="10"/>
  <c r="H113" i="10"/>
  <c r="V113" i="10"/>
  <c r="I113" i="10"/>
  <c r="J113" i="10"/>
  <c r="K113" i="10"/>
  <c r="L113" i="10"/>
  <c r="M113" i="10"/>
  <c r="W113" i="10"/>
  <c r="N113" i="10"/>
  <c r="P113" i="10"/>
  <c r="O113" i="10"/>
  <c r="Q113" i="10"/>
  <c r="R113" i="10"/>
  <c r="S113" i="10"/>
  <c r="X113" i="10"/>
  <c r="Y113" i="10"/>
  <c r="A114" i="10"/>
  <c r="B114" i="10"/>
  <c r="D114" i="10"/>
  <c r="E114" i="10"/>
  <c r="F114" i="10"/>
  <c r="G114" i="10"/>
  <c r="H114" i="10"/>
  <c r="V114" i="10"/>
  <c r="I114" i="10"/>
  <c r="J114" i="10"/>
  <c r="K114" i="10"/>
  <c r="L114" i="10"/>
  <c r="M114" i="10"/>
  <c r="W114" i="10"/>
  <c r="N114" i="10"/>
  <c r="P114" i="10"/>
  <c r="O114" i="10"/>
  <c r="Q114" i="10"/>
  <c r="R114" i="10"/>
  <c r="S114" i="10"/>
  <c r="X114" i="10"/>
  <c r="Y114" i="10"/>
  <c r="A115" i="10"/>
  <c r="B115" i="10"/>
  <c r="D115" i="10"/>
  <c r="E115" i="10"/>
  <c r="F115" i="10"/>
  <c r="G115" i="10"/>
  <c r="H115" i="10"/>
  <c r="V115" i="10"/>
  <c r="I115" i="10"/>
  <c r="J115" i="10"/>
  <c r="K115" i="10"/>
  <c r="L115" i="10"/>
  <c r="M115" i="10"/>
  <c r="W115" i="10"/>
  <c r="N115" i="10"/>
  <c r="P115" i="10"/>
  <c r="O115" i="10"/>
  <c r="Q115" i="10"/>
  <c r="R115" i="10"/>
  <c r="S115" i="10"/>
  <c r="X115" i="10"/>
  <c r="Y115" i="10"/>
  <c r="A116" i="10"/>
  <c r="B116" i="10"/>
  <c r="D116" i="10"/>
  <c r="E116" i="10"/>
  <c r="F116" i="10"/>
  <c r="G116" i="10"/>
  <c r="H116" i="10"/>
  <c r="V116" i="10"/>
  <c r="I116" i="10"/>
  <c r="J116" i="10"/>
  <c r="K116" i="10"/>
  <c r="L116" i="10"/>
  <c r="M116" i="10"/>
  <c r="W116" i="10"/>
  <c r="N116" i="10"/>
  <c r="P116" i="10"/>
  <c r="O116" i="10"/>
  <c r="Q116" i="10"/>
  <c r="R116" i="10"/>
  <c r="S116" i="10"/>
  <c r="X116" i="10"/>
  <c r="Y116" i="10"/>
  <c r="A117" i="10"/>
  <c r="B117" i="10"/>
  <c r="D117" i="10"/>
  <c r="E117" i="10"/>
  <c r="F117" i="10"/>
  <c r="G117" i="10"/>
  <c r="H117" i="10"/>
  <c r="V117" i="10"/>
  <c r="I117" i="10"/>
  <c r="J117" i="10"/>
  <c r="K117" i="10"/>
  <c r="L117" i="10"/>
  <c r="M117" i="10"/>
  <c r="W117" i="10"/>
  <c r="N117" i="10"/>
  <c r="P117" i="10"/>
  <c r="O117" i="10"/>
  <c r="Q117" i="10"/>
  <c r="R117" i="10"/>
  <c r="S117" i="10"/>
  <c r="X117" i="10"/>
  <c r="Y117" i="10"/>
  <c r="A118" i="10"/>
  <c r="B118" i="10"/>
  <c r="D118" i="10"/>
  <c r="E118" i="10"/>
  <c r="F118" i="10"/>
  <c r="G118" i="10"/>
  <c r="H118" i="10"/>
  <c r="V118" i="10"/>
  <c r="I118" i="10"/>
  <c r="J118" i="10"/>
  <c r="K118" i="10"/>
  <c r="L118" i="10"/>
  <c r="M118" i="10"/>
  <c r="W118" i="10"/>
  <c r="N118" i="10"/>
  <c r="P118" i="10"/>
  <c r="O118" i="10"/>
  <c r="Q118" i="10"/>
  <c r="R118" i="10"/>
  <c r="S118" i="10"/>
  <c r="X118" i="10"/>
  <c r="Y118" i="10"/>
  <c r="A119" i="10"/>
  <c r="B119" i="10"/>
  <c r="D119" i="10"/>
  <c r="E119" i="10"/>
  <c r="F119" i="10"/>
  <c r="G119" i="10"/>
  <c r="H119" i="10"/>
  <c r="V119" i="10"/>
  <c r="I119" i="10"/>
  <c r="J119" i="10"/>
  <c r="K119" i="10"/>
  <c r="L119" i="10"/>
  <c r="M119" i="10"/>
  <c r="W119" i="10"/>
  <c r="N119" i="10"/>
  <c r="P119" i="10"/>
  <c r="O119" i="10"/>
  <c r="Q119" i="10"/>
  <c r="R119" i="10"/>
  <c r="S119" i="10"/>
  <c r="X119" i="10"/>
  <c r="Y119" i="10"/>
  <c r="A120" i="10"/>
  <c r="B120" i="10"/>
  <c r="D120" i="10"/>
  <c r="E120" i="10"/>
  <c r="F120" i="10"/>
  <c r="G120" i="10"/>
  <c r="H120" i="10"/>
  <c r="V120" i="10"/>
  <c r="I120" i="10"/>
  <c r="J120" i="10"/>
  <c r="K120" i="10"/>
  <c r="L120" i="10"/>
  <c r="M120" i="10"/>
  <c r="W120" i="10"/>
  <c r="N120" i="10"/>
  <c r="P120" i="10"/>
  <c r="O120" i="10"/>
  <c r="Q120" i="10"/>
  <c r="R120" i="10"/>
  <c r="S120" i="10"/>
  <c r="X120" i="10"/>
  <c r="Y120" i="10"/>
  <c r="A121" i="10"/>
  <c r="B121" i="10"/>
  <c r="D121" i="10"/>
  <c r="E121" i="10"/>
  <c r="F121" i="10"/>
  <c r="G121" i="10"/>
  <c r="H121" i="10"/>
  <c r="V121" i="10"/>
  <c r="I121" i="10"/>
  <c r="J121" i="10"/>
  <c r="K121" i="10"/>
  <c r="L121" i="10"/>
  <c r="M121" i="10"/>
  <c r="W121" i="10"/>
  <c r="N121" i="10"/>
  <c r="P121" i="10"/>
  <c r="O121" i="10"/>
  <c r="Q121" i="10"/>
  <c r="R121" i="10"/>
  <c r="S121" i="10"/>
  <c r="X121" i="10"/>
  <c r="Y121" i="10"/>
  <c r="A122" i="10"/>
  <c r="B122" i="10"/>
  <c r="D122" i="10"/>
  <c r="E122" i="10"/>
  <c r="F122" i="10"/>
  <c r="G122" i="10"/>
  <c r="H122" i="10"/>
  <c r="V122" i="10"/>
  <c r="I122" i="10"/>
  <c r="J122" i="10"/>
  <c r="K122" i="10"/>
  <c r="L122" i="10"/>
  <c r="M122" i="10"/>
  <c r="W122" i="10"/>
  <c r="N122" i="10"/>
  <c r="P122" i="10"/>
  <c r="O122" i="10"/>
  <c r="Q122" i="10"/>
  <c r="R122" i="10"/>
  <c r="S122" i="10"/>
  <c r="X122" i="10"/>
  <c r="Y122" i="10"/>
  <c r="A123" i="10"/>
  <c r="B123" i="10"/>
  <c r="D123" i="10"/>
  <c r="E123" i="10"/>
  <c r="F123" i="10"/>
  <c r="G123" i="10"/>
  <c r="H123" i="10"/>
  <c r="V123" i="10"/>
  <c r="I123" i="10"/>
  <c r="J123" i="10"/>
  <c r="K123" i="10"/>
  <c r="L123" i="10"/>
  <c r="M123" i="10"/>
  <c r="W123" i="10"/>
  <c r="N123" i="10"/>
  <c r="P123" i="10"/>
  <c r="X123" i="10"/>
  <c r="Y123" i="10"/>
  <c r="A124" i="10"/>
  <c r="B124" i="10"/>
  <c r="D124" i="10"/>
  <c r="E124" i="10"/>
  <c r="F124" i="10"/>
  <c r="G124" i="10"/>
  <c r="H124" i="10"/>
  <c r="V124" i="10"/>
  <c r="I124" i="10"/>
  <c r="J124" i="10"/>
  <c r="K124" i="10"/>
  <c r="L124" i="10"/>
  <c r="M124" i="10"/>
  <c r="W124" i="10"/>
  <c r="N124" i="10"/>
  <c r="P124" i="10"/>
  <c r="X124" i="10"/>
  <c r="Y124" i="10"/>
  <c r="A125" i="10"/>
  <c r="B125" i="10"/>
  <c r="D125" i="10"/>
  <c r="E125" i="10"/>
  <c r="F125" i="10"/>
  <c r="G125" i="10"/>
  <c r="H125" i="10"/>
  <c r="V125" i="10"/>
  <c r="I125" i="10"/>
  <c r="J125" i="10"/>
  <c r="K125" i="10"/>
  <c r="L125" i="10"/>
  <c r="M125" i="10"/>
  <c r="W125" i="10"/>
  <c r="N125" i="10"/>
  <c r="P125" i="10"/>
  <c r="X125" i="10"/>
  <c r="Y125" i="10"/>
  <c r="A126" i="10"/>
  <c r="B126" i="10"/>
  <c r="D126" i="10"/>
  <c r="E126" i="10"/>
  <c r="F126" i="10"/>
  <c r="G126" i="10"/>
  <c r="H126" i="10"/>
  <c r="V126" i="10"/>
  <c r="I126" i="10"/>
  <c r="J126" i="10"/>
  <c r="K126" i="10"/>
  <c r="L126" i="10"/>
  <c r="M126" i="10"/>
  <c r="W126" i="10"/>
  <c r="N126" i="10"/>
  <c r="P126" i="10"/>
  <c r="X126" i="10"/>
  <c r="Y126" i="10"/>
  <c r="A127" i="10"/>
  <c r="B127" i="10"/>
  <c r="D127" i="10"/>
  <c r="E127" i="10"/>
  <c r="F127" i="10"/>
  <c r="G127" i="10"/>
  <c r="H127" i="10"/>
  <c r="V127" i="10"/>
  <c r="I127" i="10"/>
  <c r="J127" i="10"/>
  <c r="K127" i="10"/>
  <c r="L127" i="10"/>
  <c r="M127" i="10"/>
  <c r="W127" i="10"/>
  <c r="N127" i="10"/>
  <c r="P127" i="10"/>
  <c r="X127" i="10"/>
  <c r="Y127" i="10"/>
  <c r="A128" i="10"/>
  <c r="B128" i="10"/>
  <c r="D128" i="10"/>
  <c r="E128" i="10"/>
  <c r="F128" i="10"/>
  <c r="G128" i="10"/>
  <c r="H128" i="10"/>
  <c r="V128" i="10"/>
  <c r="I128" i="10"/>
  <c r="J128" i="10"/>
  <c r="K128" i="10"/>
  <c r="L128" i="10"/>
  <c r="M128" i="10"/>
  <c r="W128" i="10"/>
  <c r="N128" i="10"/>
  <c r="P128" i="10"/>
  <c r="X128" i="10"/>
  <c r="Y128" i="10"/>
  <c r="A129" i="10"/>
  <c r="B129" i="10"/>
  <c r="D129" i="10"/>
  <c r="E129" i="10"/>
  <c r="F129" i="10"/>
  <c r="G129" i="10"/>
  <c r="H129" i="10"/>
  <c r="V129" i="10"/>
  <c r="I129" i="10"/>
  <c r="J129" i="10"/>
  <c r="K129" i="10"/>
  <c r="L129" i="10"/>
  <c r="M129" i="10"/>
  <c r="W129" i="10"/>
  <c r="N129" i="10"/>
  <c r="P129" i="10"/>
  <c r="X129" i="10"/>
  <c r="Y129" i="10"/>
  <c r="A130" i="10"/>
  <c r="B130" i="10"/>
  <c r="D130" i="10"/>
  <c r="E130" i="10"/>
  <c r="F130" i="10"/>
  <c r="G130" i="10"/>
  <c r="H130" i="10"/>
  <c r="V130" i="10"/>
  <c r="I130" i="10"/>
  <c r="J130" i="10"/>
  <c r="K130" i="10"/>
  <c r="L130" i="10"/>
  <c r="M130" i="10"/>
  <c r="W130" i="10"/>
  <c r="N130" i="10"/>
  <c r="P130" i="10"/>
  <c r="X130" i="10"/>
  <c r="Y130" i="10"/>
  <c r="A131" i="10"/>
  <c r="B131" i="10"/>
  <c r="D131" i="10"/>
  <c r="E131" i="10"/>
  <c r="F131" i="10"/>
  <c r="G131" i="10"/>
  <c r="H131" i="10"/>
  <c r="V131" i="10"/>
  <c r="I131" i="10"/>
  <c r="J131" i="10"/>
  <c r="K131" i="10"/>
  <c r="L131" i="10"/>
  <c r="M131" i="10"/>
  <c r="W131" i="10"/>
  <c r="N131" i="10"/>
  <c r="P131" i="10"/>
  <c r="X131" i="10"/>
  <c r="Y131" i="10"/>
  <c r="A132" i="10"/>
  <c r="B132" i="10"/>
  <c r="D132" i="10"/>
  <c r="E132" i="10"/>
  <c r="F132" i="10"/>
  <c r="G132" i="10"/>
  <c r="H132" i="10"/>
  <c r="V132" i="10"/>
  <c r="I132" i="10"/>
  <c r="J132" i="10"/>
  <c r="K132" i="10"/>
  <c r="L132" i="10"/>
  <c r="M132" i="10"/>
  <c r="W132" i="10"/>
  <c r="N132" i="10"/>
  <c r="P132" i="10"/>
  <c r="X132" i="10"/>
  <c r="Y132" i="10"/>
  <c r="A133" i="10"/>
  <c r="B133" i="10"/>
  <c r="D133" i="10"/>
  <c r="E133" i="10"/>
  <c r="F133" i="10"/>
  <c r="G133" i="10"/>
  <c r="H133" i="10"/>
  <c r="V133" i="10"/>
  <c r="I133" i="10"/>
  <c r="J133" i="10"/>
  <c r="K133" i="10"/>
  <c r="L133" i="10"/>
  <c r="M133" i="10"/>
  <c r="W133" i="10"/>
  <c r="N133" i="10"/>
  <c r="P133" i="10"/>
  <c r="X133" i="10"/>
  <c r="Y133" i="10"/>
  <c r="A134" i="10"/>
  <c r="B134" i="10"/>
  <c r="D134" i="10"/>
  <c r="E134" i="10"/>
  <c r="F134" i="10"/>
  <c r="G134" i="10"/>
  <c r="H134" i="10"/>
  <c r="V134" i="10"/>
  <c r="I134" i="10"/>
  <c r="J134" i="10"/>
  <c r="K134" i="10"/>
  <c r="L134" i="10"/>
  <c r="M134" i="10"/>
  <c r="W134" i="10"/>
  <c r="N134" i="10"/>
  <c r="P134" i="10"/>
  <c r="X134" i="10"/>
  <c r="Y134" i="10"/>
  <c r="A135" i="10"/>
  <c r="B135" i="10"/>
  <c r="D135" i="10"/>
  <c r="E135" i="10"/>
  <c r="F135" i="10"/>
  <c r="G135" i="10"/>
  <c r="H135" i="10"/>
  <c r="V135" i="10"/>
  <c r="I135" i="10"/>
  <c r="J135" i="10"/>
  <c r="K135" i="10"/>
  <c r="L135" i="10"/>
  <c r="M135" i="10"/>
  <c r="W135" i="10"/>
  <c r="N135" i="10"/>
  <c r="P135" i="10"/>
  <c r="X135" i="10"/>
  <c r="Y135" i="10"/>
  <c r="A136" i="10"/>
  <c r="B136" i="10"/>
  <c r="D136" i="10"/>
  <c r="E136" i="10"/>
  <c r="F136" i="10"/>
  <c r="G136" i="10"/>
  <c r="H136" i="10"/>
  <c r="V136" i="10"/>
  <c r="I136" i="10"/>
  <c r="J136" i="10"/>
  <c r="K136" i="10"/>
  <c r="L136" i="10"/>
  <c r="M136" i="10"/>
  <c r="W136" i="10"/>
  <c r="N136" i="10"/>
  <c r="P136" i="10"/>
  <c r="X136" i="10"/>
  <c r="Y136" i="10"/>
  <c r="A137" i="10"/>
  <c r="B137" i="10"/>
  <c r="D137" i="10"/>
  <c r="E137" i="10"/>
  <c r="F137" i="10"/>
  <c r="G137" i="10"/>
  <c r="H137" i="10"/>
  <c r="V137" i="10"/>
  <c r="I137" i="10"/>
  <c r="J137" i="10"/>
  <c r="K137" i="10"/>
  <c r="L137" i="10"/>
  <c r="M137" i="10"/>
  <c r="W137" i="10"/>
  <c r="N137" i="10"/>
  <c r="P137" i="10"/>
  <c r="X137" i="10"/>
  <c r="Y137" i="10"/>
  <c r="A138" i="10"/>
  <c r="B138" i="10"/>
  <c r="D138" i="10"/>
  <c r="E138" i="10"/>
  <c r="F138" i="10"/>
  <c r="G138" i="10"/>
  <c r="H138" i="10"/>
  <c r="V138" i="10"/>
  <c r="I138" i="10"/>
  <c r="J138" i="10"/>
  <c r="K138" i="10"/>
  <c r="L138" i="10"/>
  <c r="M138" i="10"/>
  <c r="W138" i="10"/>
  <c r="N138" i="10"/>
  <c r="P138" i="10"/>
  <c r="X138" i="10"/>
  <c r="Y138" i="10"/>
  <c r="A139" i="10"/>
  <c r="B139" i="10"/>
  <c r="D139" i="10"/>
  <c r="E139" i="10"/>
  <c r="F139" i="10"/>
  <c r="G139" i="10"/>
  <c r="H139" i="10"/>
  <c r="V139" i="10"/>
  <c r="I139" i="10"/>
  <c r="J139" i="10"/>
  <c r="K139" i="10"/>
  <c r="L139" i="10"/>
  <c r="M139" i="10"/>
  <c r="W139" i="10"/>
  <c r="N139" i="10"/>
  <c r="P139" i="10"/>
  <c r="X139" i="10"/>
  <c r="Y139" i="10"/>
  <c r="A140" i="10"/>
  <c r="B140" i="10"/>
  <c r="D140" i="10"/>
  <c r="E140" i="10"/>
  <c r="F140" i="10"/>
  <c r="G140" i="10"/>
  <c r="H140" i="10"/>
  <c r="V140" i="10"/>
  <c r="I140" i="10"/>
  <c r="J140" i="10"/>
  <c r="K140" i="10"/>
  <c r="L140" i="10"/>
  <c r="M140" i="10"/>
  <c r="W140" i="10"/>
  <c r="N140" i="10"/>
  <c r="P140" i="10"/>
  <c r="X140" i="10"/>
  <c r="Y140" i="10"/>
  <c r="A141" i="10"/>
  <c r="B141" i="10"/>
  <c r="D141" i="10"/>
  <c r="E141" i="10"/>
  <c r="F141" i="10"/>
  <c r="G141" i="10"/>
  <c r="H141" i="10"/>
  <c r="V141" i="10"/>
  <c r="I141" i="10"/>
  <c r="J141" i="10"/>
  <c r="K141" i="10"/>
  <c r="L141" i="10"/>
  <c r="M141" i="10"/>
  <c r="W141" i="10"/>
  <c r="N141" i="10"/>
  <c r="P141" i="10"/>
  <c r="X141" i="10"/>
  <c r="Y141" i="10"/>
  <c r="A142" i="10"/>
  <c r="B142" i="10"/>
  <c r="D142" i="10"/>
  <c r="E142" i="10"/>
  <c r="F142" i="10"/>
  <c r="G142" i="10"/>
  <c r="H142" i="10"/>
  <c r="V142" i="10"/>
  <c r="I142" i="10"/>
  <c r="J142" i="10"/>
  <c r="K142" i="10"/>
  <c r="L142" i="10"/>
  <c r="M142" i="10"/>
  <c r="W142" i="10"/>
  <c r="N142" i="10"/>
  <c r="P142" i="10"/>
  <c r="X142" i="10"/>
  <c r="Y142" i="10"/>
  <c r="A143" i="10"/>
  <c r="B143" i="10"/>
  <c r="D143" i="10"/>
  <c r="E143" i="10"/>
  <c r="F143" i="10"/>
  <c r="G143" i="10"/>
  <c r="H143" i="10"/>
  <c r="V143" i="10"/>
  <c r="I143" i="10"/>
  <c r="J143" i="10"/>
  <c r="K143" i="10"/>
  <c r="L143" i="10"/>
  <c r="M143" i="10"/>
  <c r="W143" i="10"/>
  <c r="N143" i="10"/>
  <c r="P143" i="10"/>
  <c r="X143" i="10"/>
  <c r="Y143" i="10"/>
  <c r="A144" i="10"/>
  <c r="B144" i="10"/>
  <c r="D144" i="10"/>
  <c r="E144" i="10"/>
  <c r="F144" i="10"/>
  <c r="G144" i="10"/>
  <c r="H144" i="10"/>
  <c r="V144" i="10"/>
  <c r="I144" i="10"/>
  <c r="J144" i="10"/>
  <c r="K144" i="10"/>
  <c r="L144" i="10"/>
  <c r="M144" i="10"/>
  <c r="W144" i="10"/>
  <c r="N144" i="10"/>
  <c r="P144" i="10"/>
  <c r="X144" i="10"/>
  <c r="Y144" i="10"/>
  <c r="A145" i="10"/>
  <c r="B145" i="10"/>
  <c r="D145" i="10"/>
  <c r="E145" i="10"/>
  <c r="F145" i="10"/>
  <c r="G145" i="10"/>
  <c r="H145" i="10"/>
  <c r="V145" i="10"/>
  <c r="I145" i="10"/>
  <c r="J145" i="10"/>
  <c r="K145" i="10"/>
  <c r="L145" i="10"/>
  <c r="M145" i="10"/>
  <c r="W145" i="10"/>
  <c r="N145" i="10"/>
  <c r="P145" i="10"/>
  <c r="X145" i="10"/>
  <c r="Y145" i="10"/>
  <c r="A146" i="10"/>
  <c r="B146" i="10"/>
  <c r="D146" i="10"/>
  <c r="E146" i="10"/>
  <c r="F146" i="10"/>
  <c r="G146" i="10"/>
  <c r="H146" i="10"/>
  <c r="V146" i="10"/>
  <c r="I146" i="10"/>
  <c r="J146" i="10"/>
  <c r="K146" i="10"/>
  <c r="L146" i="10"/>
  <c r="M146" i="10"/>
  <c r="W146" i="10"/>
  <c r="N146" i="10"/>
  <c r="P146" i="10"/>
  <c r="X146" i="10"/>
  <c r="Y146" i="10"/>
  <c r="A147" i="10"/>
  <c r="B147" i="10"/>
  <c r="D147" i="10"/>
  <c r="E147" i="10"/>
  <c r="F147" i="10"/>
  <c r="G147" i="10"/>
  <c r="H147" i="10"/>
  <c r="V147" i="10"/>
  <c r="I147" i="10"/>
  <c r="J147" i="10"/>
  <c r="K147" i="10"/>
  <c r="L147" i="10"/>
  <c r="M147" i="10"/>
  <c r="W147" i="10"/>
  <c r="N147" i="10"/>
  <c r="P147" i="10"/>
  <c r="X147" i="10"/>
  <c r="Y147" i="10"/>
  <c r="A148" i="10"/>
  <c r="B148" i="10"/>
  <c r="D148" i="10"/>
  <c r="E148" i="10"/>
  <c r="F148" i="10"/>
  <c r="G148" i="10"/>
  <c r="H148" i="10"/>
  <c r="V148" i="10"/>
  <c r="I148" i="10"/>
  <c r="J148" i="10"/>
  <c r="K148" i="10"/>
  <c r="L148" i="10"/>
  <c r="M148" i="10"/>
  <c r="W148" i="10"/>
  <c r="N148" i="10"/>
  <c r="P148" i="10"/>
  <c r="X148" i="10"/>
  <c r="Y148" i="10"/>
  <c r="A149" i="10"/>
  <c r="B149" i="10"/>
  <c r="D149" i="10"/>
  <c r="E149" i="10"/>
  <c r="F149" i="10"/>
  <c r="G149" i="10"/>
  <c r="H149" i="10"/>
  <c r="V149" i="10"/>
  <c r="I149" i="10"/>
  <c r="J149" i="10"/>
  <c r="K149" i="10"/>
  <c r="L149" i="10"/>
  <c r="M149" i="10"/>
  <c r="W149" i="10"/>
  <c r="N149" i="10"/>
  <c r="P149" i="10"/>
  <c r="X149" i="10"/>
  <c r="Y149" i="10"/>
  <c r="A150" i="10"/>
  <c r="B150" i="10"/>
  <c r="D150" i="10"/>
  <c r="E150" i="10"/>
  <c r="F150" i="10"/>
  <c r="G150" i="10"/>
  <c r="H150" i="10"/>
  <c r="V150" i="10"/>
  <c r="I150" i="10"/>
  <c r="J150" i="10"/>
  <c r="K150" i="10"/>
  <c r="L150" i="10"/>
  <c r="M150" i="10"/>
  <c r="W150" i="10"/>
  <c r="N150" i="10"/>
  <c r="P150" i="10"/>
  <c r="X150" i="10"/>
  <c r="Y150" i="10"/>
  <c r="A151" i="10"/>
  <c r="B151" i="10"/>
  <c r="D151" i="10"/>
  <c r="E151" i="10"/>
  <c r="F151" i="10"/>
  <c r="G151" i="10"/>
  <c r="H151" i="10"/>
  <c r="V151" i="10"/>
  <c r="I151" i="10"/>
  <c r="J151" i="10"/>
  <c r="K151" i="10"/>
  <c r="L151" i="10"/>
  <c r="M151" i="10"/>
  <c r="W151" i="10"/>
  <c r="N151" i="10"/>
  <c r="P151" i="10"/>
  <c r="X151" i="10"/>
  <c r="Y151" i="10"/>
  <c r="A152" i="10"/>
  <c r="B152" i="10"/>
  <c r="D152" i="10"/>
  <c r="E152" i="10"/>
  <c r="F152" i="10"/>
  <c r="G152" i="10"/>
  <c r="H152" i="10"/>
  <c r="V152" i="10"/>
  <c r="I152" i="10"/>
  <c r="J152" i="10"/>
  <c r="K152" i="10"/>
  <c r="L152" i="10"/>
  <c r="M152" i="10"/>
  <c r="W152" i="10"/>
  <c r="N152" i="10"/>
  <c r="P152" i="10"/>
  <c r="X152" i="10"/>
  <c r="Y152" i="10"/>
  <c r="A153" i="10"/>
  <c r="B153" i="10"/>
  <c r="D153" i="10"/>
  <c r="E153" i="10"/>
  <c r="F153" i="10"/>
  <c r="G153" i="10"/>
  <c r="H153" i="10"/>
  <c r="V153" i="10"/>
  <c r="I153" i="10"/>
  <c r="J153" i="10"/>
  <c r="K153" i="10"/>
  <c r="L153" i="10"/>
  <c r="M153" i="10"/>
  <c r="W153" i="10"/>
  <c r="N153" i="10"/>
  <c r="P153" i="10"/>
  <c r="X153" i="10"/>
  <c r="Y153" i="10"/>
  <c r="A154" i="10"/>
  <c r="B154" i="10"/>
  <c r="D154" i="10"/>
  <c r="E154" i="10"/>
  <c r="F154" i="10"/>
  <c r="G154" i="10"/>
  <c r="H154" i="10"/>
  <c r="V154" i="10"/>
  <c r="I154" i="10"/>
  <c r="J154" i="10"/>
  <c r="K154" i="10"/>
  <c r="L154" i="10"/>
  <c r="M154" i="10"/>
  <c r="W154" i="10"/>
  <c r="N154" i="10"/>
  <c r="P154" i="10"/>
  <c r="X154" i="10"/>
  <c r="Y154" i="10"/>
  <c r="A155" i="10"/>
  <c r="B155" i="10"/>
  <c r="D155" i="10"/>
  <c r="E155" i="10"/>
  <c r="F155" i="10"/>
  <c r="G155" i="10"/>
  <c r="H155" i="10"/>
  <c r="V155" i="10"/>
  <c r="I155" i="10"/>
  <c r="J155" i="10"/>
  <c r="K155" i="10"/>
  <c r="L155" i="10"/>
  <c r="M155" i="10"/>
  <c r="W155" i="10"/>
  <c r="N155" i="10"/>
  <c r="P155" i="10"/>
  <c r="X155" i="10"/>
  <c r="Y155" i="10"/>
  <c r="A156" i="10"/>
  <c r="B156" i="10"/>
  <c r="D156" i="10"/>
  <c r="E156" i="10"/>
  <c r="F156" i="10"/>
  <c r="G156" i="10"/>
  <c r="H156" i="10"/>
  <c r="V156" i="10"/>
  <c r="I156" i="10"/>
  <c r="J156" i="10"/>
  <c r="K156" i="10"/>
  <c r="L156" i="10"/>
  <c r="M156" i="10"/>
  <c r="W156" i="10"/>
  <c r="N156" i="10"/>
  <c r="P156" i="10"/>
  <c r="X156" i="10"/>
  <c r="Y156" i="10"/>
  <c r="A157" i="10"/>
  <c r="B157" i="10"/>
  <c r="D157" i="10"/>
  <c r="E157" i="10"/>
  <c r="F157" i="10"/>
  <c r="G157" i="10"/>
  <c r="H157" i="10"/>
  <c r="V157" i="10"/>
  <c r="I157" i="10"/>
  <c r="J157" i="10"/>
  <c r="K157" i="10"/>
  <c r="L157" i="10"/>
  <c r="M157" i="10"/>
  <c r="W157" i="10"/>
  <c r="N157" i="10"/>
  <c r="P157" i="10"/>
  <c r="X157" i="10"/>
  <c r="Y157" i="10"/>
  <c r="A158" i="10"/>
  <c r="B158" i="10"/>
  <c r="D158" i="10"/>
  <c r="E158" i="10"/>
  <c r="F158" i="10"/>
  <c r="G158" i="10"/>
  <c r="H158" i="10"/>
  <c r="V158" i="10"/>
  <c r="I158" i="10"/>
  <c r="J158" i="10"/>
  <c r="K158" i="10"/>
  <c r="L158" i="10"/>
  <c r="M158" i="10"/>
  <c r="W158" i="10"/>
  <c r="N158" i="10"/>
  <c r="P158" i="10"/>
  <c r="X158" i="10"/>
  <c r="Y158" i="10"/>
  <c r="A159" i="10"/>
  <c r="B159" i="10"/>
  <c r="D159" i="10"/>
  <c r="E159" i="10"/>
  <c r="F159" i="10"/>
  <c r="G159" i="10"/>
  <c r="H159" i="10"/>
  <c r="V159" i="10"/>
  <c r="I159" i="10"/>
  <c r="J159" i="10"/>
  <c r="K159" i="10"/>
  <c r="L159" i="10"/>
  <c r="M159" i="10"/>
  <c r="W159" i="10"/>
  <c r="N159" i="10"/>
  <c r="P159" i="10"/>
  <c r="X159" i="10"/>
  <c r="Y159" i="10"/>
  <c r="A160" i="10"/>
  <c r="B160" i="10"/>
  <c r="D160" i="10"/>
  <c r="E160" i="10"/>
  <c r="F160" i="10"/>
  <c r="G160" i="10"/>
  <c r="H160" i="10"/>
  <c r="V160" i="10"/>
  <c r="I160" i="10"/>
  <c r="J160" i="10"/>
  <c r="K160" i="10"/>
  <c r="L160" i="10"/>
  <c r="M160" i="10"/>
  <c r="W160" i="10"/>
  <c r="N160" i="10"/>
  <c r="P160" i="10"/>
  <c r="X160" i="10"/>
  <c r="Y160" i="10"/>
  <c r="A161" i="10"/>
  <c r="B161" i="10"/>
  <c r="D161" i="10"/>
  <c r="E161" i="10"/>
  <c r="F161" i="10"/>
  <c r="G161" i="10"/>
  <c r="H161" i="10"/>
  <c r="V161" i="10"/>
  <c r="I161" i="10"/>
  <c r="J161" i="10"/>
  <c r="K161" i="10"/>
  <c r="L161" i="10"/>
  <c r="M161" i="10"/>
  <c r="W161" i="10"/>
  <c r="N161" i="10"/>
  <c r="P161" i="10"/>
  <c r="X161" i="10"/>
  <c r="Y161" i="10"/>
  <c r="A162" i="10"/>
  <c r="B162" i="10"/>
  <c r="D162" i="10"/>
  <c r="E162" i="10"/>
  <c r="F162" i="10"/>
  <c r="G162" i="10"/>
  <c r="H162" i="10"/>
  <c r="V162" i="10"/>
  <c r="I162" i="10"/>
  <c r="J162" i="10"/>
  <c r="K162" i="10"/>
  <c r="L162" i="10"/>
  <c r="M162" i="10"/>
  <c r="W162" i="10"/>
  <c r="N162" i="10"/>
  <c r="P162" i="10"/>
  <c r="X162" i="10"/>
  <c r="Y162" i="10"/>
  <c r="A163" i="10"/>
  <c r="B163" i="10"/>
  <c r="D163" i="10"/>
  <c r="E163" i="10"/>
  <c r="F163" i="10"/>
  <c r="G163" i="10"/>
  <c r="H163" i="10"/>
  <c r="V163" i="10"/>
  <c r="I163" i="10"/>
  <c r="J163" i="10"/>
  <c r="K163" i="10"/>
  <c r="L163" i="10"/>
  <c r="M163" i="10"/>
  <c r="W163" i="10"/>
  <c r="N163" i="10"/>
  <c r="P163" i="10"/>
  <c r="X163" i="10"/>
  <c r="Y163" i="10"/>
  <c r="A164" i="10"/>
  <c r="B164" i="10"/>
  <c r="D164" i="10"/>
  <c r="E164" i="10"/>
  <c r="F164" i="10"/>
  <c r="G164" i="10"/>
  <c r="H164" i="10"/>
  <c r="V164" i="10"/>
  <c r="I164" i="10"/>
  <c r="J164" i="10"/>
  <c r="K164" i="10"/>
  <c r="L164" i="10"/>
  <c r="M164" i="10"/>
  <c r="W164" i="10"/>
  <c r="N164" i="10"/>
  <c r="P164" i="10"/>
  <c r="X164" i="10"/>
  <c r="Y164" i="10"/>
  <c r="A165" i="10"/>
  <c r="B165" i="10"/>
  <c r="D165" i="10"/>
  <c r="E165" i="10"/>
  <c r="F165" i="10"/>
  <c r="G165" i="10"/>
  <c r="H165" i="10"/>
  <c r="V165" i="10"/>
  <c r="I165" i="10"/>
  <c r="J165" i="10"/>
  <c r="K165" i="10"/>
  <c r="L165" i="10"/>
  <c r="M165" i="10"/>
  <c r="W165" i="10"/>
  <c r="N165" i="10"/>
  <c r="P165" i="10"/>
  <c r="X165" i="10"/>
  <c r="Y165" i="10"/>
  <c r="A166" i="10"/>
  <c r="B166" i="10"/>
  <c r="D166" i="10"/>
  <c r="E166" i="10"/>
  <c r="F166" i="10"/>
  <c r="G166" i="10"/>
  <c r="H166" i="10"/>
  <c r="V166" i="10"/>
  <c r="I166" i="10"/>
  <c r="J166" i="10"/>
  <c r="K166" i="10"/>
  <c r="L166" i="10"/>
  <c r="M166" i="10"/>
  <c r="W166" i="10"/>
  <c r="N166" i="10"/>
  <c r="P166" i="10"/>
  <c r="X166" i="10"/>
  <c r="Y166" i="10"/>
  <c r="A167" i="10"/>
  <c r="B167" i="10"/>
  <c r="D167" i="10"/>
  <c r="E167" i="10"/>
  <c r="F167" i="10"/>
  <c r="G167" i="10"/>
  <c r="H167" i="10"/>
  <c r="V167" i="10"/>
  <c r="I167" i="10"/>
  <c r="J167" i="10"/>
  <c r="K167" i="10"/>
  <c r="L167" i="10"/>
  <c r="M167" i="10"/>
  <c r="W167" i="10"/>
  <c r="N167" i="10"/>
  <c r="P167" i="10"/>
  <c r="X167" i="10"/>
  <c r="Y167" i="10"/>
  <c r="A168" i="10"/>
  <c r="B168" i="10"/>
  <c r="D168" i="10"/>
  <c r="E168" i="10"/>
  <c r="F168" i="10"/>
  <c r="G168" i="10"/>
  <c r="H168" i="10"/>
  <c r="V168" i="10"/>
  <c r="I168" i="10"/>
  <c r="J168" i="10"/>
  <c r="K168" i="10"/>
  <c r="L168" i="10"/>
  <c r="M168" i="10"/>
  <c r="W168" i="10"/>
  <c r="N168" i="10"/>
  <c r="P168" i="10"/>
  <c r="X168" i="10"/>
  <c r="Y168" i="10"/>
  <c r="A169" i="10"/>
  <c r="B169" i="10"/>
  <c r="D169" i="10"/>
  <c r="E169" i="10"/>
  <c r="F169" i="10"/>
  <c r="G169" i="10"/>
  <c r="H169" i="10"/>
  <c r="V169" i="10"/>
  <c r="I169" i="10"/>
  <c r="J169" i="10"/>
  <c r="K169" i="10"/>
  <c r="L169" i="10"/>
  <c r="M169" i="10"/>
  <c r="W169" i="10"/>
  <c r="N169" i="10"/>
  <c r="P169" i="10"/>
  <c r="X169" i="10"/>
  <c r="Y169" i="10"/>
  <c r="A170" i="10"/>
  <c r="B170" i="10"/>
  <c r="D170" i="10"/>
  <c r="E170" i="10"/>
  <c r="F170" i="10"/>
  <c r="G170" i="10"/>
  <c r="H170" i="10"/>
  <c r="V170" i="10"/>
  <c r="I170" i="10"/>
  <c r="J170" i="10"/>
  <c r="K170" i="10"/>
  <c r="L170" i="10"/>
  <c r="M170" i="10"/>
  <c r="W170" i="10"/>
  <c r="N170" i="10"/>
  <c r="P170" i="10"/>
  <c r="X170" i="10"/>
  <c r="Y170" i="10"/>
  <c r="A171" i="10"/>
  <c r="B171" i="10"/>
  <c r="D171" i="10"/>
  <c r="E171" i="10"/>
  <c r="F171" i="10"/>
  <c r="G171" i="10"/>
  <c r="H171" i="10"/>
  <c r="V171" i="10"/>
  <c r="I171" i="10"/>
  <c r="J171" i="10"/>
  <c r="K171" i="10"/>
  <c r="L171" i="10"/>
  <c r="M171" i="10"/>
  <c r="W171" i="10"/>
  <c r="N171" i="10"/>
  <c r="P171" i="10"/>
  <c r="X171" i="10"/>
  <c r="Y171" i="10"/>
  <c r="A172" i="10"/>
  <c r="B172" i="10"/>
  <c r="D172" i="10"/>
  <c r="E172" i="10"/>
  <c r="F172" i="10"/>
  <c r="G172" i="10"/>
  <c r="H172" i="10"/>
  <c r="V172" i="10"/>
  <c r="I172" i="10"/>
  <c r="J172" i="10"/>
  <c r="K172" i="10"/>
  <c r="L172" i="10"/>
  <c r="M172" i="10"/>
  <c r="W172" i="10"/>
  <c r="N172" i="10"/>
  <c r="P172" i="10"/>
  <c r="X172" i="10"/>
  <c r="Y172" i="10"/>
  <c r="A173" i="10"/>
  <c r="B173" i="10"/>
  <c r="D173" i="10"/>
  <c r="E173" i="10"/>
  <c r="F173" i="10"/>
  <c r="G173" i="10"/>
  <c r="H173" i="10"/>
  <c r="V173" i="10"/>
  <c r="I173" i="10"/>
  <c r="J173" i="10"/>
  <c r="K173" i="10"/>
  <c r="L173" i="10"/>
  <c r="M173" i="10"/>
  <c r="W173" i="10"/>
  <c r="N173" i="10"/>
  <c r="P173" i="10"/>
  <c r="X173" i="10"/>
  <c r="Y173" i="10"/>
  <c r="A174" i="10"/>
  <c r="B174" i="10"/>
  <c r="D174" i="10"/>
  <c r="E174" i="10"/>
  <c r="F174" i="10"/>
  <c r="G174" i="10"/>
  <c r="H174" i="10"/>
  <c r="V174" i="10"/>
  <c r="I174" i="10"/>
  <c r="J174" i="10"/>
  <c r="K174" i="10"/>
  <c r="L174" i="10"/>
  <c r="M174" i="10"/>
  <c r="W174" i="10"/>
  <c r="N174" i="10"/>
  <c r="P174" i="10"/>
  <c r="X174" i="10"/>
  <c r="Y174" i="10"/>
  <c r="A175" i="10"/>
  <c r="B175" i="10"/>
  <c r="D175" i="10"/>
  <c r="E175" i="10"/>
  <c r="F175" i="10"/>
  <c r="G175" i="10"/>
  <c r="H175" i="10"/>
  <c r="V175" i="10"/>
  <c r="I175" i="10"/>
  <c r="J175" i="10"/>
  <c r="K175" i="10"/>
  <c r="L175" i="10"/>
  <c r="M175" i="10"/>
  <c r="W175" i="10"/>
  <c r="N175" i="10"/>
  <c r="P175" i="10"/>
  <c r="X175" i="10"/>
  <c r="Y175" i="10"/>
  <c r="A176" i="10"/>
  <c r="B176" i="10"/>
  <c r="D176" i="10"/>
  <c r="E176" i="10"/>
  <c r="F176" i="10"/>
  <c r="G176" i="10"/>
  <c r="H176" i="10"/>
  <c r="V176" i="10"/>
  <c r="I176" i="10"/>
  <c r="J176" i="10"/>
  <c r="K176" i="10"/>
  <c r="L176" i="10"/>
  <c r="M176" i="10"/>
  <c r="W176" i="10"/>
  <c r="N176" i="10"/>
  <c r="P176" i="10"/>
  <c r="X176" i="10"/>
  <c r="Y176" i="10"/>
  <c r="A177" i="10"/>
  <c r="B177" i="10"/>
  <c r="D177" i="10"/>
  <c r="E177" i="10"/>
  <c r="F177" i="10"/>
  <c r="G177" i="10"/>
  <c r="H177" i="10"/>
  <c r="V177" i="10"/>
  <c r="I177" i="10"/>
  <c r="J177" i="10"/>
  <c r="K177" i="10"/>
  <c r="L177" i="10"/>
  <c r="M177" i="10"/>
  <c r="W177" i="10"/>
  <c r="N177" i="10"/>
  <c r="P177" i="10"/>
  <c r="X177" i="10"/>
  <c r="Y177" i="10"/>
  <c r="A178" i="10"/>
  <c r="B178" i="10"/>
  <c r="D178" i="10"/>
  <c r="E178" i="10"/>
  <c r="F178" i="10"/>
  <c r="G178" i="10"/>
  <c r="H178" i="10"/>
  <c r="V178" i="10"/>
  <c r="I178" i="10"/>
  <c r="J178" i="10"/>
  <c r="K178" i="10"/>
  <c r="L178" i="10"/>
  <c r="M178" i="10"/>
  <c r="W178" i="10"/>
  <c r="N178" i="10"/>
  <c r="P178" i="10"/>
  <c r="X178" i="10"/>
  <c r="Y178" i="10"/>
  <c r="A179" i="10"/>
  <c r="B179" i="10"/>
  <c r="D179" i="10"/>
  <c r="E179" i="10"/>
  <c r="F179" i="10"/>
  <c r="G179" i="10"/>
  <c r="H179" i="10"/>
  <c r="V179" i="10"/>
  <c r="I179" i="10"/>
  <c r="J179" i="10"/>
  <c r="K179" i="10"/>
  <c r="L179" i="10"/>
  <c r="M179" i="10"/>
  <c r="W179" i="10"/>
  <c r="N179" i="10"/>
  <c r="P179" i="10"/>
  <c r="X179" i="10"/>
  <c r="Y179" i="10"/>
  <c r="A180" i="10"/>
  <c r="B180" i="10"/>
  <c r="D180" i="10"/>
  <c r="E180" i="10"/>
  <c r="F180" i="10"/>
  <c r="G180" i="10"/>
  <c r="H180" i="10"/>
  <c r="V180" i="10"/>
  <c r="I180" i="10"/>
  <c r="J180" i="10"/>
  <c r="K180" i="10"/>
  <c r="L180" i="10"/>
  <c r="M180" i="10"/>
  <c r="W180" i="10"/>
  <c r="N180" i="10"/>
  <c r="P180" i="10"/>
  <c r="X180" i="10"/>
  <c r="Y180" i="10"/>
  <c r="A181" i="10"/>
  <c r="B181" i="10"/>
  <c r="D181" i="10"/>
  <c r="E181" i="10"/>
  <c r="F181" i="10"/>
  <c r="G181" i="10"/>
  <c r="H181" i="10"/>
  <c r="V181" i="10"/>
  <c r="I181" i="10"/>
  <c r="J181" i="10"/>
  <c r="K181" i="10"/>
  <c r="L181" i="10"/>
  <c r="M181" i="10"/>
  <c r="W181" i="10"/>
  <c r="N181" i="10"/>
  <c r="P181" i="10"/>
  <c r="X181" i="10"/>
  <c r="Y181" i="10"/>
  <c r="A182" i="10"/>
  <c r="B182" i="10"/>
  <c r="D182" i="10"/>
  <c r="E182" i="10"/>
  <c r="F182" i="10"/>
  <c r="G182" i="10"/>
  <c r="H182" i="10"/>
  <c r="V182" i="10"/>
  <c r="I182" i="10"/>
  <c r="J182" i="10"/>
  <c r="K182" i="10"/>
  <c r="L182" i="10"/>
  <c r="M182" i="10"/>
  <c r="W182" i="10"/>
  <c r="N182" i="10"/>
  <c r="P182" i="10"/>
  <c r="X182" i="10"/>
  <c r="Y182" i="10"/>
  <c r="Z4" i="10"/>
  <c r="Z5" i="10"/>
  <c r="Z6" i="10"/>
  <c r="AA4" i="10"/>
  <c r="AA5" i="10"/>
  <c r="AA6" i="10"/>
  <c r="Z7" i="10"/>
  <c r="AA7" i="10"/>
  <c r="Z8" i="10"/>
  <c r="AA8" i="10"/>
  <c r="Z9" i="10"/>
  <c r="AA9" i="10"/>
  <c r="Z10" i="10"/>
  <c r="AA10" i="10"/>
  <c r="Z11" i="10"/>
  <c r="AA11" i="10"/>
  <c r="Z12" i="10"/>
  <c r="AA12" i="10"/>
  <c r="Z13" i="10"/>
  <c r="AA13" i="10"/>
  <c r="Z14" i="10"/>
  <c r="AA14" i="10"/>
  <c r="Z15" i="10"/>
  <c r="AA15" i="10"/>
  <c r="Z16" i="10"/>
  <c r="AA16" i="10"/>
  <c r="Z17" i="10"/>
  <c r="AA17" i="10"/>
  <c r="Z18" i="10"/>
  <c r="AA18" i="10"/>
  <c r="Z19" i="10"/>
  <c r="AA19" i="10"/>
  <c r="Z20" i="10"/>
  <c r="AA20" i="10"/>
  <c r="Z21" i="10"/>
  <c r="AA21" i="10"/>
  <c r="Z22" i="10"/>
  <c r="AA22" i="10"/>
  <c r="Z23" i="10"/>
  <c r="AA23" i="10"/>
  <c r="Z24" i="10"/>
  <c r="AA24" i="10"/>
  <c r="Z25" i="10"/>
  <c r="AA25" i="10"/>
  <c r="Z26" i="10"/>
  <c r="AA26" i="10"/>
  <c r="Z27" i="10"/>
  <c r="AA27" i="10"/>
  <c r="Z28" i="10"/>
  <c r="AA28" i="10"/>
  <c r="Z29" i="10"/>
  <c r="AA29" i="10"/>
  <c r="Z30" i="10"/>
  <c r="AA30" i="10"/>
  <c r="Z31" i="10"/>
  <c r="AA31" i="10"/>
  <c r="Z32" i="10"/>
  <c r="AA32" i="10"/>
  <c r="Z33" i="10"/>
  <c r="AA33" i="10"/>
  <c r="Z34" i="10"/>
  <c r="AA34" i="10"/>
  <c r="Z35" i="10"/>
  <c r="AA35" i="10"/>
  <c r="Z36" i="10"/>
  <c r="AA36" i="10"/>
  <c r="Z37" i="10"/>
  <c r="AA37" i="10"/>
  <c r="Z38" i="10"/>
  <c r="AA38" i="10"/>
  <c r="Z39" i="10"/>
  <c r="AA39" i="10"/>
  <c r="Z40" i="10"/>
  <c r="AA40" i="10"/>
  <c r="Z41" i="10"/>
  <c r="AA41" i="10"/>
  <c r="Z42" i="10"/>
  <c r="AA42" i="10"/>
  <c r="Z43" i="10"/>
  <c r="AA43" i="10"/>
  <c r="Z44" i="10"/>
  <c r="AA44" i="10"/>
  <c r="Z45" i="10"/>
  <c r="AA45" i="10"/>
  <c r="Z46" i="10"/>
  <c r="AA46" i="10"/>
  <c r="Z47" i="10"/>
  <c r="AA47" i="10"/>
  <c r="Z48" i="10"/>
  <c r="AA48" i="10"/>
  <c r="Z49" i="10"/>
  <c r="AA49" i="10"/>
  <c r="Z50" i="10"/>
  <c r="AA50" i="10"/>
  <c r="Z51" i="10"/>
  <c r="AA51" i="10"/>
  <c r="Z52" i="10"/>
  <c r="AA52" i="10"/>
  <c r="Z53" i="10"/>
  <c r="AA53" i="10"/>
  <c r="Z54" i="10"/>
  <c r="AA54" i="10"/>
  <c r="Z55" i="10"/>
  <c r="AA55" i="10"/>
  <c r="Z56" i="10"/>
  <c r="AA56" i="10"/>
  <c r="Z57" i="10"/>
  <c r="AA57" i="10"/>
  <c r="Z58" i="10"/>
  <c r="AA58" i="10"/>
  <c r="Z59" i="10"/>
  <c r="AA59" i="10"/>
  <c r="Z60" i="10"/>
  <c r="AA60" i="10"/>
  <c r="Z61" i="10"/>
  <c r="AA61" i="10"/>
  <c r="Z62" i="10"/>
  <c r="AA62" i="10"/>
  <c r="Z63" i="10"/>
  <c r="AA63" i="10"/>
  <c r="Z64" i="10"/>
  <c r="AA64" i="10"/>
  <c r="Z65" i="10"/>
  <c r="AA65" i="10"/>
  <c r="Z66" i="10"/>
  <c r="AA66" i="10"/>
  <c r="Z67" i="10"/>
  <c r="AA67" i="10"/>
  <c r="Z68" i="10"/>
  <c r="AA68" i="10"/>
  <c r="Z69" i="10"/>
  <c r="AA69" i="10"/>
  <c r="Z70" i="10"/>
  <c r="AA70" i="10"/>
  <c r="Z71" i="10"/>
  <c r="AA71" i="10"/>
  <c r="Z72" i="10"/>
  <c r="AA72" i="10"/>
  <c r="Z73" i="10"/>
  <c r="AA73" i="10"/>
  <c r="Z74" i="10"/>
  <c r="AA74" i="10"/>
  <c r="Z75" i="10"/>
  <c r="AA75" i="10"/>
  <c r="Z76" i="10"/>
  <c r="AA76" i="10"/>
  <c r="Z77" i="10"/>
  <c r="AA77" i="10"/>
  <c r="Z78" i="10"/>
  <c r="AA78" i="10"/>
  <c r="Z79" i="10"/>
  <c r="AA79" i="10"/>
  <c r="Z80" i="10"/>
  <c r="AA80" i="10"/>
  <c r="Z81" i="10"/>
  <c r="AA81" i="10"/>
  <c r="Z82" i="10"/>
  <c r="AA82" i="10"/>
  <c r="Z83" i="10"/>
  <c r="AA83" i="10"/>
  <c r="Z84" i="10"/>
  <c r="AA84" i="10"/>
  <c r="Z85" i="10"/>
  <c r="AA85" i="10"/>
  <c r="Z86" i="10"/>
  <c r="AA86" i="10"/>
  <c r="Z87" i="10"/>
  <c r="AA87" i="10"/>
  <c r="Z88" i="10"/>
  <c r="AA88" i="10"/>
  <c r="Z89" i="10"/>
  <c r="AA89" i="10"/>
  <c r="Z90" i="10"/>
  <c r="AA90" i="10"/>
  <c r="Z91" i="10"/>
  <c r="AA91" i="10"/>
  <c r="Z92" i="10"/>
  <c r="AA92" i="10"/>
  <c r="Z93" i="10"/>
  <c r="AA93" i="10"/>
  <c r="Z94" i="10"/>
  <c r="AA94" i="10"/>
  <c r="Z95" i="10"/>
  <c r="AA95" i="10"/>
  <c r="Z96" i="10"/>
  <c r="AA96" i="10"/>
  <c r="Z97" i="10"/>
  <c r="AA97" i="10"/>
  <c r="Z98" i="10"/>
  <c r="AA98" i="10"/>
  <c r="Z99" i="10"/>
  <c r="AA99" i="10"/>
  <c r="Z100" i="10"/>
  <c r="AA100" i="10"/>
  <c r="Z101" i="10"/>
  <c r="AA101" i="10"/>
  <c r="Z102" i="10"/>
  <c r="AA102" i="10"/>
  <c r="Z103" i="10"/>
  <c r="AA103" i="10"/>
  <c r="Z104" i="10"/>
  <c r="AA104" i="10"/>
  <c r="Z105" i="10"/>
  <c r="AA105" i="10"/>
  <c r="Z106" i="10"/>
  <c r="AA106" i="10"/>
  <c r="Z107" i="10"/>
  <c r="AA107" i="10"/>
  <c r="Z108" i="10"/>
  <c r="AA108" i="10"/>
  <c r="Z109" i="10"/>
  <c r="AA109" i="10"/>
  <c r="Z110" i="10"/>
  <c r="AA110" i="10"/>
  <c r="Z111" i="10"/>
  <c r="AA111" i="10"/>
  <c r="Z112" i="10"/>
  <c r="AA112" i="10"/>
  <c r="Z113" i="10"/>
  <c r="AA113" i="10"/>
  <c r="Z114" i="10"/>
  <c r="AA114" i="10"/>
  <c r="Z115" i="10"/>
  <c r="AA115" i="10"/>
  <c r="Z116" i="10"/>
  <c r="AA116" i="10"/>
  <c r="Z117" i="10"/>
  <c r="AA117" i="10"/>
  <c r="Z118" i="10"/>
  <c r="AA118" i="10"/>
  <c r="Z119" i="10"/>
  <c r="AA119" i="10"/>
  <c r="Z120" i="10"/>
  <c r="AA120" i="10"/>
  <c r="Z121" i="10"/>
  <c r="AA121" i="10"/>
  <c r="Z122" i="10"/>
  <c r="AA122" i="10"/>
  <c r="Z123" i="10"/>
  <c r="AA123" i="10"/>
  <c r="Z124" i="10"/>
  <c r="AA124" i="10"/>
  <c r="Z125" i="10"/>
  <c r="AA125" i="10"/>
  <c r="Z126" i="10"/>
  <c r="AA126" i="10"/>
  <c r="Z127" i="10"/>
  <c r="AA127" i="10"/>
  <c r="Z128" i="10"/>
  <c r="AA128" i="10"/>
  <c r="Z129" i="10"/>
  <c r="AA129" i="10"/>
  <c r="Z130" i="10"/>
  <c r="AA130" i="10"/>
  <c r="Z131" i="10"/>
  <c r="AA131" i="10"/>
  <c r="Z132" i="10"/>
  <c r="AA132" i="10"/>
  <c r="Z133" i="10"/>
  <c r="AA133" i="10"/>
  <c r="Z134" i="10"/>
  <c r="AA134" i="10"/>
  <c r="Z135" i="10"/>
  <c r="AA135" i="10"/>
  <c r="Z136" i="10"/>
  <c r="AA136" i="10"/>
  <c r="Z137" i="10"/>
  <c r="AA137" i="10"/>
  <c r="Z138" i="10"/>
  <c r="AA138" i="10"/>
  <c r="Z139" i="10"/>
  <c r="AA139" i="10"/>
  <c r="Z140" i="10"/>
  <c r="AA140" i="10"/>
  <c r="Z141" i="10"/>
  <c r="AA141" i="10"/>
  <c r="Z142" i="10"/>
  <c r="AA142" i="10"/>
  <c r="Z143" i="10"/>
  <c r="AA143" i="10"/>
  <c r="Z144" i="10"/>
  <c r="AA144" i="10"/>
  <c r="Z145" i="10"/>
  <c r="AA145" i="10"/>
  <c r="Z146" i="10"/>
  <c r="AA146" i="10"/>
  <c r="Z147" i="10"/>
  <c r="AA147" i="10"/>
  <c r="Z148" i="10"/>
  <c r="AA148" i="10"/>
  <c r="Z149" i="10"/>
  <c r="AA149" i="10"/>
  <c r="Z150" i="10"/>
  <c r="AA150" i="10"/>
  <c r="Z151" i="10"/>
  <c r="AA151" i="10"/>
  <c r="Z152" i="10"/>
  <c r="AA152" i="10"/>
  <c r="Z153" i="10"/>
  <c r="AA153" i="10"/>
  <c r="Z154" i="10"/>
  <c r="AA154" i="10"/>
  <c r="Z155" i="10"/>
  <c r="AA155" i="10"/>
  <c r="Z156" i="10"/>
  <c r="AA156" i="10"/>
  <c r="Z157" i="10"/>
  <c r="AA157" i="10"/>
  <c r="Z158" i="10"/>
  <c r="AA158" i="10"/>
  <c r="Z159" i="10"/>
  <c r="AA159" i="10"/>
  <c r="Z160" i="10"/>
  <c r="AA160" i="10"/>
  <c r="Z161" i="10"/>
  <c r="AA161" i="10"/>
  <c r="Z162" i="10"/>
  <c r="AA162" i="10"/>
  <c r="Z163" i="10"/>
  <c r="AA163" i="10"/>
  <c r="Z164" i="10"/>
  <c r="AA164" i="10"/>
  <c r="Z165" i="10"/>
  <c r="AA165" i="10"/>
  <c r="Z166" i="10"/>
  <c r="AA166" i="10"/>
  <c r="Z167" i="10"/>
  <c r="AA167" i="10"/>
  <c r="Z168" i="10"/>
  <c r="AA168" i="10"/>
  <c r="Z169" i="10"/>
  <c r="AA169" i="10"/>
  <c r="Z170" i="10"/>
  <c r="AA170" i="10"/>
  <c r="Z171" i="10"/>
  <c r="AA171" i="10"/>
  <c r="Z172" i="10"/>
  <c r="AA172" i="10"/>
  <c r="Z173" i="10"/>
  <c r="AA173" i="10"/>
  <c r="Z174" i="10"/>
  <c r="AA174" i="10"/>
  <c r="Z175" i="10"/>
  <c r="AA175" i="10"/>
  <c r="Z176" i="10"/>
  <c r="AA176" i="10"/>
  <c r="Z177" i="10"/>
  <c r="AA177" i="10"/>
  <c r="Z178" i="10"/>
  <c r="AA178" i="10"/>
  <c r="Z179" i="10"/>
  <c r="AA179" i="10"/>
  <c r="Z180" i="10"/>
  <c r="AA180" i="10"/>
  <c r="Z181" i="10"/>
  <c r="AA181" i="10"/>
  <c r="Z182" i="10"/>
  <c r="AA182" i="10"/>
  <c r="E89" i="18"/>
  <c r="I88" i="18"/>
  <c r="G88" i="18"/>
  <c r="H88" i="18"/>
  <c r="F88" i="18"/>
  <c r="D88" i="18"/>
  <c r="E88" i="18"/>
  <c r="I87" i="18"/>
  <c r="G87" i="18"/>
  <c r="H87" i="18"/>
  <c r="F87" i="18"/>
  <c r="D87" i="18"/>
  <c r="E87" i="18"/>
  <c r="I86" i="18"/>
  <c r="G86" i="18"/>
  <c r="H86" i="18"/>
  <c r="F86" i="18"/>
  <c r="D86" i="18"/>
  <c r="E86" i="18"/>
  <c r="I85" i="18"/>
  <c r="G85" i="18"/>
  <c r="H85" i="18"/>
  <c r="F85" i="18"/>
  <c r="D85" i="18"/>
  <c r="E85" i="18"/>
  <c r="I84" i="18"/>
  <c r="G84" i="18"/>
  <c r="H84" i="18"/>
  <c r="F84" i="18"/>
  <c r="D84" i="18"/>
  <c r="E84" i="18"/>
  <c r="I83" i="18"/>
  <c r="G83" i="18"/>
  <c r="H83" i="18"/>
  <c r="F83" i="18"/>
  <c r="D83" i="18"/>
  <c r="E83" i="18"/>
  <c r="I82" i="18"/>
  <c r="G82" i="18"/>
  <c r="H82" i="18"/>
  <c r="F82" i="18"/>
  <c r="D82" i="18"/>
  <c r="E82" i="18"/>
  <c r="I81" i="18"/>
  <c r="G81" i="18"/>
  <c r="H81" i="18"/>
  <c r="F81" i="18"/>
  <c r="D81" i="18"/>
  <c r="E81" i="18"/>
  <c r="I80" i="18"/>
  <c r="G80" i="18"/>
  <c r="H80" i="18"/>
  <c r="F80" i="18"/>
  <c r="D80" i="18"/>
  <c r="E80" i="18"/>
  <c r="I79" i="18"/>
  <c r="G79" i="18"/>
  <c r="H79" i="18"/>
  <c r="F79" i="18"/>
  <c r="D79" i="18"/>
  <c r="E79" i="18"/>
  <c r="I78" i="18"/>
  <c r="G78" i="18"/>
  <c r="H78" i="18"/>
  <c r="F78" i="18"/>
  <c r="D78" i="18"/>
  <c r="E78" i="18"/>
  <c r="I77" i="18"/>
  <c r="G77" i="18"/>
  <c r="H77" i="18"/>
  <c r="F77" i="18"/>
  <c r="D77" i="18"/>
  <c r="E77" i="18"/>
  <c r="I76" i="18"/>
  <c r="G76" i="18"/>
  <c r="H76" i="18"/>
  <c r="F76" i="18"/>
  <c r="D76" i="18"/>
  <c r="E76" i="18"/>
  <c r="I75" i="18"/>
  <c r="G75" i="18"/>
  <c r="H75" i="18"/>
  <c r="F75" i="18"/>
  <c r="D75" i="18"/>
  <c r="E75" i="18"/>
  <c r="I74" i="18"/>
  <c r="G74" i="18"/>
  <c r="H74" i="18"/>
  <c r="F74" i="18"/>
  <c r="D74" i="18"/>
  <c r="E74" i="18"/>
  <c r="I73" i="18"/>
  <c r="G73" i="18"/>
  <c r="H73" i="18"/>
  <c r="F73" i="18"/>
  <c r="D73" i="18"/>
  <c r="E73" i="18"/>
  <c r="I72" i="18"/>
  <c r="G72" i="18"/>
  <c r="H72" i="18"/>
  <c r="F72" i="18"/>
  <c r="D72" i="18"/>
  <c r="E72" i="18"/>
  <c r="I71" i="18"/>
  <c r="G71" i="18"/>
  <c r="H71" i="18"/>
  <c r="F71" i="18"/>
  <c r="D71" i="18"/>
  <c r="E71" i="18"/>
  <c r="I70" i="18"/>
  <c r="G70" i="18"/>
  <c r="H70" i="18"/>
  <c r="F70" i="18"/>
  <c r="D70" i="18"/>
  <c r="E70" i="18"/>
  <c r="I69" i="18"/>
  <c r="G69" i="18"/>
  <c r="H69" i="18"/>
  <c r="F69" i="18"/>
  <c r="D69" i="18"/>
  <c r="E69" i="18"/>
  <c r="I68" i="18"/>
  <c r="G68" i="18"/>
  <c r="H68" i="18"/>
  <c r="F68" i="18"/>
  <c r="D68" i="18"/>
  <c r="E68" i="18"/>
  <c r="I67" i="18"/>
  <c r="G67" i="18"/>
  <c r="H67" i="18"/>
  <c r="F67" i="18"/>
  <c r="D67" i="18"/>
  <c r="E67" i="18"/>
  <c r="I66" i="18"/>
  <c r="G66" i="18"/>
  <c r="H66" i="18"/>
  <c r="F66" i="18"/>
  <c r="D66" i="18"/>
  <c r="E66" i="18"/>
  <c r="I65" i="18"/>
  <c r="G65" i="18"/>
  <c r="H65" i="18"/>
  <c r="F65" i="18"/>
  <c r="D65" i="18"/>
  <c r="E65" i="18"/>
  <c r="I64" i="18"/>
  <c r="G64" i="18"/>
  <c r="H64" i="18"/>
  <c r="F64" i="18"/>
  <c r="D64" i="18"/>
  <c r="E64" i="18"/>
  <c r="I63" i="18"/>
  <c r="G63" i="18"/>
  <c r="H63" i="18"/>
  <c r="F63" i="18"/>
  <c r="D63" i="18"/>
  <c r="E63" i="18"/>
  <c r="I62" i="18"/>
  <c r="G62" i="18"/>
  <c r="H62" i="18"/>
  <c r="F62" i="18"/>
  <c r="D62" i="18"/>
  <c r="E62" i="18"/>
  <c r="I61" i="18"/>
  <c r="G61" i="18"/>
  <c r="H61" i="18"/>
  <c r="F61" i="18"/>
  <c r="D61" i="18"/>
  <c r="E61" i="18"/>
  <c r="I60" i="18"/>
  <c r="G60" i="18"/>
  <c r="H60" i="18"/>
  <c r="F60" i="18"/>
  <c r="D60" i="18"/>
  <c r="E60" i="18"/>
  <c r="I59" i="18"/>
  <c r="G59" i="18"/>
  <c r="H59" i="18"/>
  <c r="F59" i="18"/>
  <c r="D59" i="18"/>
  <c r="E59" i="18"/>
  <c r="I58" i="18"/>
  <c r="G58" i="18"/>
  <c r="H58" i="18"/>
  <c r="F58" i="18"/>
  <c r="D58" i="18"/>
  <c r="E58" i="18"/>
  <c r="I57" i="18"/>
  <c r="G57" i="18"/>
  <c r="H57" i="18"/>
  <c r="F57" i="18"/>
  <c r="D57" i="18"/>
  <c r="E57" i="18"/>
  <c r="I56" i="18"/>
  <c r="G56" i="18"/>
  <c r="H56" i="18"/>
  <c r="F56" i="18"/>
  <c r="D56" i="18"/>
  <c r="E56" i="18"/>
  <c r="I55" i="18"/>
  <c r="G55" i="18"/>
  <c r="H55" i="18"/>
  <c r="F55" i="18"/>
  <c r="D55" i="18"/>
  <c r="E55" i="18"/>
  <c r="I54" i="18"/>
  <c r="G54" i="18"/>
  <c r="H54" i="18"/>
  <c r="F54" i="18"/>
  <c r="D54" i="18"/>
  <c r="E54" i="18"/>
  <c r="I53" i="18"/>
  <c r="G53" i="18"/>
  <c r="H53" i="18"/>
  <c r="F53" i="18"/>
  <c r="D53" i="18"/>
  <c r="E53" i="18"/>
  <c r="I52" i="18"/>
  <c r="G52" i="18"/>
  <c r="H52" i="18"/>
  <c r="F52" i="18"/>
  <c r="D52" i="18"/>
  <c r="E52" i="18"/>
  <c r="I51" i="18"/>
  <c r="G51" i="18"/>
  <c r="H51" i="18"/>
  <c r="F51" i="18"/>
  <c r="D51" i="18"/>
  <c r="E51" i="18"/>
  <c r="I50" i="18"/>
  <c r="G50" i="18"/>
  <c r="H50" i="18"/>
  <c r="F50" i="18"/>
  <c r="D50" i="18"/>
  <c r="E50" i="18"/>
  <c r="I49" i="18"/>
  <c r="G49" i="18"/>
  <c r="H49" i="18"/>
  <c r="F49" i="18"/>
  <c r="D49" i="18"/>
  <c r="E49" i="18"/>
  <c r="I48" i="18"/>
  <c r="G48" i="18"/>
  <c r="H48" i="18"/>
  <c r="F48" i="18"/>
  <c r="D48" i="18"/>
  <c r="E48" i="18"/>
  <c r="I47" i="18"/>
  <c r="G47" i="18"/>
  <c r="H47" i="18"/>
  <c r="F47" i="18"/>
  <c r="D47" i="18"/>
  <c r="E47" i="18"/>
  <c r="I46" i="18"/>
  <c r="G46" i="18"/>
  <c r="H46" i="18"/>
  <c r="F46" i="18"/>
  <c r="D46" i="18"/>
  <c r="E46" i="18"/>
  <c r="I45" i="18"/>
  <c r="G45" i="18"/>
  <c r="H45" i="18"/>
  <c r="F45" i="18"/>
  <c r="D45" i="18"/>
  <c r="E45" i="18"/>
  <c r="C45" i="18"/>
  <c r="A45" i="18"/>
  <c r="A4" i="9"/>
  <c r="B4" i="9"/>
  <c r="E4" i="9"/>
  <c r="F4" i="9"/>
  <c r="G4" i="9"/>
  <c r="H4" i="9"/>
  <c r="I4" i="9"/>
  <c r="Y4" i="9"/>
  <c r="K4" i="9"/>
  <c r="L4" i="9"/>
  <c r="M4" i="9"/>
  <c r="N4" i="9"/>
  <c r="O4" i="9"/>
  <c r="Z4" i="9"/>
  <c r="A4" i="17"/>
  <c r="Q4" i="9"/>
  <c r="R4" i="9"/>
  <c r="S4" i="9"/>
  <c r="T4" i="9"/>
  <c r="U4" i="9"/>
  <c r="V4" i="9"/>
  <c r="AA4" i="9"/>
  <c r="AB4" i="9"/>
  <c r="A5" i="9"/>
  <c r="B5" i="9"/>
  <c r="E5" i="9"/>
  <c r="F5" i="9"/>
  <c r="G5" i="9"/>
  <c r="H5" i="9"/>
  <c r="I5" i="9"/>
  <c r="Y5" i="9"/>
  <c r="K5" i="9"/>
  <c r="L5" i="9"/>
  <c r="M5" i="9"/>
  <c r="N5" i="9"/>
  <c r="O5" i="9"/>
  <c r="Z5" i="9"/>
  <c r="A5" i="17"/>
  <c r="Q5" i="9"/>
  <c r="R5" i="9"/>
  <c r="S5" i="9"/>
  <c r="T5" i="9"/>
  <c r="U5" i="9"/>
  <c r="V5" i="9"/>
  <c r="AA5" i="9"/>
  <c r="AB5" i="9"/>
  <c r="A6" i="9"/>
  <c r="B6" i="9"/>
  <c r="E6" i="9"/>
  <c r="F6" i="9"/>
  <c r="G6" i="9"/>
  <c r="H6" i="9"/>
  <c r="I6" i="9"/>
  <c r="Y6" i="9"/>
  <c r="K6" i="9"/>
  <c r="L6" i="9"/>
  <c r="M6" i="9"/>
  <c r="N6" i="9"/>
  <c r="O6" i="9"/>
  <c r="Z6" i="9"/>
  <c r="A6" i="17"/>
  <c r="Q6" i="9"/>
  <c r="R6" i="9"/>
  <c r="S6" i="9"/>
  <c r="T6" i="9"/>
  <c r="U6" i="9"/>
  <c r="V6" i="9"/>
  <c r="AA6" i="9"/>
  <c r="AB6" i="9"/>
  <c r="A7" i="9"/>
  <c r="B7" i="9"/>
  <c r="E7" i="9"/>
  <c r="F7" i="9"/>
  <c r="G7" i="9"/>
  <c r="H7" i="9"/>
  <c r="I7" i="9"/>
  <c r="Y7" i="9"/>
  <c r="K7" i="9"/>
  <c r="L7" i="9"/>
  <c r="M7" i="9"/>
  <c r="N7" i="9"/>
  <c r="O7" i="9"/>
  <c r="Z7" i="9"/>
  <c r="A7" i="17"/>
  <c r="Q7" i="9"/>
  <c r="R7" i="9"/>
  <c r="S7" i="9"/>
  <c r="T7" i="9"/>
  <c r="U7" i="9"/>
  <c r="V7" i="9"/>
  <c r="AA7" i="9"/>
  <c r="AB7" i="9"/>
  <c r="A8" i="9"/>
  <c r="B8" i="9"/>
  <c r="E8" i="9"/>
  <c r="F8" i="9"/>
  <c r="G8" i="9"/>
  <c r="H8" i="9"/>
  <c r="I8" i="9"/>
  <c r="Y8" i="9"/>
  <c r="K8" i="9"/>
  <c r="L8" i="9"/>
  <c r="M8" i="9"/>
  <c r="N8" i="9"/>
  <c r="O8" i="9"/>
  <c r="Z8" i="9"/>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Q8" i="9"/>
  <c r="R8" i="9"/>
  <c r="S8" i="9"/>
  <c r="T8" i="9"/>
  <c r="U8" i="9"/>
  <c r="V8" i="9"/>
  <c r="AA8" i="9"/>
  <c r="AB8" i="9"/>
  <c r="A9" i="9"/>
  <c r="B9" i="9"/>
  <c r="E9" i="9"/>
  <c r="F9" i="9"/>
  <c r="G9" i="9"/>
  <c r="H9" i="9"/>
  <c r="I9" i="9"/>
  <c r="Y9" i="9"/>
  <c r="K9" i="9"/>
  <c r="L9" i="9"/>
  <c r="M9" i="9"/>
  <c r="N9" i="9"/>
  <c r="O9" i="9"/>
  <c r="Z9" i="9"/>
  <c r="Q9" i="9"/>
  <c r="R9" i="9"/>
  <c r="S9" i="9"/>
  <c r="T9" i="9"/>
  <c r="U9" i="9"/>
  <c r="V9" i="9"/>
  <c r="AA9" i="9"/>
  <c r="AB9" i="9"/>
  <c r="A10" i="9"/>
  <c r="B10" i="9"/>
  <c r="E10" i="9"/>
  <c r="F10" i="9"/>
  <c r="G10" i="9"/>
  <c r="H10" i="9"/>
  <c r="I10" i="9"/>
  <c r="Y10" i="9"/>
  <c r="K10" i="9"/>
  <c r="L10" i="9"/>
  <c r="M10" i="9"/>
  <c r="N10" i="9"/>
  <c r="O10" i="9"/>
  <c r="Z10" i="9"/>
  <c r="Q10" i="9"/>
  <c r="R10" i="9"/>
  <c r="S10" i="9"/>
  <c r="T10" i="9"/>
  <c r="U10" i="9"/>
  <c r="V10" i="9"/>
  <c r="AA10" i="9"/>
  <c r="AB10" i="9"/>
  <c r="A11" i="9"/>
  <c r="B11" i="9"/>
  <c r="E11" i="9"/>
  <c r="F11" i="9"/>
  <c r="G11" i="9"/>
  <c r="H11" i="9"/>
  <c r="I11" i="9"/>
  <c r="Y11" i="9"/>
  <c r="K11" i="9"/>
  <c r="L11" i="9"/>
  <c r="M11" i="9"/>
  <c r="N11" i="9"/>
  <c r="O11" i="9"/>
  <c r="Z11" i="9"/>
  <c r="Q11" i="9"/>
  <c r="R11" i="9"/>
  <c r="S11" i="9"/>
  <c r="T11" i="9"/>
  <c r="U11" i="9"/>
  <c r="V11" i="9"/>
  <c r="AA11" i="9"/>
  <c r="AB11" i="9"/>
  <c r="A12" i="9"/>
  <c r="B12" i="9"/>
  <c r="E12" i="9"/>
  <c r="F12" i="9"/>
  <c r="G12" i="9"/>
  <c r="H12" i="9"/>
  <c r="I12" i="9"/>
  <c r="Y12" i="9"/>
  <c r="K12" i="9"/>
  <c r="L12" i="9"/>
  <c r="M12" i="9"/>
  <c r="N12" i="9"/>
  <c r="O12" i="9"/>
  <c r="Z12" i="9"/>
  <c r="Q12" i="9"/>
  <c r="R12" i="9"/>
  <c r="S12" i="9"/>
  <c r="T12" i="9"/>
  <c r="U12" i="9"/>
  <c r="V12" i="9"/>
  <c r="AA12" i="9"/>
  <c r="AB12" i="9"/>
  <c r="A13" i="9"/>
  <c r="B13" i="9"/>
  <c r="E13" i="9"/>
  <c r="F13" i="9"/>
  <c r="G13" i="9"/>
  <c r="H13" i="9"/>
  <c r="I13" i="9"/>
  <c r="Y13" i="9"/>
  <c r="K13" i="9"/>
  <c r="L13" i="9"/>
  <c r="M13" i="9"/>
  <c r="N13" i="9"/>
  <c r="O13" i="9"/>
  <c r="Z13" i="9"/>
  <c r="Q13" i="9"/>
  <c r="R13" i="9"/>
  <c r="S13" i="9"/>
  <c r="T13" i="9"/>
  <c r="U13" i="9"/>
  <c r="V13" i="9"/>
  <c r="AA13" i="9"/>
  <c r="AB13" i="9"/>
  <c r="A14" i="9"/>
  <c r="B14" i="9"/>
  <c r="E14" i="9"/>
  <c r="F14" i="9"/>
  <c r="G14" i="9"/>
  <c r="H14" i="9"/>
  <c r="I14" i="9"/>
  <c r="Y14" i="9"/>
  <c r="K14" i="9"/>
  <c r="L14" i="9"/>
  <c r="M14" i="9"/>
  <c r="N14" i="9"/>
  <c r="O14" i="9"/>
  <c r="Z14" i="9"/>
  <c r="Q14" i="9"/>
  <c r="R14" i="9"/>
  <c r="S14" i="9"/>
  <c r="T14" i="9"/>
  <c r="U14" i="9"/>
  <c r="V14" i="9"/>
  <c r="AA14" i="9"/>
  <c r="AB14" i="9"/>
  <c r="A15" i="9"/>
  <c r="B15" i="9"/>
  <c r="E15" i="9"/>
  <c r="F15" i="9"/>
  <c r="G15" i="9"/>
  <c r="H15" i="9"/>
  <c r="I15" i="9"/>
  <c r="Y15" i="9"/>
  <c r="K15" i="9"/>
  <c r="L15" i="9"/>
  <c r="M15" i="9"/>
  <c r="N15" i="9"/>
  <c r="O15" i="9"/>
  <c r="Z15" i="9"/>
  <c r="Q15" i="9"/>
  <c r="R15" i="9"/>
  <c r="S15" i="9"/>
  <c r="T15" i="9"/>
  <c r="U15" i="9"/>
  <c r="V15" i="9"/>
  <c r="AA15" i="9"/>
  <c r="AB15" i="9"/>
  <c r="A16" i="9"/>
  <c r="B16" i="9"/>
  <c r="E16" i="9"/>
  <c r="F16" i="9"/>
  <c r="G16" i="9"/>
  <c r="H16" i="9"/>
  <c r="I16" i="9"/>
  <c r="Y16" i="9"/>
  <c r="K16" i="9"/>
  <c r="L16" i="9"/>
  <c r="M16" i="9"/>
  <c r="N16" i="9"/>
  <c r="O16" i="9"/>
  <c r="Z16" i="9"/>
  <c r="Q16" i="9"/>
  <c r="R16" i="9"/>
  <c r="S16" i="9"/>
  <c r="T16" i="9"/>
  <c r="U16" i="9"/>
  <c r="V16" i="9"/>
  <c r="AA16" i="9"/>
  <c r="AB16" i="9"/>
  <c r="A17" i="9"/>
  <c r="B17" i="9"/>
  <c r="E17" i="9"/>
  <c r="F17" i="9"/>
  <c r="G17" i="9"/>
  <c r="H17" i="9"/>
  <c r="I17" i="9"/>
  <c r="Y17" i="9"/>
  <c r="K17" i="9"/>
  <c r="L17" i="9"/>
  <c r="M17" i="9"/>
  <c r="N17" i="9"/>
  <c r="O17" i="9"/>
  <c r="Z17" i="9"/>
  <c r="Q17" i="9"/>
  <c r="R17" i="9"/>
  <c r="S17" i="9"/>
  <c r="T17" i="9"/>
  <c r="U17" i="9"/>
  <c r="V17" i="9"/>
  <c r="AA17" i="9"/>
  <c r="AB17" i="9"/>
  <c r="A18" i="9"/>
  <c r="B18" i="9"/>
  <c r="E18" i="9"/>
  <c r="F18" i="9"/>
  <c r="G18" i="9"/>
  <c r="H18" i="9"/>
  <c r="I18" i="9"/>
  <c r="Y18" i="9"/>
  <c r="K18" i="9"/>
  <c r="L18" i="9"/>
  <c r="M18" i="9"/>
  <c r="N18" i="9"/>
  <c r="O18" i="9"/>
  <c r="Z18" i="9"/>
  <c r="Q18" i="9"/>
  <c r="R18" i="9"/>
  <c r="S18" i="9"/>
  <c r="T18" i="9"/>
  <c r="U18" i="9"/>
  <c r="V18" i="9"/>
  <c r="AA18" i="9"/>
  <c r="AB18" i="9"/>
  <c r="A19" i="9"/>
  <c r="B19" i="9"/>
  <c r="E19" i="9"/>
  <c r="F19" i="9"/>
  <c r="G19" i="9"/>
  <c r="H19" i="9"/>
  <c r="I19" i="9"/>
  <c r="Y19" i="9"/>
  <c r="K19" i="9"/>
  <c r="L19" i="9"/>
  <c r="M19" i="9"/>
  <c r="N19" i="9"/>
  <c r="O19" i="9"/>
  <c r="Z19" i="9"/>
  <c r="Q19" i="9"/>
  <c r="R19" i="9"/>
  <c r="S19" i="9"/>
  <c r="T19" i="9"/>
  <c r="U19" i="9"/>
  <c r="V19" i="9"/>
  <c r="AA19" i="9"/>
  <c r="AB19" i="9"/>
  <c r="A20" i="9"/>
  <c r="B20" i="9"/>
  <c r="E20" i="9"/>
  <c r="F20" i="9"/>
  <c r="G20" i="9"/>
  <c r="H20" i="9"/>
  <c r="I20" i="9"/>
  <c r="Y20" i="9"/>
  <c r="K20" i="9"/>
  <c r="L20" i="9"/>
  <c r="M20" i="9"/>
  <c r="N20" i="9"/>
  <c r="O20" i="9"/>
  <c r="Z20" i="9"/>
  <c r="Q20" i="9"/>
  <c r="R20" i="9"/>
  <c r="S20" i="9"/>
  <c r="T20" i="9"/>
  <c r="U20" i="9"/>
  <c r="V20" i="9"/>
  <c r="AA20" i="9"/>
  <c r="AB20" i="9"/>
  <c r="A21" i="9"/>
  <c r="B21" i="9"/>
  <c r="E21" i="9"/>
  <c r="F21" i="9"/>
  <c r="G21" i="9"/>
  <c r="H21" i="9"/>
  <c r="I21" i="9"/>
  <c r="Y21" i="9"/>
  <c r="K21" i="9"/>
  <c r="L21" i="9"/>
  <c r="M21" i="9"/>
  <c r="N21" i="9"/>
  <c r="O21" i="9"/>
  <c r="Z21" i="9"/>
  <c r="Q21" i="9"/>
  <c r="R21" i="9"/>
  <c r="S21" i="9"/>
  <c r="T21" i="9"/>
  <c r="U21" i="9"/>
  <c r="V21" i="9"/>
  <c r="AA21" i="9"/>
  <c r="AB21" i="9"/>
  <c r="A22" i="9"/>
  <c r="B22" i="9"/>
  <c r="E22" i="9"/>
  <c r="F22" i="9"/>
  <c r="G22" i="9"/>
  <c r="H22" i="9"/>
  <c r="I22" i="9"/>
  <c r="Y22" i="9"/>
  <c r="K22" i="9"/>
  <c r="L22" i="9"/>
  <c r="M22" i="9"/>
  <c r="N22" i="9"/>
  <c r="O22" i="9"/>
  <c r="Z22" i="9"/>
  <c r="Q22" i="9"/>
  <c r="R22" i="9"/>
  <c r="S22" i="9"/>
  <c r="T22" i="9"/>
  <c r="U22" i="9"/>
  <c r="V22" i="9"/>
  <c r="AA22" i="9"/>
  <c r="AB22" i="9"/>
  <c r="A23" i="9"/>
  <c r="B23" i="9"/>
  <c r="E23" i="9"/>
  <c r="F23" i="9"/>
  <c r="G23" i="9"/>
  <c r="H23" i="9"/>
  <c r="I23" i="9"/>
  <c r="Y23" i="9"/>
  <c r="K23" i="9"/>
  <c r="L23" i="9"/>
  <c r="M23" i="9"/>
  <c r="N23" i="9"/>
  <c r="O23" i="9"/>
  <c r="Z23" i="9"/>
  <c r="Q23" i="9"/>
  <c r="R23" i="9"/>
  <c r="S23" i="9"/>
  <c r="T23" i="9"/>
  <c r="U23" i="9"/>
  <c r="V23" i="9"/>
  <c r="AA23" i="9"/>
  <c r="AB23" i="9"/>
  <c r="A24" i="9"/>
  <c r="B24" i="9"/>
  <c r="E24" i="9"/>
  <c r="F24" i="9"/>
  <c r="G24" i="9"/>
  <c r="H24" i="9"/>
  <c r="I24" i="9"/>
  <c r="Y24" i="9"/>
  <c r="K24" i="9"/>
  <c r="L24" i="9"/>
  <c r="M24" i="9"/>
  <c r="N24" i="9"/>
  <c r="O24" i="9"/>
  <c r="Z24" i="9"/>
  <c r="Q24" i="9"/>
  <c r="R24" i="9"/>
  <c r="S24" i="9"/>
  <c r="T24" i="9"/>
  <c r="U24" i="9"/>
  <c r="V24" i="9"/>
  <c r="AA24" i="9"/>
  <c r="AB24" i="9"/>
  <c r="A25" i="9"/>
  <c r="B25" i="9"/>
  <c r="E25" i="9"/>
  <c r="F25" i="9"/>
  <c r="G25" i="9"/>
  <c r="H25" i="9"/>
  <c r="I25" i="9"/>
  <c r="Y25" i="9"/>
  <c r="K25" i="9"/>
  <c r="L25" i="9"/>
  <c r="M25" i="9"/>
  <c r="N25" i="9"/>
  <c r="O25" i="9"/>
  <c r="Z25" i="9"/>
  <c r="Q25" i="9"/>
  <c r="R25" i="9"/>
  <c r="S25" i="9"/>
  <c r="T25" i="9"/>
  <c r="U25" i="9"/>
  <c r="V25" i="9"/>
  <c r="AA25" i="9"/>
  <c r="AB25" i="9"/>
  <c r="A26" i="9"/>
  <c r="B26" i="9"/>
  <c r="E26" i="9"/>
  <c r="F26" i="9"/>
  <c r="G26" i="9"/>
  <c r="H26" i="9"/>
  <c r="I26" i="9"/>
  <c r="Y26" i="9"/>
  <c r="K26" i="9"/>
  <c r="L26" i="9"/>
  <c r="M26" i="9"/>
  <c r="N26" i="9"/>
  <c r="O26" i="9"/>
  <c r="Z26" i="9"/>
  <c r="Q26" i="9"/>
  <c r="R26" i="9"/>
  <c r="S26" i="9"/>
  <c r="T26" i="9"/>
  <c r="U26" i="9"/>
  <c r="V26" i="9"/>
  <c r="AA26" i="9"/>
  <c r="AB26" i="9"/>
  <c r="A27" i="9"/>
  <c r="B27" i="9"/>
  <c r="E27" i="9"/>
  <c r="F27" i="9"/>
  <c r="G27" i="9"/>
  <c r="H27" i="9"/>
  <c r="I27" i="9"/>
  <c r="Y27" i="9"/>
  <c r="K27" i="9"/>
  <c r="L27" i="9"/>
  <c r="M27" i="9"/>
  <c r="N27" i="9"/>
  <c r="O27" i="9"/>
  <c r="Z27" i="9"/>
  <c r="Q27" i="9"/>
  <c r="R27" i="9"/>
  <c r="S27" i="9"/>
  <c r="T27" i="9"/>
  <c r="U27" i="9"/>
  <c r="V27" i="9"/>
  <c r="AA27" i="9"/>
  <c r="AB27" i="9"/>
  <c r="A28" i="9"/>
  <c r="B28" i="9"/>
  <c r="E28" i="9"/>
  <c r="F28" i="9"/>
  <c r="G28" i="9"/>
  <c r="H28" i="9"/>
  <c r="I28" i="9"/>
  <c r="Y28" i="9"/>
  <c r="K28" i="9"/>
  <c r="L28" i="9"/>
  <c r="M28" i="9"/>
  <c r="N28" i="9"/>
  <c r="O28" i="9"/>
  <c r="Z28" i="9"/>
  <c r="Q28" i="9"/>
  <c r="R28" i="9"/>
  <c r="S28" i="9"/>
  <c r="T28" i="9"/>
  <c r="U28" i="9"/>
  <c r="V28" i="9"/>
  <c r="AA28" i="9"/>
  <c r="AB28" i="9"/>
  <c r="A29" i="9"/>
  <c r="B29" i="9"/>
  <c r="E29" i="9"/>
  <c r="F29" i="9"/>
  <c r="G29" i="9"/>
  <c r="H29" i="9"/>
  <c r="I29" i="9"/>
  <c r="Y29" i="9"/>
  <c r="K29" i="9"/>
  <c r="L29" i="9"/>
  <c r="M29" i="9"/>
  <c r="N29" i="9"/>
  <c r="O29" i="9"/>
  <c r="Z29" i="9"/>
  <c r="Q29" i="9"/>
  <c r="R29" i="9"/>
  <c r="S29" i="9"/>
  <c r="T29" i="9"/>
  <c r="U29" i="9"/>
  <c r="V29" i="9"/>
  <c r="AA29" i="9"/>
  <c r="AB29" i="9"/>
  <c r="A30" i="9"/>
  <c r="B30" i="9"/>
  <c r="E30" i="9"/>
  <c r="F30" i="9"/>
  <c r="G30" i="9"/>
  <c r="H30" i="9"/>
  <c r="I30" i="9"/>
  <c r="Y30" i="9"/>
  <c r="K30" i="9"/>
  <c r="L30" i="9"/>
  <c r="M30" i="9"/>
  <c r="N30" i="9"/>
  <c r="O30" i="9"/>
  <c r="Z30" i="9"/>
  <c r="Q30" i="9"/>
  <c r="R30" i="9"/>
  <c r="S30" i="9"/>
  <c r="T30" i="9"/>
  <c r="U30" i="9"/>
  <c r="V30" i="9"/>
  <c r="AA30" i="9"/>
  <c r="AB30" i="9"/>
  <c r="A31" i="9"/>
  <c r="B31" i="9"/>
  <c r="E31" i="9"/>
  <c r="F31" i="9"/>
  <c r="G31" i="9"/>
  <c r="H31" i="9"/>
  <c r="I31" i="9"/>
  <c r="Y31" i="9"/>
  <c r="K31" i="9"/>
  <c r="L31" i="9"/>
  <c r="M31" i="9"/>
  <c r="N31" i="9"/>
  <c r="O31" i="9"/>
  <c r="Z31" i="9"/>
  <c r="Q31" i="9"/>
  <c r="R31" i="9"/>
  <c r="S31" i="9"/>
  <c r="T31" i="9"/>
  <c r="U31" i="9"/>
  <c r="V31" i="9"/>
  <c r="AA31" i="9"/>
  <c r="AB31" i="9"/>
  <c r="A32" i="9"/>
  <c r="B32" i="9"/>
  <c r="E32" i="9"/>
  <c r="F32" i="9"/>
  <c r="G32" i="9"/>
  <c r="H32" i="9"/>
  <c r="I32" i="9"/>
  <c r="Y32" i="9"/>
  <c r="K32" i="9"/>
  <c r="L32" i="9"/>
  <c r="M32" i="9"/>
  <c r="N32" i="9"/>
  <c r="O32" i="9"/>
  <c r="Z32" i="9"/>
  <c r="Q32" i="9"/>
  <c r="R32" i="9"/>
  <c r="S32" i="9"/>
  <c r="T32" i="9"/>
  <c r="U32" i="9"/>
  <c r="V32" i="9"/>
  <c r="AA32" i="9"/>
  <c r="AB32" i="9"/>
  <c r="A33" i="9"/>
  <c r="B33" i="9"/>
  <c r="E33" i="9"/>
  <c r="F33" i="9"/>
  <c r="G33" i="9"/>
  <c r="H33" i="9"/>
  <c r="I33" i="9"/>
  <c r="Y33" i="9"/>
  <c r="K33" i="9"/>
  <c r="L33" i="9"/>
  <c r="M33" i="9"/>
  <c r="N33" i="9"/>
  <c r="O33" i="9"/>
  <c r="Z33" i="9"/>
  <c r="Q33" i="9"/>
  <c r="R33" i="9"/>
  <c r="S33" i="9"/>
  <c r="T33" i="9"/>
  <c r="U33" i="9"/>
  <c r="V33" i="9"/>
  <c r="AA33" i="9"/>
  <c r="AB33" i="9"/>
  <c r="A34" i="9"/>
  <c r="B34" i="9"/>
  <c r="E34" i="9"/>
  <c r="F34" i="9"/>
  <c r="G34" i="9"/>
  <c r="H34" i="9"/>
  <c r="I34" i="9"/>
  <c r="Y34" i="9"/>
  <c r="K34" i="9"/>
  <c r="L34" i="9"/>
  <c r="M34" i="9"/>
  <c r="N34" i="9"/>
  <c r="O34" i="9"/>
  <c r="Z34" i="9"/>
  <c r="Q34" i="9"/>
  <c r="R34" i="9"/>
  <c r="S34" i="9"/>
  <c r="T34" i="9"/>
  <c r="U34" i="9"/>
  <c r="V34" i="9"/>
  <c r="AA34" i="9"/>
  <c r="AB34" i="9"/>
  <c r="A35" i="9"/>
  <c r="B35" i="9"/>
  <c r="E35" i="9"/>
  <c r="F35" i="9"/>
  <c r="G35" i="9"/>
  <c r="H35" i="9"/>
  <c r="I35" i="9"/>
  <c r="Y35" i="9"/>
  <c r="K35" i="9"/>
  <c r="L35" i="9"/>
  <c r="M35" i="9"/>
  <c r="N35" i="9"/>
  <c r="O35" i="9"/>
  <c r="Z35" i="9"/>
  <c r="Q35" i="9"/>
  <c r="R35" i="9"/>
  <c r="S35" i="9"/>
  <c r="T35" i="9"/>
  <c r="U35" i="9"/>
  <c r="V35" i="9"/>
  <c r="AA35" i="9"/>
  <c r="AB35" i="9"/>
  <c r="A36" i="9"/>
  <c r="B36" i="9"/>
  <c r="E36" i="9"/>
  <c r="F36" i="9"/>
  <c r="G36" i="9"/>
  <c r="H36" i="9"/>
  <c r="I36" i="9"/>
  <c r="Y36" i="9"/>
  <c r="K36" i="9"/>
  <c r="L36" i="9"/>
  <c r="M36" i="9"/>
  <c r="N36" i="9"/>
  <c r="O36" i="9"/>
  <c r="Z36" i="9"/>
  <c r="Q36" i="9"/>
  <c r="R36" i="9"/>
  <c r="S36" i="9"/>
  <c r="T36" i="9"/>
  <c r="U36" i="9"/>
  <c r="V36" i="9"/>
  <c r="AA36" i="9"/>
  <c r="AB36" i="9"/>
  <c r="A37" i="9"/>
  <c r="B37" i="9"/>
  <c r="E37" i="9"/>
  <c r="F37" i="9"/>
  <c r="G37" i="9"/>
  <c r="H37" i="9"/>
  <c r="I37" i="9"/>
  <c r="Y37" i="9"/>
  <c r="K37" i="9"/>
  <c r="L37" i="9"/>
  <c r="M37" i="9"/>
  <c r="N37" i="9"/>
  <c r="O37" i="9"/>
  <c r="Z37" i="9"/>
  <c r="Q37" i="9"/>
  <c r="R37" i="9"/>
  <c r="S37" i="9"/>
  <c r="T37" i="9"/>
  <c r="U37" i="9"/>
  <c r="V37" i="9"/>
  <c r="AA37" i="9"/>
  <c r="AB37" i="9"/>
  <c r="A38" i="9"/>
  <c r="B38" i="9"/>
  <c r="E38" i="9"/>
  <c r="F38" i="9"/>
  <c r="G38" i="9"/>
  <c r="H38" i="9"/>
  <c r="I38" i="9"/>
  <c r="Y38" i="9"/>
  <c r="K38" i="9"/>
  <c r="L38" i="9"/>
  <c r="M38" i="9"/>
  <c r="N38" i="9"/>
  <c r="O38" i="9"/>
  <c r="Z38" i="9"/>
  <c r="Q38" i="9"/>
  <c r="R38" i="9"/>
  <c r="S38" i="9"/>
  <c r="T38" i="9"/>
  <c r="U38" i="9"/>
  <c r="V38" i="9"/>
  <c r="AA38" i="9"/>
  <c r="AB38" i="9"/>
  <c r="A39" i="9"/>
  <c r="B39" i="9"/>
  <c r="E39" i="9"/>
  <c r="F39" i="9"/>
  <c r="G39" i="9"/>
  <c r="H39" i="9"/>
  <c r="I39" i="9"/>
  <c r="Y39" i="9"/>
  <c r="K39" i="9"/>
  <c r="L39" i="9"/>
  <c r="M39" i="9"/>
  <c r="N39" i="9"/>
  <c r="O39" i="9"/>
  <c r="Z39" i="9"/>
  <c r="Q39" i="9"/>
  <c r="R39" i="9"/>
  <c r="S39" i="9"/>
  <c r="T39" i="9"/>
  <c r="U39" i="9"/>
  <c r="V39" i="9"/>
  <c r="AA39" i="9"/>
  <c r="AB39" i="9"/>
  <c r="A40" i="9"/>
  <c r="B40" i="9"/>
  <c r="E40" i="9"/>
  <c r="F40" i="9"/>
  <c r="G40" i="9"/>
  <c r="H40" i="9"/>
  <c r="I40" i="9"/>
  <c r="Y40" i="9"/>
  <c r="K40" i="9"/>
  <c r="L40" i="9"/>
  <c r="M40" i="9"/>
  <c r="N40" i="9"/>
  <c r="O40" i="9"/>
  <c r="Z40" i="9"/>
  <c r="Q40" i="9"/>
  <c r="R40" i="9"/>
  <c r="S40" i="9"/>
  <c r="T40" i="9"/>
  <c r="U40" i="9"/>
  <c r="V40" i="9"/>
  <c r="AA40" i="9"/>
  <c r="AB40" i="9"/>
  <c r="A41" i="9"/>
  <c r="B41" i="9"/>
  <c r="E41" i="9"/>
  <c r="F41" i="9"/>
  <c r="G41" i="9"/>
  <c r="H41" i="9"/>
  <c r="I41" i="9"/>
  <c r="Y41" i="9"/>
  <c r="K41" i="9"/>
  <c r="L41" i="9"/>
  <c r="M41" i="9"/>
  <c r="N41" i="9"/>
  <c r="O41" i="9"/>
  <c r="Z41" i="9"/>
  <c r="Q41" i="9"/>
  <c r="R41" i="9"/>
  <c r="S41" i="9"/>
  <c r="T41" i="9"/>
  <c r="U41" i="9"/>
  <c r="V41" i="9"/>
  <c r="AA41" i="9"/>
  <c r="AB41" i="9"/>
  <c r="A42" i="9"/>
  <c r="B42" i="9"/>
  <c r="E42" i="9"/>
  <c r="F42" i="9"/>
  <c r="G42" i="9"/>
  <c r="H42" i="9"/>
  <c r="I42" i="9"/>
  <c r="Y42" i="9"/>
  <c r="K42" i="9"/>
  <c r="L42" i="9"/>
  <c r="M42" i="9"/>
  <c r="N42" i="9"/>
  <c r="O42" i="9"/>
  <c r="Z42" i="9"/>
  <c r="Q42" i="9"/>
  <c r="R42" i="9"/>
  <c r="S42" i="9"/>
  <c r="T42" i="9"/>
  <c r="U42" i="9"/>
  <c r="V42" i="9"/>
  <c r="AA42" i="9"/>
  <c r="AB42" i="9"/>
  <c r="A43" i="9"/>
  <c r="B43" i="9"/>
  <c r="E43" i="9"/>
  <c r="F43" i="9"/>
  <c r="G43" i="9"/>
  <c r="H43" i="9"/>
  <c r="I43" i="9"/>
  <c r="Y43" i="9"/>
  <c r="K43" i="9"/>
  <c r="L43" i="9"/>
  <c r="M43" i="9"/>
  <c r="N43" i="9"/>
  <c r="O43" i="9"/>
  <c r="Z43" i="9"/>
  <c r="Q43" i="9"/>
  <c r="R43" i="9"/>
  <c r="S43" i="9"/>
  <c r="T43" i="9"/>
  <c r="U43" i="9"/>
  <c r="V43" i="9"/>
  <c r="AA43" i="9"/>
  <c r="AB43" i="9"/>
  <c r="A44" i="9"/>
  <c r="B44" i="9"/>
  <c r="E44" i="9"/>
  <c r="F44" i="9"/>
  <c r="G44" i="9"/>
  <c r="H44" i="9"/>
  <c r="I44" i="9"/>
  <c r="Y44" i="9"/>
  <c r="K44" i="9"/>
  <c r="L44" i="9"/>
  <c r="M44" i="9"/>
  <c r="N44" i="9"/>
  <c r="O44" i="9"/>
  <c r="Z44" i="9"/>
  <c r="Q44" i="9"/>
  <c r="R44" i="9"/>
  <c r="S44" i="9"/>
  <c r="T44" i="9"/>
  <c r="U44" i="9"/>
  <c r="V44" i="9"/>
  <c r="AA44" i="9"/>
  <c r="AB44" i="9"/>
  <c r="A45" i="9"/>
  <c r="B45" i="9"/>
  <c r="E45" i="9"/>
  <c r="Y45" i="9"/>
  <c r="K45" i="9"/>
  <c r="L45" i="9"/>
  <c r="M45" i="9"/>
  <c r="N45" i="9"/>
  <c r="O45" i="9"/>
  <c r="Z45" i="9"/>
  <c r="Q45" i="9"/>
  <c r="AA45" i="9"/>
  <c r="AB45" i="9"/>
  <c r="A46" i="9"/>
  <c r="B46" i="9"/>
  <c r="E46" i="9"/>
  <c r="F46" i="9"/>
  <c r="G46" i="9"/>
  <c r="H46" i="9"/>
  <c r="I46" i="9"/>
  <c r="Y46" i="9"/>
  <c r="K46" i="9"/>
  <c r="L46" i="9"/>
  <c r="M46" i="9"/>
  <c r="N46" i="9"/>
  <c r="O46" i="9"/>
  <c r="Z46" i="9"/>
  <c r="Q46" i="9"/>
  <c r="R46" i="9"/>
  <c r="S46" i="9"/>
  <c r="T46" i="9"/>
  <c r="U46" i="9"/>
  <c r="V46" i="9"/>
  <c r="AA46" i="9"/>
  <c r="AB46" i="9"/>
  <c r="A47" i="9"/>
  <c r="B47" i="9"/>
  <c r="E47" i="9"/>
  <c r="Y47" i="9"/>
  <c r="K47" i="9"/>
  <c r="L47" i="9"/>
  <c r="M47" i="9"/>
  <c r="N47" i="9"/>
  <c r="O47" i="9"/>
  <c r="Z47" i="9"/>
  <c r="Q47" i="9"/>
  <c r="R47" i="9"/>
  <c r="S47" i="9"/>
  <c r="T47" i="9"/>
  <c r="U47" i="9"/>
  <c r="V47" i="9"/>
  <c r="AA47" i="9"/>
  <c r="AB47" i="9"/>
  <c r="A48" i="9"/>
  <c r="B48" i="9"/>
  <c r="E48" i="9"/>
  <c r="F48" i="9"/>
  <c r="G48" i="9"/>
  <c r="H48" i="9"/>
  <c r="I48" i="9"/>
  <c r="Y48" i="9"/>
  <c r="K48" i="9"/>
  <c r="L48" i="9"/>
  <c r="M48" i="9"/>
  <c r="N48" i="9"/>
  <c r="O48" i="9"/>
  <c r="Z48" i="9"/>
  <c r="Q48" i="9"/>
  <c r="R48" i="9"/>
  <c r="S48" i="9"/>
  <c r="T48" i="9"/>
  <c r="U48" i="9"/>
  <c r="V48" i="9"/>
  <c r="AA48" i="9"/>
  <c r="AB48" i="9"/>
  <c r="A49" i="9"/>
  <c r="B49" i="9"/>
  <c r="E49" i="9"/>
  <c r="Y49" i="9"/>
  <c r="K49" i="9"/>
  <c r="L49" i="9"/>
  <c r="M49" i="9"/>
  <c r="N49" i="9"/>
  <c r="O49" i="9"/>
  <c r="Z49" i="9"/>
  <c r="Q49" i="9"/>
  <c r="AA49" i="9"/>
  <c r="AB49" i="9"/>
  <c r="A50" i="9"/>
  <c r="B50" i="9"/>
  <c r="E50" i="9"/>
  <c r="F50" i="9"/>
  <c r="G50" i="9"/>
  <c r="H50" i="9"/>
  <c r="I50" i="9"/>
  <c r="Y50" i="9"/>
  <c r="K50" i="9"/>
  <c r="L50" i="9"/>
  <c r="M50" i="9"/>
  <c r="N50" i="9"/>
  <c r="O50" i="9"/>
  <c r="Z50" i="9"/>
  <c r="Q50" i="9"/>
  <c r="AA50" i="9"/>
  <c r="AB50" i="9"/>
  <c r="A51" i="9"/>
  <c r="B51" i="9"/>
  <c r="E51" i="9"/>
  <c r="F51" i="9"/>
  <c r="G51" i="9"/>
  <c r="H51" i="9"/>
  <c r="I51" i="9"/>
  <c r="Y51" i="9"/>
  <c r="K51" i="9"/>
  <c r="L51" i="9"/>
  <c r="M51" i="9"/>
  <c r="N51" i="9"/>
  <c r="O51" i="9"/>
  <c r="Z51" i="9"/>
  <c r="Q51" i="9"/>
  <c r="R51" i="9"/>
  <c r="S51" i="9"/>
  <c r="T51" i="9"/>
  <c r="U51" i="9"/>
  <c r="V51" i="9"/>
  <c r="AA51" i="9"/>
  <c r="AB51" i="9"/>
  <c r="A52" i="9"/>
  <c r="B52" i="9"/>
  <c r="E52" i="9"/>
  <c r="F52" i="9"/>
  <c r="G52" i="9"/>
  <c r="H52" i="9"/>
  <c r="I52" i="9"/>
  <c r="Y52" i="9"/>
  <c r="K52" i="9"/>
  <c r="L52" i="9"/>
  <c r="M52" i="9"/>
  <c r="N52" i="9"/>
  <c r="O52" i="9"/>
  <c r="Z52" i="9"/>
  <c r="Q52" i="9"/>
  <c r="AA52" i="9"/>
  <c r="AB52" i="9"/>
  <c r="A53" i="9"/>
  <c r="B53" i="9"/>
  <c r="E53" i="9"/>
  <c r="Y53" i="9"/>
  <c r="K53" i="9"/>
  <c r="L53" i="9"/>
  <c r="M53" i="9"/>
  <c r="N53" i="9"/>
  <c r="O53" i="9"/>
  <c r="Z53" i="9"/>
  <c r="Q53" i="9"/>
  <c r="AA53" i="9"/>
  <c r="AB53" i="9"/>
  <c r="A54" i="9"/>
  <c r="B54" i="9"/>
  <c r="E54" i="9"/>
  <c r="Y54" i="9"/>
  <c r="K54" i="9"/>
  <c r="L54" i="9"/>
  <c r="M54" i="9"/>
  <c r="N54" i="9"/>
  <c r="O54" i="9"/>
  <c r="Z54" i="9"/>
  <c r="Q54" i="9"/>
  <c r="AA54" i="9"/>
  <c r="AB54" i="9"/>
  <c r="A55" i="9"/>
  <c r="B55" i="9"/>
  <c r="E55" i="9"/>
  <c r="Y55" i="9"/>
  <c r="K55" i="9"/>
  <c r="L55" i="9"/>
  <c r="M55" i="9"/>
  <c r="N55" i="9"/>
  <c r="O55" i="9"/>
  <c r="Z55" i="9"/>
  <c r="Q55" i="9"/>
  <c r="R55" i="9"/>
  <c r="S55" i="9"/>
  <c r="T55" i="9"/>
  <c r="U55" i="9"/>
  <c r="V55" i="9"/>
  <c r="AA55" i="9"/>
  <c r="AB55" i="9"/>
  <c r="A56" i="9"/>
  <c r="B56" i="9"/>
  <c r="E56" i="9"/>
  <c r="F56" i="9"/>
  <c r="G56" i="9"/>
  <c r="H56" i="9"/>
  <c r="I56" i="9"/>
  <c r="Y56" i="9"/>
  <c r="K56" i="9"/>
  <c r="L56" i="9"/>
  <c r="M56" i="9"/>
  <c r="N56" i="9"/>
  <c r="O56" i="9"/>
  <c r="Z56" i="9"/>
  <c r="Q56" i="9"/>
  <c r="AA56" i="9"/>
  <c r="AB56" i="9"/>
  <c r="A57" i="9"/>
  <c r="B57" i="9"/>
  <c r="E57" i="9"/>
  <c r="Y57" i="9"/>
  <c r="K57" i="9"/>
  <c r="L57" i="9"/>
  <c r="M57" i="9"/>
  <c r="N57" i="9"/>
  <c r="O57" i="9"/>
  <c r="Z57" i="9"/>
  <c r="Q57" i="9"/>
  <c r="R57" i="9"/>
  <c r="S57" i="9"/>
  <c r="T57" i="9"/>
  <c r="U57" i="9"/>
  <c r="V57" i="9"/>
  <c r="AA57" i="9"/>
  <c r="AB57" i="9"/>
  <c r="A58" i="9"/>
  <c r="B58" i="9"/>
  <c r="E58" i="9"/>
  <c r="Y58" i="9"/>
  <c r="K58" i="9"/>
  <c r="L58" i="9"/>
  <c r="M58" i="9"/>
  <c r="N58" i="9"/>
  <c r="O58" i="9"/>
  <c r="Z58" i="9"/>
  <c r="Q58" i="9"/>
  <c r="AA58" i="9"/>
  <c r="AB58" i="9"/>
  <c r="A59" i="9"/>
  <c r="B59" i="9"/>
  <c r="E59" i="9"/>
  <c r="F59" i="9"/>
  <c r="G59" i="9"/>
  <c r="H59" i="9"/>
  <c r="I59" i="9"/>
  <c r="Y59" i="9"/>
  <c r="K59" i="9"/>
  <c r="L59" i="9"/>
  <c r="M59" i="9"/>
  <c r="N59" i="9"/>
  <c r="O59" i="9"/>
  <c r="Z59" i="9"/>
  <c r="Q59" i="9"/>
  <c r="AA59" i="9"/>
  <c r="AB59" i="9"/>
  <c r="A60" i="9"/>
  <c r="B60" i="9"/>
  <c r="E60" i="9"/>
  <c r="Y60" i="9"/>
  <c r="K60" i="9"/>
  <c r="L60" i="9"/>
  <c r="M60" i="9"/>
  <c r="N60" i="9"/>
  <c r="O60" i="9"/>
  <c r="Z60" i="9"/>
  <c r="Q60" i="9"/>
  <c r="AA60" i="9"/>
  <c r="AB60" i="9"/>
  <c r="A61" i="9"/>
  <c r="B61" i="9"/>
  <c r="E61" i="9"/>
  <c r="F61" i="9"/>
  <c r="G61" i="9"/>
  <c r="H61" i="9"/>
  <c r="I61" i="9"/>
  <c r="Y61" i="9"/>
  <c r="K61" i="9"/>
  <c r="L61" i="9"/>
  <c r="M61" i="9"/>
  <c r="N61" i="9"/>
  <c r="O61" i="9"/>
  <c r="Z61" i="9"/>
  <c r="Q61" i="9"/>
  <c r="AA61" i="9"/>
  <c r="AB61" i="9"/>
  <c r="A62" i="9"/>
  <c r="B62" i="9"/>
  <c r="E62" i="9"/>
  <c r="F62" i="9"/>
  <c r="G62" i="9"/>
  <c r="H62" i="9"/>
  <c r="I62" i="9"/>
  <c r="Y62" i="9"/>
  <c r="K62" i="9"/>
  <c r="L62" i="9"/>
  <c r="M62" i="9"/>
  <c r="N62" i="9"/>
  <c r="O62" i="9"/>
  <c r="Z62" i="9"/>
  <c r="Q62" i="9"/>
  <c r="R62" i="9"/>
  <c r="S62" i="9"/>
  <c r="T62" i="9"/>
  <c r="U62" i="9"/>
  <c r="V62" i="9"/>
  <c r="AA62" i="9"/>
  <c r="AB62" i="9"/>
  <c r="A63" i="9"/>
  <c r="B63" i="9"/>
  <c r="E63" i="9"/>
  <c r="Y63" i="9"/>
  <c r="K63" i="9"/>
  <c r="L63" i="9"/>
  <c r="M63" i="9"/>
  <c r="N63" i="9"/>
  <c r="O63" i="9"/>
  <c r="Z63" i="9"/>
  <c r="Q63" i="9"/>
  <c r="AA63" i="9"/>
  <c r="AB63" i="9"/>
  <c r="A64" i="9"/>
  <c r="B64" i="9"/>
  <c r="E64" i="9"/>
  <c r="Y64" i="9"/>
  <c r="K64" i="9"/>
  <c r="L64" i="9"/>
  <c r="M64" i="9"/>
  <c r="N64" i="9"/>
  <c r="O64" i="9"/>
  <c r="Z64" i="9"/>
  <c r="Q64" i="9"/>
  <c r="AA64" i="9"/>
  <c r="AB64" i="9"/>
  <c r="A65" i="9"/>
  <c r="B65" i="9"/>
  <c r="E65" i="9"/>
  <c r="Y65" i="9"/>
  <c r="K65" i="9"/>
  <c r="L65" i="9"/>
  <c r="M65" i="9"/>
  <c r="N65" i="9"/>
  <c r="O65" i="9"/>
  <c r="Z65" i="9"/>
  <c r="Q65" i="9"/>
  <c r="AA65" i="9"/>
  <c r="AB65" i="9"/>
  <c r="A66" i="9"/>
  <c r="B66" i="9"/>
  <c r="E66" i="9"/>
  <c r="F66" i="9"/>
  <c r="G66" i="9"/>
  <c r="H66" i="9"/>
  <c r="I66" i="9"/>
  <c r="Y66" i="9"/>
  <c r="K66" i="9"/>
  <c r="L66" i="9"/>
  <c r="M66" i="9"/>
  <c r="N66" i="9"/>
  <c r="O66" i="9"/>
  <c r="Z66" i="9"/>
  <c r="Q66" i="9"/>
  <c r="R66" i="9"/>
  <c r="S66" i="9"/>
  <c r="T66" i="9"/>
  <c r="U66" i="9"/>
  <c r="V66" i="9"/>
  <c r="AA66" i="9"/>
  <c r="AB66" i="9"/>
  <c r="A67" i="9"/>
  <c r="B67" i="9"/>
  <c r="E67" i="9"/>
  <c r="Y67" i="9"/>
  <c r="K67" i="9"/>
  <c r="L67" i="9"/>
  <c r="M67" i="9"/>
  <c r="N67" i="9"/>
  <c r="O67" i="9"/>
  <c r="Z67" i="9"/>
  <c r="Q67" i="9"/>
  <c r="AA67" i="9"/>
  <c r="AB67" i="9"/>
  <c r="A68" i="9"/>
  <c r="B68" i="9"/>
  <c r="E68" i="9"/>
  <c r="Y68" i="9"/>
  <c r="K68" i="9"/>
  <c r="L68" i="9"/>
  <c r="M68" i="9"/>
  <c r="N68" i="9"/>
  <c r="O68" i="9"/>
  <c r="Z68" i="9"/>
  <c r="Q68" i="9"/>
  <c r="AA68" i="9"/>
  <c r="AB68" i="9"/>
  <c r="A69" i="9"/>
  <c r="B69" i="9"/>
  <c r="E69" i="9"/>
  <c r="F69" i="9"/>
  <c r="G69" i="9"/>
  <c r="H69" i="9"/>
  <c r="I69" i="9"/>
  <c r="Y69" i="9"/>
  <c r="K69" i="9"/>
  <c r="L69" i="9"/>
  <c r="M69" i="9"/>
  <c r="N69" i="9"/>
  <c r="O69" i="9"/>
  <c r="Z69" i="9"/>
  <c r="Q69" i="9"/>
  <c r="AA69" i="9"/>
  <c r="AB69" i="9"/>
  <c r="A70" i="9"/>
  <c r="B70" i="9"/>
  <c r="E70" i="9"/>
  <c r="Y70" i="9"/>
  <c r="K70" i="9"/>
  <c r="L70" i="9"/>
  <c r="M70" i="9"/>
  <c r="N70" i="9"/>
  <c r="O70" i="9"/>
  <c r="Z70" i="9"/>
  <c r="Q70" i="9"/>
  <c r="R70" i="9"/>
  <c r="S70" i="9"/>
  <c r="T70" i="9"/>
  <c r="U70" i="9"/>
  <c r="V70" i="9"/>
  <c r="AA70" i="9"/>
  <c r="AB70" i="9"/>
  <c r="A71" i="9"/>
  <c r="B71" i="9"/>
  <c r="E71" i="9"/>
  <c r="Y71" i="9"/>
  <c r="K71" i="9"/>
  <c r="L71" i="9"/>
  <c r="M71" i="9"/>
  <c r="N71" i="9"/>
  <c r="O71" i="9"/>
  <c r="Z71" i="9"/>
  <c r="Q71" i="9"/>
  <c r="AA71" i="9"/>
  <c r="AB71" i="9"/>
  <c r="A72" i="9"/>
  <c r="B72" i="9"/>
  <c r="E72" i="9"/>
  <c r="F72" i="9"/>
  <c r="G72" i="9"/>
  <c r="H72" i="9"/>
  <c r="I72" i="9"/>
  <c r="Y72" i="9"/>
  <c r="K72" i="9"/>
  <c r="L72" i="9"/>
  <c r="M72" i="9"/>
  <c r="N72" i="9"/>
  <c r="O72" i="9"/>
  <c r="Z72" i="9"/>
  <c r="Q72" i="9"/>
  <c r="AA72" i="9"/>
  <c r="AB72" i="9"/>
  <c r="A73" i="9"/>
  <c r="B73" i="9"/>
  <c r="E73" i="9"/>
  <c r="Y73" i="9"/>
  <c r="K73" i="9"/>
  <c r="L73" i="9"/>
  <c r="M73" i="9"/>
  <c r="N73" i="9"/>
  <c r="O73" i="9"/>
  <c r="Z73" i="9"/>
  <c r="Q73" i="9"/>
  <c r="R73" i="9"/>
  <c r="S73" i="9"/>
  <c r="T73" i="9"/>
  <c r="U73" i="9"/>
  <c r="V73" i="9"/>
  <c r="AA73" i="9"/>
  <c r="AB73" i="9"/>
  <c r="A74" i="9"/>
  <c r="B74" i="9"/>
  <c r="E74" i="9"/>
  <c r="F74" i="9"/>
  <c r="G74" i="9"/>
  <c r="H74" i="9"/>
  <c r="I74" i="9"/>
  <c r="Y74" i="9"/>
  <c r="K74" i="9"/>
  <c r="L74" i="9"/>
  <c r="M74" i="9"/>
  <c r="N74" i="9"/>
  <c r="O74" i="9"/>
  <c r="Z74" i="9"/>
  <c r="Q74" i="9"/>
  <c r="R74" i="9"/>
  <c r="S74" i="9"/>
  <c r="T74" i="9"/>
  <c r="U74" i="9"/>
  <c r="V74" i="9"/>
  <c r="AA74" i="9"/>
  <c r="AB74" i="9"/>
  <c r="A75" i="9"/>
  <c r="B75" i="9"/>
  <c r="E75" i="9"/>
  <c r="Y75" i="9"/>
  <c r="K75" i="9"/>
  <c r="L75" i="9"/>
  <c r="M75" i="9"/>
  <c r="N75" i="9"/>
  <c r="O75" i="9"/>
  <c r="Z75" i="9"/>
  <c r="Q75" i="9"/>
  <c r="AA75" i="9"/>
  <c r="AB75" i="9"/>
  <c r="A76" i="9"/>
  <c r="B76" i="9"/>
  <c r="E76" i="9"/>
  <c r="Y76" i="9"/>
  <c r="K76" i="9"/>
  <c r="L76" i="9"/>
  <c r="M76" i="9"/>
  <c r="N76" i="9"/>
  <c r="O76" i="9"/>
  <c r="Z76" i="9"/>
  <c r="Q76" i="9"/>
  <c r="AA76" i="9"/>
  <c r="AB76" i="9"/>
  <c r="A77" i="9"/>
  <c r="B77" i="9"/>
  <c r="E77" i="9"/>
  <c r="F77" i="9"/>
  <c r="G77" i="9"/>
  <c r="H77" i="9"/>
  <c r="I77" i="9"/>
  <c r="Y77" i="9"/>
  <c r="K77" i="9"/>
  <c r="L77" i="9"/>
  <c r="M77" i="9"/>
  <c r="N77" i="9"/>
  <c r="O77" i="9"/>
  <c r="Z77" i="9"/>
  <c r="Q77" i="9"/>
  <c r="AA77" i="9"/>
  <c r="AB77" i="9"/>
  <c r="A78" i="9"/>
  <c r="B78" i="9"/>
  <c r="E78" i="9"/>
  <c r="Y78" i="9"/>
  <c r="K78" i="9"/>
  <c r="L78" i="9"/>
  <c r="M78" i="9"/>
  <c r="N78" i="9"/>
  <c r="O78" i="9"/>
  <c r="Z78" i="9"/>
  <c r="Q78" i="9"/>
  <c r="AA78" i="9"/>
  <c r="AB78" i="9"/>
  <c r="A79" i="9"/>
  <c r="B79" i="9"/>
  <c r="E79" i="9"/>
  <c r="Y79" i="9"/>
  <c r="K79" i="9"/>
  <c r="L79" i="9"/>
  <c r="M79" i="9"/>
  <c r="N79" i="9"/>
  <c r="O79" i="9"/>
  <c r="Z79" i="9"/>
  <c r="Q79" i="9"/>
  <c r="AA79" i="9"/>
  <c r="AB79" i="9"/>
  <c r="A80" i="9"/>
  <c r="B80" i="9"/>
  <c r="E80" i="9"/>
  <c r="Y80" i="9"/>
  <c r="K80" i="9"/>
  <c r="L80" i="9"/>
  <c r="M80" i="9"/>
  <c r="N80" i="9"/>
  <c r="O80" i="9"/>
  <c r="Z80" i="9"/>
  <c r="Q80" i="9"/>
  <c r="AA80" i="9"/>
  <c r="AB80" i="9"/>
  <c r="A81" i="9"/>
  <c r="B81" i="9"/>
  <c r="E81" i="9"/>
  <c r="Y81" i="9"/>
  <c r="K81" i="9"/>
  <c r="L81" i="9"/>
  <c r="M81" i="9"/>
  <c r="N81" i="9"/>
  <c r="O81" i="9"/>
  <c r="Z81" i="9"/>
  <c r="Q81" i="9"/>
  <c r="R81" i="9"/>
  <c r="S81" i="9"/>
  <c r="T81" i="9"/>
  <c r="U81" i="9"/>
  <c r="V81" i="9"/>
  <c r="AA81" i="9"/>
  <c r="AB81" i="9"/>
  <c r="A82" i="9"/>
  <c r="B82" i="9"/>
  <c r="E82" i="9"/>
  <c r="Y82" i="9"/>
  <c r="K82" i="9"/>
  <c r="L82" i="9"/>
  <c r="M82" i="9"/>
  <c r="N82" i="9"/>
  <c r="O82" i="9"/>
  <c r="Z82" i="9"/>
  <c r="Q82" i="9"/>
  <c r="AA82" i="9"/>
  <c r="AB82" i="9"/>
  <c r="A83" i="9"/>
  <c r="B83" i="9"/>
  <c r="E83" i="9"/>
  <c r="Y83" i="9"/>
  <c r="K83" i="9"/>
  <c r="L83" i="9"/>
  <c r="M83" i="9"/>
  <c r="N83" i="9"/>
  <c r="O83" i="9"/>
  <c r="Z83" i="9"/>
  <c r="Q83" i="9"/>
  <c r="AA83" i="9"/>
  <c r="AB83" i="9"/>
  <c r="A84" i="9"/>
  <c r="B84" i="9"/>
  <c r="E84" i="9"/>
  <c r="Y84" i="9"/>
  <c r="K84" i="9"/>
  <c r="Z84" i="9"/>
  <c r="Q84" i="9"/>
  <c r="AA84" i="9"/>
  <c r="AB84" i="9"/>
  <c r="A85" i="9"/>
  <c r="B85" i="9"/>
  <c r="E85" i="9"/>
  <c r="Y85" i="9"/>
  <c r="K85" i="9"/>
  <c r="Z85" i="9"/>
  <c r="Q85" i="9"/>
  <c r="AA85" i="9"/>
  <c r="AB85" i="9"/>
  <c r="A86" i="9"/>
  <c r="B86" i="9"/>
  <c r="E86" i="9"/>
  <c r="Y86" i="9"/>
  <c r="K86" i="9"/>
  <c r="Z86" i="9"/>
  <c r="Q86" i="9"/>
  <c r="AA86" i="9"/>
  <c r="AB86" i="9"/>
  <c r="A87" i="9"/>
  <c r="B87" i="9"/>
  <c r="E87" i="9"/>
  <c r="Y87" i="9"/>
  <c r="K87" i="9"/>
  <c r="Z87" i="9"/>
  <c r="Q87" i="9"/>
  <c r="AA87" i="9"/>
  <c r="AB87" i="9"/>
  <c r="A88" i="9"/>
  <c r="B88" i="9"/>
  <c r="E88" i="9"/>
  <c r="Y88" i="9"/>
  <c r="K88" i="9"/>
  <c r="Z88" i="9"/>
  <c r="Q88" i="9"/>
  <c r="AA88" i="9"/>
  <c r="AB88" i="9"/>
  <c r="A89" i="9"/>
  <c r="B89" i="9"/>
  <c r="E89" i="9"/>
  <c r="Y89" i="9"/>
  <c r="K89" i="9"/>
  <c r="Z89" i="9"/>
  <c r="Q89" i="9"/>
  <c r="AA89" i="9"/>
  <c r="AB89" i="9"/>
  <c r="A90" i="9"/>
  <c r="B90" i="9"/>
  <c r="E90" i="9"/>
  <c r="Y90" i="9"/>
  <c r="K90" i="9"/>
  <c r="Z90" i="9"/>
  <c r="Q90" i="9"/>
  <c r="AA90" i="9"/>
  <c r="AB90" i="9"/>
  <c r="A91" i="9"/>
  <c r="B91" i="9"/>
  <c r="E91" i="9"/>
  <c r="Y91" i="9"/>
  <c r="K91" i="9"/>
  <c r="Z91" i="9"/>
  <c r="Q91" i="9"/>
  <c r="AA91" i="9"/>
  <c r="AB91" i="9"/>
  <c r="A92" i="9"/>
  <c r="B92" i="9"/>
  <c r="E92" i="9"/>
  <c r="Y92" i="9"/>
  <c r="K92" i="9"/>
  <c r="Z92" i="9"/>
  <c r="Q92" i="9"/>
  <c r="AA92" i="9"/>
  <c r="AB92" i="9"/>
  <c r="A93" i="9"/>
  <c r="B93" i="9"/>
  <c r="E93" i="9"/>
  <c r="Y93" i="9"/>
  <c r="K93" i="9"/>
  <c r="Z93" i="9"/>
  <c r="Q93" i="9"/>
  <c r="AA93" i="9"/>
  <c r="AB93" i="9"/>
  <c r="A94" i="9"/>
  <c r="B94" i="9"/>
  <c r="E94" i="9"/>
  <c r="Y94" i="9"/>
  <c r="K94" i="9"/>
  <c r="Z94" i="9"/>
  <c r="Q94" i="9"/>
  <c r="AA94" i="9"/>
  <c r="AB94" i="9"/>
  <c r="A95" i="9"/>
  <c r="B95" i="9"/>
  <c r="E95" i="9"/>
  <c r="Y95" i="9"/>
  <c r="K95" i="9"/>
  <c r="Z95" i="9"/>
  <c r="Q95" i="9"/>
  <c r="AA95" i="9"/>
  <c r="AB95" i="9"/>
  <c r="A96" i="9"/>
  <c r="B96" i="9"/>
  <c r="E96" i="9"/>
  <c r="Y96" i="9"/>
  <c r="K96" i="9"/>
  <c r="Z96" i="9"/>
  <c r="Q96" i="9"/>
  <c r="AA96" i="9"/>
  <c r="AB96" i="9"/>
  <c r="A97" i="9"/>
  <c r="B97" i="9"/>
  <c r="E97" i="9"/>
  <c r="Y97" i="9"/>
  <c r="K97" i="9"/>
  <c r="Z97" i="9"/>
  <c r="Q97" i="9"/>
  <c r="AA97" i="9"/>
  <c r="AB97" i="9"/>
  <c r="A98" i="9"/>
  <c r="B98" i="9"/>
  <c r="E98" i="9"/>
  <c r="Y98" i="9"/>
  <c r="K98" i="9"/>
  <c r="Z98" i="9"/>
  <c r="Q98" i="9"/>
  <c r="AA98" i="9"/>
  <c r="AB98" i="9"/>
  <c r="A99" i="9"/>
  <c r="B99" i="9"/>
  <c r="E99" i="9"/>
  <c r="Y99" i="9"/>
  <c r="K99" i="9"/>
  <c r="Z99" i="9"/>
  <c r="Q99" i="9"/>
  <c r="AA99" i="9"/>
  <c r="AB99" i="9"/>
  <c r="A100" i="9"/>
  <c r="B100" i="9"/>
  <c r="E100" i="9"/>
  <c r="Y100" i="9"/>
  <c r="K100" i="9"/>
  <c r="Z100" i="9"/>
  <c r="Q100" i="9"/>
  <c r="AA100" i="9"/>
  <c r="AB100" i="9"/>
  <c r="A101" i="9"/>
  <c r="B101" i="9"/>
  <c r="E101" i="9"/>
  <c r="Y101" i="9"/>
  <c r="K101" i="9"/>
  <c r="Z101" i="9"/>
  <c r="Q101" i="9"/>
  <c r="AA101" i="9"/>
  <c r="AB101" i="9"/>
  <c r="A102" i="9"/>
  <c r="B102" i="9"/>
  <c r="E102" i="9"/>
  <c r="Y102" i="9"/>
  <c r="K102" i="9"/>
  <c r="Z102" i="9"/>
  <c r="Q102" i="9"/>
  <c r="AA102" i="9"/>
  <c r="AB102" i="9"/>
  <c r="AC4" i="9"/>
  <c r="AC5" i="9"/>
  <c r="AC6" i="9"/>
  <c r="AD4" i="9"/>
  <c r="AD5" i="9"/>
  <c r="AD6" i="9"/>
  <c r="AC7" i="9"/>
  <c r="AD7" i="9"/>
  <c r="AC8" i="9"/>
  <c r="AD8" i="9"/>
  <c r="AC9" i="9"/>
  <c r="AD9" i="9"/>
  <c r="AC10" i="9"/>
  <c r="AD10" i="9"/>
  <c r="AC11" i="9"/>
  <c r="AD11" i="9"/>
  <c r="AC12" i="9"/>
  <c r="AD12" i="9"/>
  <c r="AC13" i="9"/>
  <c r="AD13" i="9"/>
  <c r="AC14" i="9"/>
  <c r="AD14" i="9"/>
  <c r="AC15" i="9"/>
  <c r="AD15" i="9"/>
  <c r="AC16" i="9"/>
  <c r="AD16" i="9"/>
  <c r="AC17" i="9"/>
  <c r="AD17" i="9"/>
  <c r="AC18" i="9"/>
  <c r="AD18" i="9"/>
  <c r="AC19" i="9"/>
  <c r="AD19" i="9"/>
  <c r="AC20" i="9"/>
  <c r="AD20" i="9"/>
  <c r="AC21" i="9"/>
  <c r="AD21" i="9"/>
  <c r="AC22" i="9"/>
  <c r="AD22" i="9"/>
  <c r="AC23" i="9"/>
  <c r="AD23" i="9"/>
  <c r="AC24" i="9"/>
  <c r="AD24" i="9"/>
  <c r="AC25" i="9"/>
  <c r="AD25" i="9"/>
  <c r="AC26" i="9"/>
  <c r="AD26" i="9"/>
  <c r="AC27" i="9"/>
  <c r="AD27" i="9"/>
  <c r="AC28" i="9"/>
  <c r="AD28" i="9"/>
  <c r="AC29" i="9"/>
  <c r="AD29" i="9"/>
  <c r="AC30" i="9"/>
  <c r="AD30" i="9"/>
  <c r="AC31" i="9"/>
  <c r="AD31" i="9"/>
  <c r="AC32" i="9"/>
  <c r="AD32" i="9"/>
  <c r="AC33" i="9"/>
  <c r="AD33" i="9"/>
  <c r="AC34" i="9"/>
  <c r="AD34" i="9"/>
  <c r="AC35" i="9"/>
  <c r="AD35" i="9"/>
  <c r="AC36" i="9"/>
  <c r="AD36" i="9"/>
  <c r="AC37" i="9"/>
  <c r="AD37" i="9"/>
  <c r="AC38" i="9"/>
  <c r="AD38" i="9"/>
  <c r="AC39" i="9"/>
  <c r="AD39" i="9"/>
  <c r="AC40" i="9"/>
  <c r="AD40" i="9"/>
  <c r="AC41" i="9"/>
  <c r="AD41" i="9"/>
  <c r="AC42" i="9"/>
  <c r="AD42" i="9"/>
  <c r="AC43" i="9"/>
  <c r="AD43" i="9"/>
  <c r="AC44" i="9"/>
  <c r="AD44" i="9"/>
  <c r="AC45" i="9"/>
  <c r="AD45" i="9"/>
  <c r="AC46" i="9"/>
  <c r="AD46" i="9"/>
  <c r="AC47" i="9"/>
  <c r="AD47" i="9"/>
  <c r="AC48" i="9"/>
  <c r="AD48" i="9"/>
  <c r="AC49" i="9"/>
  <c r="AD49" i="9"/>
  <c r="AC50" i="9"/>
  <c r="AD50" i="9"/>
  <c r="AC51" i="9"/>
  <c r="AD51" i="9"/>
  <c r="AC52" i="9"/>
  <c r="AD52" i="9"/>
  <c r="AC53" i="9"/>
  <c r="AD53" i="9"/>
  <c r="AC54" i="9"/>
  <c r="AD54" i="9"/>
  <c r="AC55" i="9"/>
  <c r="AD55" i="9"/>
  <c r="AC56" i="9"/>
  <c r="AD56" i="9"/>
  <c r="AC57" i="9"/>
  <c r="AD57" i="9"/>
  <c r="AC58" i="9"/>
  <c r="AD58" i="9"/>
  <c r="AC59" i="9"/>
  <c r="AD59" i="9"/>
  <c r="AC60" i="9"/>
  <c r="AD60" i="9"/>
  <c r="AC61" i="9"/>
  <c r="AD61" i="9"/>
  <c r="AC62" i="9"/>
  <c r="AD62" i="9"/>
  <c r="AC63" i="9"/>
  <c r="AD63" i="9"/>
  <c r="AC64" i="9"/>
  <c r="AD64" i="9"/>
  <c r="AC65" i="9"/>
  <c r="AD65" i="9"/>
  <c r="AC66" i="9"/>
  <c r="AD66" i="9"/>
  <c r="AC67" i="9"/>
  <c r="AD67" i="9"/>
  <c r="AC68" i="9"/>
  <c r="AD68" i="9"/>
  <c r="AC69" i="9"/>
  <c r="AD69" i="9"/>
  <c r="AC70" i="9"/>
  <c r="AD70" i="9"/>
  <c r="AC71" i="9"/>
  <c r="AD71" i="9"/>
  <c r="AC72" i="9"/>
  <c r="AD72" i="9"/>
  <c r="AC73" i="9"/>
  <c r="AD73" i="9"/>
  <c r="AC74" i="9"/>
  <c r="AD74" i="9"/>
  <c r="AC75" i="9"/>
  <c r="AD75" i="9"/>
  <c r="AC76" i="9"/>
  <c r="AD76" i="9"/>
  <c r="AC77" i="9"/>
  <c r="AD77" i="9"/>
  <c r="AC78" i="9"/>
  <c r="AD78" i="9"/>
  <c r="AC79" i="9"/>
  <c r="AD79" i="9"/>
  <c r="AC80" i="9"/>
  <c r="AD80" i="9"/>
  <c r="AC81" i="9"/>
  <c r="AD81" i="9"/>
  <c r="AC82" i="9"/>
  <c r="AD82" i="9"/>
  <c r="AC83" i="9"/>
  <c r="AD83" i="9"/>
  <c r="AC84" i="9"/>
  <c r="AD84" i="9"/>
  <c r="AC85" i="9"/>
  <c r="AD85" i="9"/>
  <c r="AC86" i="9"/>
  <c r="AD86" i="9"/>
  <c r="AC87" i="9"/>
  <c r="AD87" i="9"/>
  <c r="AC88" i="9"/>
  <c r="AD88" i="9"/>
  <c r="AC89" i="9"/>
  <c r="AD89" i="9"/>
  <c r="AC90" i="9"/>
  <c r="AD90" i="9"/>
  <c r="AC91" i="9"/>
  <c r="AD91" i="9"/>
  <c r="AC92" i="9"/>
  <c r="AD92" i="9"/>
  <c r="AC93" i="9"/>
  <c r="AD93" i="9"/>
  <c r="AC94" i="9"/>
  <c r="AD94" i="9"/>
  <c r="AC95" i="9"/>
  <c r="AD95" i="9"/>
  <c r="AC96" i="9"/>
  <c r="AD96" i="9"/>
  <c r="AC97" i="9"/>
  <c r="AD97" i="9"/>
  <c r="AC98" i="9"/>
  <c r="AD98" i="9"/>
  <c r="AC99" i="9"/>
  <c r="AD99" i="9"/>
  <c r="AC100" i="9"/>
  <c r="AD100" i="9"/>
  <c r="AC101" i="9"/>
  <c r="AD101" i="9"/>
  <c r="AC102" i="9"/>
  <c r="AD102" i="9"/>
  <c r="B45" i="18"/>
  <c r="I44" i="18"/>
  <c r="G44" i="18"/>
  <c r="H44" i="18"/>
  <c r="F44" i="18"/>
  <c r="D44" i="18"/>
  <c r="E44" i="18"/>
  <c r="C44" i="18"/>
  <c r="A44" i="18"/>
  <c r="B44" i="18"/>
  <c r="I43" i="18"/>
  <c r="G43" i="18"/>
  <c r="H43" i="18"/>
  <c r="F43" i="18"/>
  <c r="D43" i="18"/>
  <c r="E43" i="18"/>
  <c r="C43" i="18"/>
  <c r="A43" i="18"/>
  <c r="B43" i="18"/>
  <c r="I42" i="18"/>
  <c r="G42" i="18"/>
  <c r="H42" i="18"/>
  <c r="F42" i="18"/>
  <c r="D42" i="18"/>
  <c r="E42" i="18"/>
  <c r="C42" i="18"/>
  <c r="A42" i="18"/>
  <c r="B42" i="18"/>
  <c r="I41" i="18"/>
  <c r="G41" i="18"/>
  <c r="H41" i="18"/>
  <c r="F41" i="18"/>
  <c r="D41" i="18"/>
  <c r="E41" i="18"/>
  <c r="C41" i="18"/>
  <c r="A41" i="18"/>
  <c r="B41" i="18"/>
  <c r="I40" i="18"/>
  <c r="G40" i="18"/>
  <c r="H40" i="18"/>
  <c r="F40" i="18"/>
  <c r="D40" i="18"/>
  <c r="E40" i="18"/>
  <c r="C40" i="18"/>
  <c r="A40" i="18"/>
  <c r="B40" i="18"/>
  <c r="I39" i="18"/>
  <c r="G39" i="18"/>
  <c r="H39" i="18"/>
  <c r="F39" i="18"/>
  <c r="D39" i="18"/>
  <c r="E39" i="18"/>
  <c r="C39" i="18"/>
  <c r="A39" i="18"/>
  <c r="B39" i="18"/>
  <c r="I38" i="18"/>
  <c r="G38" i="18"/>
  <c r="H38" i="18"/>
  <c r="F38" i="18"/>
  <c r="D38" i="18"/>
  <c r="E38" i="18"/>
  <c r="C38" i="18"/>
  <c r="A38" i="18"/>
  <c r="B38" i="18"/>
  <c r="I37" i="18"/>
  <c r="G37" i="18"/>
  <c r="H37" i="18"/>
  <c r="F37" i="18"/>
  <c r="D37" i="18"/>
  <c r="E37" i="18"/>
  <c r="C37" i="18"/>
  <c r="A37" i="18"/>
  <c r="B37" i="18"/>
  <c r="I36" i="18"/>
  <c r="G36" i="18"/>
  <c r="H36" i="18"/>
  <c r="F36" i="18"/>
  <c r="D36" i="18"/>
  <c r="E36" i="18"/>
  <c r="C36" i="18"/>
  <c r="A36" i="18"/>
  <c r="B36" i="18"/>
  <c r="I35" i="18"/>
  <c r="G35" i="18"/>
  <c r="H35" i="18"/>
  <c r="F35" i="18"/>
  <c r="D35" i="18"/>
  <c r="E35" i="18"/>
  <c r="C35" i="18"/>
  <c r="A35" i="18"/>
  <c r="B35" i="18"/>
  <c r="R34" i="18"/>
  <c r="P34" i="18"/>
  <c r="A4" i="14"/>
  <c r="B4" i="14"/>
  <c r="D4" i="14"/>
  <c r="E4" i="14"/>
  <c r="F4" i="14"/>
  <c r="G4" i="14"/>
  <c r="H4" i="14"/>
  <c r="I4" i="14"/>
  <c r="Y4" i="14"/>
  <c r="A5" i="14"/>
  <c r="B5" i="14"/>
  <c r="I5" i="14"/>
  <c r="Y5" i="14"/>
  <c r="A6" i="14"/>
  <c r="B6" i="14"/>
  <c r="I6" i="14"/>
  <c r="Y6" i="14"/>
  <c r="A7" i="14"/>
  <c r="B7" i="14"/>
  <c r="I7" i="14"/>
  <c r="Y7" i="14"/>
  <c r="A8" i="14"/>
  <c r="B8" i="14"/>
  <c r="I8" i="14"/>
  <c r="Y8" i="14"/>
  <c r="A9" i="14"/>
  <c r="B9" i="14"/>
  <c r="I9" i="14"/>
  <c r="Y9" i="14"/>
  <c r="A10" i="14"/>
  <c r="B10" i="14"/>
  <c r="I10" i="14"/>
  <c r="Y10" i="14"/>
  <c r="A11" i="14"/>
  <c r="B11" i="14"/>
  <c r="I11" i="14"/>
  <c r="Y11" i="14"/>
  <c r="A12" i="14"/>
  <c r="B12" i="14"/>
  <c r="I12" i="14"/>
  <c r="Y12" i="14"/>
  <c r="A13" i="14"/>
  <c r="B13" i="14"/>
  <c r="I13" i="14"/>
  <c r="Y13" i="14"/>
  <c r="A14" i="14"/>
  <c r="B14" i="14"/>
  <c r="I14" i="14"/>
  <c r="Y14" i="14"/>
  <c r="A15" i="14"/>
  <c r="B15" i="14"/>
  <c r="I15" i="14"/>
  <c r="Y15" i="14"/>
  <c r="A16" i="14"/>
  <c r="B16" i="14"/>
  <c r="I16" i="14"/>
  <c r="Y16" i="14"/>
  <c r="A17" i="14"/>
  <c r="B17" i="14"/>
  <c r="I17" i="14"/>
  <c r="Y17" i="14"/>
  <c r="A18" i="14"/>
  <c r="B18" i="14"/>
  <c r="I18" i="14"/>
  <c r="Y18" i="14"/>
  <c r="A19" i="14"/>
  <c r="B19" i="14"/>
  <c r="I19" i="14"/>
  <c r="Y19" i="14"/>
  <c r="A20" i="14"/>
  <c r="B20" i="14"/>
  <c r="I20" i="14"/>
  <c r="Y20" i="14"/>
  <c r="A21" i="14"/>
  <c r="B21" i="14"/>
  <c r="I21" i="14"/>
  <c r="Y21" i="14"/>
  <c r="A22" i="14"/>
  <c r="B22" i="14"/>
  <c r="I22" i="14"/>
  <c r="Y22" i="14"/>
  <c r="A23" i="14"/>
  <c r="B23" i="14"/>
  <c r="I23" i="14"/>
  <c r="Y23" i="14"/>
  <c r="A24" i="14"/>
  <c r="B24" i="14"/>
  <c r="I24" i="14"/>
  <c r="Y24" i="14"/>
  <c r="A25" i="14"/>
  <c r="B25" i="14"/>
  <c r="I25" i="14"/>
  <c r="Y25" i="14"/>
  <c r="A26" i="14"/>
  <c r="B26" i="14"/>
  <c r="I26" i="14"/>
  <c r="Y26" i="14"/>
  <c r="A27" i="14"/>
  <c r="B27" i="14"/>
  <c r="I27" i="14"/>
  <c r="Y27" i="14"/>
  <c r="A28" i="14"/>
  <c r="B28" i="14"/>
  <c r="I28" i="14"/>
  <c r="Y28" i="14"/>
  <c r="A29" i="14"/>
  <c r="B29" i="14"/>
  <c r="I29" i="14"/>
  <c r="Y29" i="14"/>
  <c r="A30" i="14"/>
  <c r="B30" i="14"/>
  <c r="I30" i="14"/>
  <c r="Y30" i="14"/>
  <c r="A31" i="14"/>
  <c r="B31" i="14"/>
  <c r="I31" i="14"/>
  <c r="Y31" i="14"/>
  <c r="A32" i="14"/>
  <c r="B32" i="14"/>
  <c r="I32" i="14"/>
  <c r="Y32" i="14"/>
  <c r="A33" i="14"/>
  <c r="B33" i="14"/>
  <c r="I33" i="14"/>
  <c r="Y33" i="14"/>
  <c r="A34" i="14"/>
  <c r="B34" i="14"/>
  <c r="I34" i="14"/>
  <c r="Y34" i="14"/>
  <c r="A35" i="14"/>
  <c r="B35" i="14"/>
  <c r="I35" i="14"/>
  <c r="Y35" i="14"/>
  <c r="Y38" i="14"/>
  <c r="Y37" i="14"/>
  <c r="Z4" i="14"/>
  <c r="AA4" i="14"/>
  <c r="AB4" i="14"/>
  <c r="AC4" i="14"/>
  <c r="AD4" i="14"/>
  <c r="AE4" i="14"/>
  <c r="AF4" i="14"/>
  <c r="AG4" i="14"/>
  <c r="AH4" i="14"/>
  <c r="AI4" i="14"/>
  <c r="R4" i="14"/>
  <c r="S4" i="14"/>
  <c r="BC3" i="17"/>
  <c r="J4" i="14"/>
  <c r="K4" i="14"/>
  <c r="L4" i="14"/>
  <c r="M4" i="14"/>
  <c r="N4" i="14"/>
  <c r="O4" i="14"/>
  <c r="AM4" i="14"/>
  <c r="BC4" i="17"/>
  <c r="BC5" i="17"/>
  <c r="O5" i="14"/>
  <c r="AM5" i="14"/>
  <c r="BC6" i="17"/>
  <c r="BC7" i="17"/>
  <c r="O6" i="14"/>
  <c r="AM6" i="14"/>
  <c r="BC8" i="17"/>
  <c r="BC9" i="17"/>
  <c r="O7" i="14"/>
  <c r="AM7" i="14"/>
  <c r="O8" i="14"/>
  <c r="AM8" i="14"/>
  <c r="BC10" i="17"/>
  <c r="BC11" i="17"/>
  <c r="BC12" i="17"/>
  <c r="BC13" i="17"/>
  <c r="BC14" i="17"/>
  <c r="BC15" i="17"/>
  <c r="BC16" i="17"/>
  <c r="BC17" i="17"/>
  <c r="BC18" i="17"/>
  <c r="BC19" i="17"/>
  <c r="BC20" i="17"/>
  <c r="BC21" i="17"/>
  <c r="BC22" i="17"/>
  <c r="BC23" i="17"/>
  <c r="BC24" i="17"/>
  <c r="BC25" i="17"/>
  <c r="BC26" i="17"/>
  <c r="BC27" i="17"/>
  <c r="BC28" i="17"/>
  <c r="BC29" i="17"/>
  <c r="BC30" i="17"/>
  <c r="BC31" i="17"/>
  <c r="BC32" i="17"/>
  <c r="BC33" i="17"/>
  <c r="BC34" i="17"/>
  <c r="O9" i="14"/>
  <c r="AM9" i="14"/>
  <c r="O10" i="14"/>
  <c r="AM10" i="14"/>
  <c r="O11" i="14"/>
  <c r="AM11" i="14"/>
  <c r="O12" i="14"/>
  <c r="AM12" i="14"/>
  <c r="O13" i="14"/>
  <c r="AM13" i="14"/>
  <c r="O14" i="14"/>
  <c r="AM14" i="14"/>
  <c r="O15" i="14"/>
  <c r="AM15" i="14"/>
  <c r="O16" i="14"/>
  <c r="AM16" i="14"/>
  <c r="O17" i="14"/>
  <c r="AM17" i="14"/>
  <c r="O18" i="14"/>
  <c r="AM18" i="14"/>
  <c r="O19" i="14"/>
  <c r="AM19" i="14"/>
  <c r="O20" i="14"/>
  <c r="AM20" i="14"/>
  <c r="O21" i="14"/>
  <c r="AM21" i="14"/>
  <c r="O22" i="14"/>
  <c r="AM22" i="14"/>
  <c r="O23" i="14"/>
  <c r="AM23" i="14"/>
  <c r="O24" i="14"/>
  <c r="AM24" i="14"/>
  <c r="O25" i="14"/>
  <c r="AM25" i="14"/>
  <c r="O26" i="14"/>
  <c r="AM26" i="14"/>
  <c r="O27" i="14"/>
  <c r="AM27" i="14"/>
  <c r="O28" i="14"/>
  <c r="AM28" i="14"/>
  <c r="O29" i="14"/>
  <c r="AM29" i="14"/>
  <c r="O30" i="14"/>
  <c r="AM30" i="14"/>
  <c r="O31" i="14"/>
  <c r="AM31" i="14"/>
  <c r="O32" i="14"/>
  <c r="AM32" i="14"/>
  <c r="O33" i="14"/>
  <c r="AM33" i="14"/>
  <c r="O34" i="14"/>
  <c r="AM34" i="14"/>
  <c r="O35" i="14"/>
  <c r="AM35" i="14"/>
  <c r="AM38" i="14"/>
  <c r="AM37" i="14"/>
  <c r="AN4" i="14"/>
  <c r="AO4" i="14"/>
  <c r="AP4" i="14"/>
  <c r="AQ4" i="14"/>
  <c r="AR4" i="14"/>
  <c r="AS4" i="14"/>
  <c r="AT4" i="14"/>
  <c r="AU4" i="14"/>
  <c r="AV4" i="14"/>
  <c r="AW4" i="14"/>
  <c r="T4" i="14"/>
  <c r="U4" i="14"/>
  <c r="D5" i="14"/>
  <c r="E5" i="14"/>
  <c r="F5" i="14"/>
  <c r="G5" i="14"/>
  <c r="H5" i="14"/>
  <c r="Z5" i="14"/>
  <c r="AA5" i="14"/>
  <c r="AB5" i="14"/>
  <c r="AC5" i="14"/>
  <c r="AD5" i="14"/>
  <c r="AE5" i="14"/>
  <c r="AF5" i="14"/>
  <c r="AG5" i="14"/>
  <c r="AH5" i="14"/>
  <c r="AI5" i="14"/>
  <c r="R5" i="14"/>
  <c r="S5" i="14"/>
  <c r="J5" i="14"/>
  <c r="K5" i="14"/>
  <c r="L5" i="14"/>
  <c r="M5" i="14"/>
  <c r="N5" i="14"/>
  <c r="AN5" i="14"/>
  <c r="AO5" i="14"/>
  <c r="AP5" i="14"/>
  <c r="AQ5" i="14"/>
  <c r="AR5" i="14"/>
  <c r="AS5" i="14"/>
  <c r="AT5" i="14"/>
  <c r="AU5" i="14"/>
  <c r="AV5" i="14"/>
  <c r="AW5" i="14"/>
  <c r="T5" i="14"/>
  <c r="U5" i="14"/>
  <c r="D6" i="14"/>
  <c r="E6" i="14"/>
  <c r="F6" i="14"/>
  <c r="G6" i="14"/>
  <c r="H6" i="14"/>
  <c r="Z6" i="14"/>
  <c r="AA6" i="14"/>
  <c r="AB6" i="14"/>
  <c r="AC6" i="14"/>
  <c r="AD6" i="14"/>
  <c r="AE6" i="14"/>
  <c r="AF6" i="14"/>
  <c r="AG6" i="14"/>
  <c r="AH6" i="14"/>
  <c r="AI6" i="14"/>
  <c r="R6" i="14"/>
  <c r="S6" i="14"/>
  <c r="J6" i="14"/>
  <c r="K6" i="14"/>
  <c r="L6" i="14"/>
  <c r="M6" i="14"/>
  <c r="N6" i="14"/>
  <c r="AN6" i="14"/>
  <c r="AO6" i="14"/>
  <c r="AP6" i="14"/>
  <c r="AQ6" i="14"/>
  <c r="AR6" i="14"/>
  <c r="AS6" i="14"/>
  <c r="AT6" i="14"/>
  <c r="AU6" i="14"/>
  <c r="AV6" i="14"/>
  <c r="AW6" i="14"/>
  <c r="T6" i="14"/>
  <c r="U6" i="14"/>
  <c r="D7" i="14"/>
  <c r="E7" i="14"/>
  <c r="F7" i="14"/>
  <c r="G7" i="14"/>
  <c r="H7" i="14"/>
  <c r="Z7" i="14"/>
  <c r="AA7" i="14"/>
  <c r="AB7" i="14"/>
  <c r="AC7" i="14"/>
  <c r="AD7" i="14"/>
  <c r="AE7" i="14"/>
  <c r="AF7" i="14"/>
  <c r="AG7" i="14"/>
  <c r="AH7" i="14"/>
  <c r="AI7" i="14"/>
  <c r="R7" i="14"/>
  <c r="S7" i="14"/>
  <c r="J7" i="14"/>
  <c r="K7" i="14"/>
  <c r="L7" i="14"/>
  <c r="M7" i="14"/>
  <c r="N7" i="14"/>
  <c r="AN7" i="14"/>
  <c r="AO7" i="14"/>
  <c r="AP7" i="14"/>
  <c r="AQ7" i="14"/>
  <c r="AR7" i="14"/>
  <c r="AS7" i="14"/>
  <c r="AT7" i="14"/>
  <c r="AU7" i="14"/>
  <c r="AV7" i="14"/>
  <c r="AW7" i="14"/>
  <c r="T7" i="14"/>
  <c r="U7" i="14"/>
  <c r="D8" i="14"/>
  <c r="E8" i="14"/>
  <c r="F8" i="14"/>
  <c r="G8" i="14"/>
  <c r="H8" i="14"/>
  <c r="Z8" i="14"/>
  <c r="AA8" i="14"/>
  <c r="AB8" i="14"/>
  <c r="AC8" i="14"/>
  <c r="AD8" i="14"/>
  <c r="AE8" i="14"/>
  <c r="AF8" i="14"/>
  <c r="AG8" i="14"/>
  <c r="AH8" i="14"/>
  <c r="AI8" i="14"/>
  <c r="R8" i="14"/>
  <c r="S8" i="14"/>
  <c r="J8" i="14"/>
  <c r="K8" i="14"/>
  <c r="L8" i="14"/>
  <c r="M8" i="14"/>
  <c r="N8" i="14"/>
  <c r="AN8" i="14"/>
  <c r="AO8" i="14"/>
  <c r="AP8" i="14"/>
  <c r="AQ8" i="14"/>
  <c r="AR8" i="14"/>
  <c r="AS8" i="14"/>
  <c r="AT8" i="14"/>
  <c r="AU8" i="14"/>
  <c r="AV8" i="14"/>
  <c r="AW8" i="14"/>
  <c r="T8" i="14"/>
  <c r="U8" i="14"/>
  <c r="D9" i="14"/>
  <c r="E9" i="14"/>
  <c r="F9" i="14"/>
  <c r="G9" i="14"/>
  <c r="H9" i="14"/>
  <c r="Z9" i="14"/>
  <c r="AA9" i="14"/>
  <c r="AB9" i="14"/>
  <c r="AC9" i="14"/>
  <c r="AD9" i="14"/>
  <c r="AE9" i="14"/>
  <c r="AF9" i="14"/>
  <c r="AG9" i="14"/>
  <c r="AH9" i="14"/>
  <c r="AI9" i="14"/>
  <c r="R9" i="14"/>
  <c r="S9" i="14"/>
  <c r="J9" i="14"/>
  <c r="K9" i="14"/>
  <c r="L9" i="14"/>
  <c r="M9" i="14"/>
  <c r="N9" i="14"/>
  <c r="AN9" i="14"/>
  <c r="AO9" i="14"/>
  <c r="AP9" i="14"/>
  <c r="AQ9" i="14"/>
  <c r="AR9" i="14"/>
  <c r="AS9" i="14"/>
  <c r="AT9" i="14"/>
  <c r="AU9" i="14"/>
  <c r="AV9" i="14"/>
  <c r="AW9" i="14"/>
  <c r="T9" i="14"/>
  <c r="U9" i="14"/>
  <c r="D10" i="14"/>
  <c r="E10" i="14"/>
  <c r="F10" i="14"/>
  <c r="G10" i="14"/>
  <c r="H10" i="14"/>
  <c r="Z10" i="14"/>
  <c r="AA10" i="14"/>
  <c r="AB10" i="14"/>
  <c r="AC10" i="14"/>
  <c r="AD10" i="14"/>
  <c r="AE10" i="14"/>
  <c r="AF10" i="14"/>
  <c r="AG10" i="14"/>
  <c r="AH10" i="14"/>
  <c r="AI10" i="14"/>
  <c r="R10" i="14"/>
  <c r="S10" i="14"/>
  <c r="J10" i="14"/>
  <c r="K10" i="14"/>
  <c r="L10" i="14"/>
  <c r="M10" i="14"/>
  <c r="N10" i="14"/>
  <c r="AN10" i="14"/>
  <c r="AO10" i="14"/>
  <c r="AP10" i="14"/>
  <c r="AQ10" i="14"/>
  <c r="AR10" i="14"/>
  <c r="AS10" i="14"/>
  <c r="AT10" i="14"/>
  <c r="AU10" i="14"/>
  <c r="AV10" i="14"/>
  <c r="AW10" i="14"/>
  <c r="T10" i="14"/>
  <c r="U10" i="14"/>
  <c r="D11" i="14"/>
  <c r="E11" i="14"/>
  <c r="F11" i="14"/>
  <c r="G11" i="14"/>
  <c r="H11" i="14"/>
  <c r="Z11" i="14"/>
  <c r="AA11" i="14"/>
  <c r="AB11" i="14"/>
  <c r="AC11" i="14"/>
  <c r="AD11" i="14"/>
  <c r="AE11" i="14"/>
  <c r="AF11" i="14"/>
  <c r="AG11" i="14"/>
  <c r="AH11" i="14"/>
  <c r="AI11" i="14"/>
  <c r="R11" i="14"/>
  <c r="S11" i="14"/>
  <c r="J11" i="14"/>
  <c r="K11" i="14"/>
  <c r="L11" i="14"/>
  <c r="M11" i="14"/>
  <c r="N11" i="14"/>
  <c r="AN11" i="14"/>
  <c r="AO11" i="14"/>
  <c r="AP11" i="14"/>
  <c r="AQ11" i="14"/>
  <c r="AR11" i="14"/>
  <c r="AS11" i="14"/>
  <c r="AT11" i="14"/>
  <c r="AU11" i="14"/>
  <c r="AV11" i="14"/>
  <c r="AW11" i="14"/>
  <c r="T11" i="14"/>
  <c r="U11" i="14"/>
  <c r="D12" i="14"/>
  <c r="E12" i="14"/>
  <c r="F12" i="14"/>
  <c r="G12" i="14"/>
  <c r="H12" i="14"/>
  <c r="Z12" i="14"/>
  <c r="AA12" i="14"/>
  <c r="AB12" i="14"/>
  <c r="AC12" i="14"/>
  <c r="AD12" i="14"/>
  <c r="AE12" i="14"/>
  <c r="AF12" i="14"/>
  <c r="AG12" i="14"/>
  <c r="AH12" i="14"/>
  <c r="AI12" i="14"/>
  <c r="R12" i="14"/>
  <c r="S12" i="14"/>
  <c r="J12" i="14"/>
  <c r="K12" i="14"/>
  <c r="L12" i="14"/>
  <c r="M12" i="14"/>
  <c r="N12" i="14"/>
  <c r="AN12" i="14"/>
  <c r="AO12" i="14"/>
  <c r="AP12" i="14"/>
  <c r="AQ12" i="14"/>
  <c r="AR12" i="14"/>
  <c r="AS12" i="14"/>
  <c r="AT12" i="14"/>
  <c r="AU12" i="14"/>
  <c r="AV12" i="14"/>
  <c r="AW12" i="14"/>
  <c r="T12" i="14"/>
  <c r="U12" i="14"/>
  <c r="D13" i="14"/>
  <c r="E13" i="14"/>
  <c r="F13" i="14"/>
  <c r="G13" i="14"/>
  <c r="H13" i="14"/>
  <c r="Z13" i="14"/>
  <c r="AA13" i="14"/>
  <c r="AB13" i="14"/>
  <c r="AC13" i="14"/>
  <c r="AD13" i="14"/>
  <c r="AE13" i="14"/>
  <c r="AF13" i="14"/>
  <c r="AG13" i="14"/>
  <c r="AH13" i="14"/>
  <c r="AI13" i="14"/>
  <c r="R13" i="14"/>
  <c r="S13" i="14"/>
  <c r="J13" i="14"/>
  <c r="K13" i="14"/>
  <c r="L13" i="14"/>
  <c r="M13" i="14"/>
  <c r="N13" i="14"/>
  <c r="AN13" i="14"/>
  <c r="AO13" i="14"/>
  <c r="AP13" i="14"/>
  <c r="AQ13" i="14"/>
  <c r="AR13" i="14"/>
  <c r="AS13" i="14"/>
  <c r="AT13" i="14"/>
  <c r="AU13" i="14"/>
  <c r="AV13" i="14"/>
  <c r="AW13" i="14"/>
  <c r="T13" i="14"/>
  <c r="U13" i="14"/>
  <c r="D14" i="14"/>
  <c r="E14" i="14"/>
  <c r="F14" i="14"/>
  <c r="G14" i="14"/>
  <c r="H14" i="14"/>
  <c r="Z14" i="14"/>
  <c r="AA14" i="14"/>
  <c r="AB14" i="14"/>
  <c r="AC14" i="14"/>
  <c r="AD14" i="14"/>
  <c r="AE14" i="14"/>
  <c r="AF14" i="14"/>
  <c r="AG14" i="14"/>
  <c r="AH14" i="14"/>
  <c r="AI14" i="14"/>
  <c r="R14" i="14"/>
  <c r="S14" i="14"/>
  <c r="J14" i="14"/>
  <c r="K14" i="14"/>
  <c r="L14" i="14"/>
  <c r="M14" i="14"/>
  <c r="N14" i="14"/>
  <c r="AN14" i="14"/>
  <c r="AO14" i="14"/>
  <c r="AP14" i="14"/>
  <c r="AQ14" i="14"/>
  <c r="AR14" i="14"/>
  <c r="AS14" i="14"/>
  <c r="AT14" i="14"/>
  <c r="AU14" i="14"/>
  <c r="AV14" i="14"/>
  <c r="AW14" i="14"/>
  <c r="T14" i="14"/>
  <c r="U14" i="14"/>
  <c r="D15" i="14"/>
  <c r="E15" i="14"/>
  <c r="F15" i="14"/>
  <c r="G15" i="14"/>
  <c r="H15" i="14"/>
  <c r="Z15" i="14"/>
  <c r="AA15" i="14"/>
  <c r="AB15" i="14"/>
  <c r="AC15" i="14"/>
  <c r="AD15" i="14"/>
  <c r="AE15" i="14"/>
  <c r="AF15" i="14"/>
  <c r="AG15" i="14"/>
  <c r="AH15" i="14"/>
  <c r="AI15" i="14"/>
  <c r="R15" i="14"/>
  <c r="S15" i="14"/>
  <c r="J15" i="14"/>
  <c r="K15" i="14"/>
  <c r="L15" i="14"/>
  <c r="M15" i="14"/>
  <c r="N15" i="14"/>
  <c r="AN15" i="14"/>
  <c r="AO15" i="14"/>
  <c r="AP15" i="14"/>
  <c r="AQ15" i="14"/>
  <c r="AR15" i="14"/>
  <c r="AS15" i="14"/>
  <c r="AT15" i="14"/>
  <c r="AU15" i="14"/>
  <c r="AV15" i="14"/>
  <c r="AW15" i="14"/>
  <c r="T15" i="14"/>
  <c r="U15" i="14"/>
  <c r="D16" i="14"/>
  <c r="E16" i="14"/>
  <c r="F16" i="14"/>
  <c r="G16" i="14"/>
  <c r="H16" i="14"/>
  <c r="Z16" i="14"/>
  <c r="AA16" i="14"/>
  <c r="AB16" i="14"/>
  <c r="AC16" i="14"/>
  <c r="AD16" i="14"/>
  <c r="AE16" i="14"/>
  <c r="AF16" i="14"/>
  <c r="AG16" i="14"/>
  <c r="AH16" i="14"/>
  <c r="AI16" i="14"/>
  <c r="R16" i="14"/>
  <c r="S16" i="14"/>
  <c r="J16" i="14"/>
  <c r="K16" i="14"/>
  <c r="L16" i="14"/>
  <c r="M16" i="14"/>
  <c r="N16" i="14"/>
  <c r="AN16" i="14"/>
  <c r="AO16" i="14"/>
  <c r="AP16" i="14"/>
  <c r="AQ16" i="14"/>
  <c r="AR16" i="14"/>
  <c r="AS16" i="14"/>
  <c r="AT16" i="14"/>
  <c r="AU16" i="14"/>
  <c r="AV16" i="14"/>
  <c r="AW16" i="14"/>
  <c r="T16" i="14"/>
  <c r="U16" i="14"/>
  <c r="D17" i="14"/>
  <c r="E17" i="14"/>
  <c r="F17" i="14"/>
  <c r="G17" i="14"/>
  <c r="H17" i="14"/>
  <c r="Z17" i="14"/>
  <c r="AA17" i="14"/>
  <c r="AB17" i="14"/>
  <c r="AC17" i="14"/>
  <c r="AD17" i="14"/>
  <c r="AE17" i="14"/>
  <c r="AF17" i="14"/>
  <c r="AG17" i="14"/>
  <c r="AH17" i="14"/>
  <c r="AI17" i="14"/>
  <c r="R17" i="14"/>
  <c r="S17" i="14"/>
  <c r="J17" i="14"/>
  <c r="K17" i="14"/>
  <c r="L17" i="14"/>
  <c r="M17" i="14"/>
  <c r="N17" i="14"/>
  <c r="AN17" i="14"/>
  <c r="AO17" i="14"/>
  <c r="AP17" i="14"/>
  <c r="AQ17" i="14"/>
  <c r="AR17" i="14"/>
  <c r="AS17" i="14"/>
  <c r="AT17" i="14"/>
  <c r="AU17" i="14"/>
  <c r="AV17" i="14"/>
  <c r="AW17" i="14"/>
  <c r="T17" i="14"/>
  <c r="U17" i="14"/>
  <c r="D18" i="14"/>
  <c r="E18" i="14"/>
  <c r="F18" i="14"/>
  <c r="G18" i="14"/>
  <c r="H18" i="14"/>
  <c r="Z18" i="14"/>
  <c r="AA18" i="14"/>
  <c r="AB18" i="14"/>
  <c r="AC18" i="14"/>
  <c r="AD18" i="14"/>
  <c r="AE18" i="14"/>
  <c r="AF18" i="14"/>
  <c r="AG18" i="14"/>
  <c r="AH18" i="14"/>
  <c r="AI18" i="14"/>
  <c r="R18" i="14"/>
  <c r="S18" i="14"/>
  <c r="J18" i="14"/>
  <c r="K18" i="14"/>
  <c r="L18" i="14"/>
  <c r="M18" i="14"/>
  <c r="N18" i="14"/>
  <c r="AN18" i="14"/>
  <c r="AO18" i="14"/>
  <c r="AP18" i="14"/>
  <c r="AQ18" i="14"/>
  <c r="AR18" i="14"/>
  <c r="AS18" i="14"/>
  <c r="AT18" i="14"/>
  <c r="AU18" i="14"/>
  <c r="AV18" i="14"/>
  <c r="AW18" i="14"/>
  <c r="T18" i="14"/>
  <c r="U18" i="14"/>
  <c r="D19" i="14"/>
  <c r="E19" i="14"/>
  <c r="F19" i="14"/>
  <c r="G19" i="14"/>
  <c r="H19" i="14"/>
  <c r="Z19" i="14"/>
  <c r="AA19" i="14"/>
  <c r="AB19" i="14"/>
  <c r="AC19" i="14"/>
  <c r="AD19" i="14"/>
  <c r="AE19" i="14"/>
  <c r="AF19" i="14"/>
  <c r="AG19" i="14"/>
  <c r="AH19" i="14"/>
  <c r="AI19" i="14"/>
  <c r="R19" i="14"/>
  <c r="S19" i="14"/>
  <c r="J19" i="14"/>
  <c r="K19" i="14"/>
  <c r="L19" i="14"/>
  <c r="M19" i="14"/>
  <c r="N19" i="14"/>
  <c r="AN19" i="14"/>
  <c r="AO19" i="14"/>
  <c r="AP19" i="14"/>
  <c r="AQ19" i="14"/>
  <c r="AR19" i="14"/>
  <c r="AS19" i="14"/>
  <c r="AT19" i="14"/>
  <c r="AU19" i="14"/>
  <c r="AV19" i="14"/>
  <c r="AW19" i="14"/>
  <c r="T19" i="14"/>
  <c r="U19" i="14"/>
  <c r="D20" i="14"/>
  <c r="E20" i="14"/>
  <c r="F20" i="14"/>
  <c r="G20" i="14"/>
  <c r="H20" i="14"/>
  <c r="Z20" i="14"/>
  <c r="AA20" i="14"/>
  <c r="AB20" i="14"/>
  <c r="AC20" i="14"/>
  <c r="AD20" i="14"/>
  <c r="AE20" i="14"/>
  <c r="AF20" i="14"/>
  <c r="AG20" i="14"/>
  <c r="AH20" i="14"/>
  <c r="AI20" i="14"/>
  <c r="R20" i="14"/>
  <c r="S20" i="14"/>
  <c r="J20" i="14"/>
  <c r="K20" i="14"/>
  <c r="L20" i="14"/>
  <c r="M20" i="14"/>
  <c r="N20" i="14"/>
  <c r="AN20" i="14"/>
  <c r="AO20" i="14"/>
  <c r="AP20" i="14"/>
  <c r="AQ20" i="14"/>
  <c r="AR20" i="14"/>
  <c r="AS20" i="14"/>
  <c r="AT20" i="14"/>
  <c r="AU20" i="14"/>
  <c r="AV20" i="14"/>
  <c r="AW20" i="14"/>
  <c r="T20" i="14"/>
  <c r="U20" i="14"/>
  <c r="D21" i="14"/>
  <c r="E21" i="14"/>
  <c r="F21" i="14"/>
  <c r="G21" i="14"/>
  <c r="H21" i="14"/>
  <c r="Z21" i="14"/>
  <c r="AA21" i="14"/>
  <c r="AB21" i="14"/>
  <c r="AC21" i="14"/>
  <c r="AD21" i="14"/>
  <c r="AE21" i="14"/>
  <c r="AF21" i="14"/>
  <c r="AG21" i="14"/>
  <c r="AH21" i="14"/>
  <c r="AI21" i="14"/>
  <c r="R21" i="14"/>
  <c r="S21" i="14"/>
  <c r="J21" i="14"/>
  <c r="K21" i="14"/>
  <c r="L21" i="14"/>
  <c r="M21" i="14"/>
  <c r="N21" i="14"/>
  <c r="AN21" i="14"/>
  <c r="AO21" i="14"/>
  <c r="AP21" i="14"/>
  <c r="AQ21" i="14"/>
  <c r="AR21" i="14"/>
  <c r="AS21" i="14"/>
  <c r="AT21" i="14"/>
  <c r="AU21" i="14"/>
  <c r="AV21" i="14"/>
  <c r="AW21" i="14"/>
  <c r="T21" i="14"/>
  <c r="U21" i="14"/>
  <c r="D22" i="14"/>
  <c r="E22" i="14"/>
  <c r="F22" i="14"/>
  <c r="G22" i="14"/>
  <c r="H22" i="14"/>
  <c r="Z22" i="14"/>
  <c r="AA22" i="14"/>
  <c r="AB22" i="14"/>
  <c r="AC22" i="14"/>
  <c r="AD22" i="14"/>
  <c r="AE22" i="14"/>
  <c r="AF22" i="14"/>
  <c r="AG22" i="14"/>
  <c r="AH22" i="14"/>
  <c r="AI22" i="14"/>
  <c r="R22" i="14"/>
  <c r="S22" i="14"/>
  <c r="J22" i="14"/>
  <c r="K22" i="14"/>
  <c r="L22" i="14"/>
  <c r="M22" i="14"/>
  <c r="N22" i="14"/>
  <c r="AN22" i="14"/>
  <c r="AO22" i="14"/>
  <c r="AP22" i="14"/>
  <c r="AQ22" i="14"/>
  <c r="AR22" i="14"/>
  <c r="AS22" i="14"/>
  <c r="AT22" i="14"/>
  <c r="AU22" i="14"/>
  <c r="AV22" i="14"/>
  <c r="AW22" i="14"/>
  <c r="T22" i="14"/>
  <c r="U22" i="14"/>
  <c r="D23" i="14"/>
  <c r="E23" i="14"/>
  <c r="F23" i="14"/>
  <c r="G23" i="14"/>
  <c r="H23" i="14"/>
  <c r="Z23" i="14"/>
  <c r="AA23" i="14"/>
  <c r="AB23" i="14"/>
  <c r="AC23" i="14"/>
  <c r="AD23" i="14"/>
  <c r="AE23" i="14"/>
  <c r="AF23" i="14"/>
  <c r="AG23" i="14"/>
  <c r="AH23" i="14"/>
  <c r="AI23" i="14"/>
  <c r="R23" i="14"/>
  <c r="S23" i="14"/>
  <c r="J23" i="14"/>
  <c r="K23" i="14"/>
  <c r="L23" i="14"/>
  <c r="M23" i="14"/>
  <c r="N23" i="14"/>
  <c r="AN23" i="14"/>
  <c r="AO23" i="14"/>
  <c r="AP23" i="14"/>
  <c r="AQ23" i="14"/>
  <c r="AR23" i="14"/>
  <c r="AS23" i="14"/>
  <c r="AT23" i="14"/>
  <c r="AU23" i="14"/>
  <c r="AV23" i="14"/>
  <c r="AW23" i="14"/>
  <c r="T23" i="14"/>
  <c r="U23" i="14"/>
  <c r="D24" i="14"/>
  <c r="E24" i="14"/>
  <c r="F24" i="14"/>
  <c r="G24" i="14"/>
  <c r="H24" i="14"/>
  <c r="Z24" i="14"/>
  <c r="AA24" i="14"/>
  <c r="AB24" i="14"/>
  <c r="AC24" i="14"/>
  <c r="AD24" i="14"/>
  <c r="AE24" i="14"/>
  <c r="AF24" i="14"/>
  <c r="AG24" i="14"/>
  <c r="AH24" i="14"/>
  <c r="AI24" i="14"/>
  <c r="R24" i="14"/>
  <c r="S24" i="14"/>
  <c r="J24" i="14"/>
  <c r="K24" i="14"/>
  <c r="L24" i="14"/>
  <c r="M24" i="14"/>
  <c r="N24" i="14"/>
  <c r="AN24" i="14"/>
  <c r="AO24" i="14"/>
  <c r="AP24" i="14"/>
  <c r="AQ24" i="14"/>
  <c r="AR24" i="14"/>
  <c r="AS24" i="14"/>
  <c r="AT24" i="14"/>
  <c r="AU24" i="14"/>
  <c r="AV24" i="14"/>
  <c r="AW24" i="14"/>
  <c r="T24" i="14"/>
  <c r="U24" i="14"/>
  <c r="D25" i="14"/>
  <c r="E25" i="14"/>
  <c r="F25" i="14"/>
  <c r="G25" i="14"/>
  <c r="H25" i="14"/>
  <c r="Z25" i="14"/>
  <c r="AA25" i="14"/>
  <c r="AB25" i="14"/>
  <c r="AC25" i="14"/>
  <c r="AD25" i="14"/>
  <c r="AE25" i="14"/>
  <c r="AF25" i="14"/>
  <c r="AG25" i="14"/>
  <c r="AH25" i="14"/>
  <c r="AI25" i="14"/>
  <c r="R25" i="14"/>
  <c r="S25" i="14"/>
  <c r="J25" i="14"/>
  <c r="K25" i="14"/>
  <c r="L25" i="14"/>
  <c r="M25" i="14"/>
  <c r="N25" i="14"/>
  <c r="AN25" i="14"/>
  <c r="AO25" i="14"/>
  <c r="AP25" i="14"/>
  <c r="AQ25" i="14"/>
  <c r="AR25" i="14"/>
  <c r="AS25" i="14"/>
  <c r="AT25" i="14"/>
  <c r="AU25" i="14"/>
  <c r="AV25" i="14"/>
  <c r="AW25" i="14"/>
  <c r="T25" i="14"/>
  <c r="U25" i="14"/>
  <c r="D26" i="14"/>
  <c r="E26" i="14"/>
  <c r="F26" i="14"/>
  <c r="G26" i="14"/>
  <c r="H26" i="14"/>
  <c r="Z26" i="14"/>
  <c r="AA26" i="14"/>
  <c r="AB26" i="14"/>
  <c r="AC26" i="14"/>
  <c r="AD26" i="14"/>
  <c r="AE26" i="14"/>
  <c r="AF26" i="14"/>
  <c r="AG26" i="14"/>
  <c r="AH26" i="14"/>
  <c r="AI26" i="14"/>
  <c r="R26" i="14"/>
  <c r="S26" i="14"/>
  <c r="J26" i="14"/>
  <c r="K26" i="14"/>
  <c r="L26" i="14"/>
  <c r="M26" i="14"/>
  <c r="N26" i="14"/>
  <c r="AN26" i="14"/>
  <c r="AO26" i="14"/>
  <c r="AP26" i="14"/>
  <c r="AQ26" i="14"/>
  <c r="AR26" i="14"/>
  <c r="AS26" i="14"/>
  <c r="AT26" i="14"/>
  <c r="AU26" i="14"/>
  <c r="AV26" i="14"/>
  <c r="AW26" i="14"/>
  <c r="T26" i="14"/>
  <c r="U26" i="14"/>
  <c r="D27" i="14"/>
  <c r="E27" i="14"/>
  <c r="F27" i="14"/>
  <c r="G27" i="14"/>
  <c r="H27" i="14"/>
  <c r="Z27" i="14"/>
  <c r="AA27" i="14"/>
  <c r="AB27" i="14"/>
  <c r="AC27" i="14"/>
  <c r="AD27" i="14"/>
  <c r="AE27" i="14"/>
  <c r="AF27" i="14"/>
  <c r="AG27" i="14"/>
  <c r="AH27" i="14"/>
  <c r="AI27" i="14"/>
  <c r="R27" i="14"/>
  <c r="S27" i="14"/>
  <c r="J27" i="14"/>
  <c r="K27" i="14"/>
  <c r="L27" i="14"/>
  <c r="M27" i="14"/>
  <c r="N27" i="14"/>
  <c r="AN27" i="14"/>
  <c r="AO27" i="14"/>
  <c r="AP27" i="14"/>
  <c r="AQ27" i="14"/>
  <c r="AR27" i="14"/>
  <c r="AS27" i="14"/>
  <c r="AT27" i="14"/>
  <c r="AU27" i="14"/>
  <c r="AV27" i="14"/>
  <c r="AW27" i="14"/>
  <c r="T27" i="14"/>
  <c r="U27" i="14"/>
  <c r="D28" i="14"/>
  <c r="E28" i="14"/>
  <c r="F28" i="14"/>
  <c r="G28" i="14"/>
  <c r="H28" i="14"/>
  <c r="Z28" i="14"/>
  <c r="AA28" i="14"/>
  <c r="AB28" i="14"/>
  <c r="AC28" i="14"/>
  <c r="AD28" i="14"/>
  <c r="AE28" i="14"/>
  <c r="AF28" i="14"/>
  <c r="AG28" i="14"/>
  <c r="AH28" i="14"/>
  <c r="AI28" i="14"/>
  <c r="R28" i="14"/>
  <c r="S28" i="14"/>
  <c r="J28" i="14"/>
  <c r="K28" i="14"/>
  <c r="L28" i="14"/>
  <c r="M28" i="14"/>
  <c r="N28" i="14"/>
  <c r="AN28" i="14"/>
  <c r="AO28" i="14"/>
  <c r="AP28" i="14"/>
  <c r="AQ28" i="14"/>
  <c r="AR28" i="14"/>
  <c r="AS28" i="14"/>
  <c r="AT28" i="14"/>
  <c r="AU28" i="14"/>
  <c r="AV28" i="14"/>
  <c r="AW28" i="14"/>
  <c r="T28" i="14"/>
  <c r="U28" i="14"/>
  <c r="D29" i="14"/>
  <c r="E29" i="14"/>
  <c r="F29" i="14"/>
  <c r="G29" i="14"/>
  <c r="H29" i="14"/>
  <c r="Z29" i="14"/>
  <c r="AA29" i="14"/>
  <c r="AB29" i="14"/>
  <c r="AC29" i="14"/>
  <c r="AD29" i="14"/>
  <c r="AE29" i="14"/>
  <c r="AF29" i="14"/>
  <c r="AG29" i="14"/>
  <c r="AH29" i="14"/>
  <c r="AI29" i="14"/>
  <c r="R29" i="14"/>
  <c r="S29" i="14"/>
  <c r="J29" i="14"/>
  <c r="K29" i="14"/>
  <c r="L29" i="14"/>
  <c r="M29" i="14"/>
  <c r="N29" i="14"/>
  <c r="AN29" i="14"/>
  <c r="AO29" i="14"/>
  <c r="AP29" i="14"/>
  <c r="AQ29" i="14"/>
  <c r="AR29" i="14"/>
  <c r="AS29" i="14"/>
  <c r="AT29" i="14"/>
  <c r="AU29" i="14"/>
  <c r="AV29" i="14"/>
  <c r="AW29" i="14"/>
  <c r="T29" i="14"/>
  <c r="U29" i="14"/>
  <c r="D30" i="14"/>
  <c r="E30" i="14"/>
  <c r="F30" i="14"/>
  <c r="G30" i="14"/>
  <c r="H30" i="14"/>
  <c r="Z30" i="14"/>
  <c r="AA30" i="14"/>
  <c r="AB30" i="14"/>
  <c r="AC30" i="14"/>
  <c r="AD30" i="14"/>
  <c r="AE30" i="14"/>
  <c r="AF30" i="14"/>
  <c r="AG30" i="14"/>
  <c r="AH30" i="14"/>
  <c r="AI30" i="14"/>
  <c r="R30" i="14"/>
  <c r="S30" i="14"/>
  <c r="J30" i="14"/>
  <c r="K30" i="14"/>
  <c r="L30" i="14"/>
  <c r="M30" i="14"/>
  <c r="N30" i="14"/>
  <c r="AN30" i="14"/>
  <c r="AO30" i="14"/>
  <c r="AP30" i="14"/>
  <c r="AQ30" i="14"/>
  <c r="AR30" i="14"/>
  <c r="AS30" i="14"/>
  <c r="AT30" i="14"/>
  <c r="AU30" i="14"/>
  <c r="AV30" i="14"/>
  <c r="AW30" i="14"/>
  <c r="T30" i="14"/>
  <c r="U30" i="14"/>
  <c r="D31" i="14"/>
  <c r="E31" i="14"/>
  <c r="F31" i="14"/>
  <c r="G31" i="14"/>
  <c r="H31" i="14"/>
  <c r="Z31" i="14"/>
  <c r="AA31" i="14"/>
  <c r="AB31" i="14"/>
  <c r="AC31" i="14"/>
  <c r="AD31" i="14"/>
  <c r="AE31" i="14"/>
  <c r="AF31" i="14"/>
  <c r="AG31" i="14"/>
  <c r="AH31" i="14"/>
  <c r="AI31" i="14"/>
  <c r="R31" i="14"/>
  <c r="S31" i="14"/>
  <c r="J31" i="14"/>
  <c r="K31" i="14"/>
  <c r="L31" i="14"/>
  <c r="M31" i="14"/>
  <c r="N31" i="14"/>
  <c r="AN31" i="14"/>
  <c r="AO31" i="14"/>
  <c r="AP31" i="14"/>
  <c r="AQ31" i="14"/>
  <c r="AR31" i="14"/>
  <c r="AS31" i="14"/>
  <c r="AT31" i="14"/>
  <c r="AU31" i="14"/>
  <c r="AV31" i="14"/>
  <c r="AW31" i="14"/>
  <c r="T31" i="14"/>
  <c r="U31" i="14"/>
  <c r="D32" i="14"/>
  <c r="E32" i="14"/>
  <c r="F32" i="14"/>
  <c r="G32" i="14"/>
  <c r="H32" i="14"/>
  <c r="Z32" i="14"/>
  <c r="AA32" i="14"/>
  <c r="AB32" i="14"/>
  <c r="AC32" i="14"/>
  <c r="AD32" i="14"/>
  <c r="AE32" i="14"/>
  <c r="AF32" i="14"/>
  <c r="AG32" i="14"/>
  <c r="AH32" i="14"/>
  <c r="AI32" i="14"/>
  <c r="R32" i="14"/>
  <c r="S32" i="14"/>
  <c r="J32" i="14"/>
  <c r="K32" i="14"/>
  <c r="L32" i="14"/>
  <c r="M32" i="14"/>
  <c r="N32" i="14"/>
  <c r="AN32" i="14"/>
  <c r="AO32" i="14"/>
  <c r="AP32" i="14"/>
  <c r="AQ32" i="14"/>
  <c r="AR32" i="14"/>
  <c r="AS32" i="14"/>
  <c r="AT32" i="14"/>
  <c r="AU32" i="14"/>
  <c r="AV32" i="14"/>
  <c r="AW32" i="14"/>
  <c r="T32" i="14"/>
  <c r="U32" i="14"/>
  <c r="D33" i="14"/>
  <c r="E33" i="14"/>
  <c r="F33" i="14"/>
  <c r="G33" i="14"/>
  <c r="H33" i="14"/>
  <c r="Z33" i="14"/>
  <c r="AA33" i="14"/>
  <c r="AB33" i="14"/>
  <c r="AC33" i="14"/>
  <c r="AD33" i="14"/>
  <c r="AE33" i="14"/>
  <c r="AF33" i="14"/>
  <c r="AG33" i="14"/>
  <c r="AH33" i="14"/>
  <c r="AI33" i="14"/>
  <c r="R33" i="14"/>
  <c r="S33" i="14"/>
  <c r="J33" i="14"/>
  <c r="K33" i="14"/>
  <c r="L33" i="14"/>
  <c r="M33" i="14"/>
  <c r="N33" i="14"/>
  <c r="AN33" i="14"/>
  <c r="AO33" i="14"/>
  <c r="AP33" i="14"/>
  <c r="AQ33" i="14"/>
  <c r="AR33" i="14"/>
  <c r="AS33" i="14"/>
  <c r="AT33" i="14"/>
  <c r="AU33" i="14"/>
  <c r="AV33" i="14"/>
  <c r="AW33" i="14"/>
  <c r="T33" i="14"/>
  <c r="U33" i="14"/>
  <c r="D34" i="14"/>
  <c r="E34" i="14"/>
  <c r="F34" i="14"/>
  <c r="G34" i="14"/>
  <c r="H34" i="14"/>
  <c r="Z34" i="14"/>
  <c r="AA34" i="14"/>
  <c r="AB34" i="14"/>
  <c r="AC34" i="14"/>
  <c r="AD34" i="14"/>
  <c r="AE34" i="14"/>
  <c r="AF34" i="14"/>
  <c r="AG34" i="14"/>
  <c r="AH34" i="14"/>
  <c r="AI34" i="14"/>
  <c r="R34" i="14"/>
  <c r="S34" i="14"/>
  <c r="J34" i="14"/>
  <c r="K34" i="14"/>
  <c r="L34" i="14"/>
  <c r="M34" i="14"/>
  <c r="N34" i="14"/>
  <c r="AN34" i="14"/>
  <c r="AO34" i="14"/>
  <c r="AP34" i="14"/>
  <c r="AQ34" i="14"/>
  <c r="AR34" i="14"/>
  <c r="AS34" i="14"/>
  <c r="AT34" i="14"/>
  <c r="AU34" i="14"/>
  <c r="AV34" i="14"/>
  <c r="AW34" i="14"/>
  <c r="T34" i="14"/>
  <c r="U34" i="14"/>
  <c r="D35" i="14"/>
  <c r="E35" i="14"/>
  <c r="F35" i="14"/>
  <c r="G35" i="14"/>
  <c r="H35" i="14"/>
  <c r="Z35" i="14"/>
  <c r="AA35" i="14"/>
  <c r="AB35" i="14"/>
  <c r="AC35" i="14"/>
  <c r="AD35" i="14"/>
  <c r="AE35" i="14"/>
  <c r="AF35" i="14"/>
  <c r="AG35" i="14"/>
  <c r="AH35" i="14"/>
  <c r="AI35" i="14"/>
  <c r="R35" i="14"/>
  <c r="S35" i="14"/>
  <c r="J35" i="14"/>
  <c r="K35" i="14"/>
  <c r="L35" i="14"/>
  <c r="M35" i="14"/>
  <c r="N35" i="14"/>
  <c r="AN35" i="14"/>
  <c r="AO35" i="14"/>
  <c r="AP35" i="14"/>
  <c r="AQ35" i="14"/>
  <c r="AR35" i="14"/>
  <c r="AS35" i="14"/>
  <c r="AT35" i="14"/>
  <c r="AU35" i="14"/>
  <c r="AV35" i="14"/>
  <c r="AW35" i="14"/>
  <c r="T35" i="14"/>
  <c r="U35" i="14"/>
  <c r="V4" i="14"/>
  <c r="V5" i="14"/>
  <c r="V6" i="14"/>
  <c r="W4" i="14"/>
  <c r="W5" i="14"/>
  <c r="W6" i="14"/>
  <c r="V7" i="14"/>
  <c r="W7" i="14"/>
  <c r="V8" i="14"/>
  <c r="W8" i="14"/>
  <c r="V9" i="14"/>
  <c r="W9" i="14"/>
  <c r="V10" i="14"/>
  <c r="W10" i="14"/>
  <c r="V11" i="14"/>
  <c r="W11" i="14"/>
  <c r="V12" i="14"/>
  <c r="W12" i="14"/>
  <c r="V13" i="14"/>
  <c r="W13" i="14"/>
  <c r="V14" i="14"/>
  <c r="W14" i="14"/>
  <c r="V15" i="14"/>
  <c r="W15" i="14"/>
  <c r="V16" i="14"/>
  <c r="W16" i="14"/>
  <c r="V17" i="14"/>
  <c r="W17" i="14"/>
  <c r="V18" i="14"/>
  <c r="W18" i="14"/>
  <c r="V19" i="14"/>
  <c r="W19" i="14"/>
  <c r="V20" i="14"/>
  <c r="W20" i="14"/>
  <c r="V21" i="14"/>
  <c r="W21" i="14"/>
  <c r="V22" i="14"/>
  <c r="W22" i="14"/>
  <c r="V23" i="14"/>
  <c r="W23" i="14"/>
  <c r="V24" i="14"/>
  <c r="W24" i="14"/>
  <c r="V25" i="14"/>
  <c r="W25" i="14"/>
  <c r="V26" i="14"/>
  <c r="W26" i="14"/>
  <c r="V27" i="14"/>
  <c r="W27" i="14"/>
  <c r="V28" i="14"/>
  <c r="W28" i="14"/>
  <c r="V29" i="14"/>
  <c r="W29" i="14"/>
  <c r="V30" i="14"/>
  <c r="W30" i="14"/>
  <c r="V31" i="14"/>
  <c r="W31" i="14"/>
  <c r="V32" i="14"/>
  <c r="W32" i="14"/>
  <c r="V33" i="14"/>
  <c r="W33" i="14"/>
  <c r="V34" i="14"/>
  <c r="W34" i="14"/>
  <c r="V35" i="14"/>
  <c r="W35" i="14"/>
  <c r="Q34" i="18"/>
  <c r="L34" i="18"/>
  <c r="J34" i="18"/>
  <c r="A4" i="12"/>
  <c r="B4" i="12"/>
  <c r="E4" i="12"/>
  <c r="D4" i="12"/>
  <c r="F4" i="12"/>
  <c r="P4" i="12"/>
  <c r="H4" i="12"/>
  <c r="G4" i="12"/>
  <c r="I4" i="12"/>
  <c r="Q4" i="12"/>
  <c r="AM4" i="17"/>
  <c r="J4" i="12"/>
  <c r="K4" i="12"/>
  <c r="L4" i="12"/>
  <c r="M4" i="12"/>
  <c r="R4" i="12"/>
  <c r="S4" i="12"/>
  <c r="A5" i="12"/>
  <c r="B5" i="12"/>
  <c r="E5" i="12"/>
  <c r="D5" i="12"/>
  <c r="F5" i="12"/>
  <c r="P5" i="12"/>
  <c r="H5" i="12"/>
  <c r="G5" i="12"/>
  <c r="I5" i="12"/>
  <c r="Q5" i="12"/>
  <c r="AM5" i="17"/>
  <c r="AM6" i="17"/>
  <c r="J5" i="12"/>
  <c r="K5" i="12"/>
  <c r="L5" i="12"/>
  <c r="M5" i="12"/>
  <c r="R5" i="12"/>
  <c r="S5" i="12"/>
  <c r="A6" i="12"/>
  <c r="B6" i="12"/>
  <c r="E6" i="12"/>
  <c r="D6" i="12"/>
  <c r="F6" i="12"/>
  <c r="P6" i="12"/>
  <c r="H6" i="12"/>
  <c r="G6" i="12"/>
  <c r="I6" i="12"/>
  <c r="Q6" i="12"/>
  <c r="J6" i="12"/>
  <c r="K6" i="12"/>
  <c r="L6" i="12"/>
  <c r="M6" i="12"/>
  <c r="R6" i="12"/>
  <c r="S6" i="12"/>
  <c r="A7" i="12"/>
  <c r="B7" i="12"/>
  <c r="E7" i="12"/>
  <c r="D7" i="12"/>
  <c r="F7" i="12"/>
  <c r="P7" i="12"/>
  <c r="H7" i="12"/>
  <c r="G7" i="12"/>
  <c r="I7" i="12"/>
  <c r="Q7" i="12"/>
  <c r="AM7" i="17"/>
  <c r="J7" i="12"/>
  <c r="K7" i="12"/>
  <c r="L7" i="12"/>
  <c r="M7" i="12"/>
  <c r="R7" i="12"/>
  <c r="S7" i="12"/>
  <c r="A8" i="12"/>
  <c r="B8" i="12"/>
  <c r="E8" i="12"/>
  <c r="D8" i="12"/>
  <c r="F8" i="12"/>
  <c r="P8" i="12"/>
  <c r="H8" i="12"/>
  <c r="G8" i="12"/>
  <c r="I8" i="12"/>
  <c r="Q8" i="12"/>
  <c r="AM8" i="17"/>
  <c r="J8" i="12"/>
  <c r="K8" i="12"/>
  <c r="L8" i="12"/>
  <c r="M8" i="12"/>
  <c r="R8" i="12"/>
  <c r="S8" i="12"/>
  <c r="A9" i="12"/>
  <c r="B9" i="12"/>
  <c r="E9" i="12"/>
  <c r="D9" i="12"/>
  <c r="F9" i="12"/>
  <c r="P9" i="12"/>
  <c r="H9" i="12"/>
  <c r="G9" i="12"/>
  <c r="I9" i="12"/>
  <c r="Q9" i="12"/>
  <c r="AM9" i="17"/>
  <c r="AM10" i="17"/>
  <c r="J9" i="12"/>
  <c r="K9" i="12"/>
  <c r="L9" i="12"/>
  <c r="M9" i="12"/>
  <c r="R9" i="12"/>
  <c r="S9" i="12"/>
  <c r="A10" i="12"/>
  <c r="B10" i="12"/>
  <c r="E10" i="12"/>
  <c r="D10" i="12"/>
  <c r="F10" i="12"/>
  <c r="P10" i="12"/>
  <c r="H10" i="12"/>
  <c r="G10" i="12"/>
  <c r="I10" i="12"/>
  <c r="Q10" i="12"/>
  <c r="AM11" i="17"/>
  <c r="AM12" i="17"/>
  <c r="AM13" i="17"/>
  <c r="AM14" i="17"/>
  <c r="J10" i="12"/>
  <c r="K10" i="12"/>
  <c r="L10" i="12"/>
  <c r="M10" i="12"/>
  <c r="R10" i="12"/>
  <c r="S10" i="12"/>
  <c r="A11" i="12"/>
  <c r="B11" i="12"/>
  <c r="E11" i="12"/>
  <c r="D11" i="12"/>
  <c r="F11" i="12"/>
  <c r="P11" i="12"/>
  <c r="H11" i="12"/>
  <c r="G11" i="12"/>
  <c r="I11" i="12"/>
  <c r="Q11" i="12"/>
  <c r="J11" i="12"/>
  <c r="K11" i="12"/>
  <c r="L11" i="12"/>
  <c r="M11" i="12"/>
  <c r="R11" i="12"/>
  <c r="S11" i="12"/>
  <c r="A12" i="12"/>
  <c r="B12" i="12"/>
  <c r="E12" i="12"/>
  <c r="D12" i="12"/>
  <c r="F12" i="12"/>
  <c r="P12" i="12"/>
  <c r="H12" i="12"/>
  <c r="G12" i="12"/>
  <c r="I12" i="12"/>
  <c r="Q12" i="12"/>
  <c r="J12" i="12"/>
  <c r="K12" i="12"/>
  <c r="L12" i="12"/>
  <c r="M12" i="12"/>
  <c r="R12" i="12"/>
  <c r="S12" i="12"/>
  <c r="A13" i="12"/>
  <c r="B13" i="12"/>
  <c r="E13" i="12"/>
  <c r="D13" i="12"/>
  <c r="F13" i="12"/>
  <c r="P13" i="12"/>
  <c r="H13" i="12"/>
  <c r="G13" i="12"/>
  <c r="I13" i="12"/>
  <c r="Q13" i="12"/>
  <c r="J13" i="12"/>
  <c r="K13" i="12"/>
  <c r="L13" i="12"/>
  <c r="M13" i="12"/>
  <c r="R13" i="12"/>
  <c r="S13" i="12"/>
  <c r="A14" i="12"/>
  <c r="B14" i="12"/>
  <c r="E14" i="12"/>
  <c r="D14" i="12"/>
  <c r="F14" i="12"/>
  <c r="P14" i="12"/>
  <c r="H14" i="12"/>
  <c r="G14" i="12"/>
  <c r="I14" i="12"/>
  <c r="Q14" i="12"/>
  <c r="AM15" i="17"/>
  <c r="AM16" i="17"/>
  <c r="AM17" i="17"/>
  <c r="J14" i="12"/>
  <c r="K14" i="12"/>
  <c r="L14" i="12"/>
  <c r="M14" i="12"/>
  <c r="R14" i="12"/>
  <c r="S14" i="12"/>
  <c r="A15" i="12"/>
  <c r="B15" i="12"/>
  <c r="E15" i="12"/>
  <c r="D15" i="12"/>
  <c r="F15" i="12"/>
  <c r="P15" i="12"/>
  <c r="H15" i="12"/>
  <c r="G15" i="12"/>
  <c r="I15" i="12"/>
  <c r="Q15" i="12"/>
  <c r="AM18" i="17"/>
  <c r="AM19" i="17"/>
  <c r="AM20" i="17"/>
  <c r="J15" i="12"/>
  <c r="K15" i="12"/>
  <c r="L15" i="12"/>
  <c r="M15" i="12"/>
  <c r="R15" i="12"/>
  <c r="S15" i="12"/>
  <c r="A16" i="12"/>
  <c r="B16" i="12"/>
  <c r="E16" i="12"/>
  <c r="D16" i="12"/>
  <c r="F16" i="12"/>
  <c r="P16" i="12"/>
  <c r="H16" i="12"/>
  <c r="G16" i="12"/>
  <c r="I16" i="12"/>
  <c r="Q16" i="12"/>
  <c r="J16" i="12"/>
  <c r="K16" i="12"/>
  <c r="L16" i="12"/>
  <c r="M16" i="12"/>
  <c r="R16" i="12"/>
  <c r="S16" i="12"/>
  <c r="A17" i="12"/>
  <c r="B17" i="12"/>
  <c r="E17" i="12"/>
  <c r="D17" i="12"/>
  <c r="F17" i="12"/>
  <c r="P17" i="12"/>
  <c r="H17" i="12"/>
  <c r="G17" i="12"/>
  <c r="I17" i="12"/>
  <c r="Q17" i="12"/>
  <c r="J17" i="12"/>
  <c r="K17" i="12"/>
  <c r="L17" i="12"/>
  <c r="M17" i="12"/>
  <c r="R17" i="12"/>
  <c r="S17" i="12"/>
  <c r="A18" i="12"/>
  <c r="B18" i="12"/>
  <c r="E18" i="12"/>
  <c r="D18" i="12"/>
  <c r="F18" i="12"/>
  <c r="P18" i="12"/>
  <c r="H18" i="12"/>
  <c r="G18" i="12"/>
  <c r="I18" i="12"/>
  <c r="Q18" i="12"/>
  <c r="J18" i="12"/>
  <c r="K18" i="12"/>
  <c r="L18" i="12"/>
  <c r="M18" i="12"/>
  <c r="R18" i="12"/>
  <c r="S18" i="12"/>
  <c r="A19" i="12"/>
  <c r="B19" i="12"/>
  <c r="E19" i="12"/>
  <c r="D19" i="12"/>
  <c r="F19" i="12"/>
  <c r="P19" i="12"/>
  <c r="H19" i="12"/>
  <c r="G19" i="12"/>
  <c r="I19" i="12"/>
  <c r="Q19" i="12"/>
  <c r="J19" i="12"/>
  <c r="K19" i="12"/>
  <c r="L19" i="12"/>
  <c r="M19" i="12"/>
  <c r="R19" i="12"/>
  <c r="S19" i="12"/>
  <c r="A20" i="12"/>
  <c r="B20" i="12"/>
  <c r="E20" i="12"/>
  <c r="D20" i="12"/>
  <c r="F20" i="12"/>
  <c r="P20" i="12"/>
  <c r="H20" i="12"/>
  <c r="G20" i="12"/>
  <c r="I20" i="12"/>
  <c r="Q20" i="12"/>
  <c r="AM21" i="17"/>
  <c r="AM22" i="17"/>
  <c r="AM23" i="17"/>
  <c r="AM24" i="17"/>
  <c r="AM25" i="17"/>
  <c r="AM26" i="17"/>
  <c r="AM27" i="17"/>
  <c r="AM28" i="17"/>
  <c r="AM29" i="17"/>
  <c r="AM30" i="17"/>
  <c r="AM31" i="17"/>
  <c r="AM32" i="17"/>
  <c r="AM33" i="17"/>
  <c r="AM34" i="17"/>
  <c r="AM35" i="17"/>
  <c r="AM36" i="17"/>
  <c r="AM37" i="17"/>
  <c r="AM38" i="17"/>
  <c r="AM39" i="17"/>
  <c r="AM40" i="17"/>
  <c r="AM41" i="17"/>
  <c r="AM42" i="17"/>
  <c r="AM43" i="17"/>
  <c r="AM44" i="17"/>
  <c r="AM45" i="17"/>
  <c r="AM46" i="17"/>
  <c r="AM47" i="17"/>
  <c r="AM48" i="17"/>
  <c r="AM49" i="17"/>
  <c r="AM50" i="17"/>
  <c r="AM51" i="17"/>
  <c r="AM52" i="17"/>
  <c r="AM53" i="17"/>
  <c r="AM54" i="17"/>
  <c r="AM55" i="17"/>
  <c r="AM56" i="17"/>
  <c r="AM57" i="17"/>
  <c r="AM58" i="17"/>
  <c r="AM59" i="17"/>
  <c r="AM60" i="17"/>
  <c r="AM61" i="17"/>
  <c r="AM62" i="17"/>
  <c r="AM63" i="17"/>
  <c r="AM64" i="17"/>
  <c r="AM65" i="17"/>
  <c r="AM66" i="17"/>
  <c r="AM67" i="17"/>
  <c r="AM68" i="17"/>
  <c r="AM69" i="17"/>
  <c r="AM70" i="17"/>
  <c r="AM71" i="17"/>
  <c r="AM72" i="17"/>
  <c r="AM73" i="17"/>
  <c r="AM74" i="17"/>
  <c r="AM75" i="17"/>
  <c r="AM76" i="17"/>
  <c r="AM77" i="17"/>
  <c r="AM78" i="17"/>
  <c r="AM79" i="17"/>
  <c r="AM80" i="17"/>
  <c r="AM81" i="17"/>
  <c r="AM82" i="17"/>
  <c r="AM83" i="17"/>
  <c r="AM84" i="17"/>
  <c r="AM85" i="17"/>
  <c r="AM86" i="17"/>
  <c r="AM87" i="17"/>
  <c r="AM88" i="17"/>
  <c r="AM89" i="17"/>
  <c r="AM90" i="17"/>
  <c r="AM91" i="17"/>
  <c r="AM92" i="17"/>
  <c r="AM93" i="17"/>
  <c r="AM94" i="17"/>
  <c r="AM95" i="17"/>
  <c r="AM96" i="17"/>
  <c r="AM97" i="17"/>
  <c r="AM98" i="17"/>
  <c r="AM99" i="17"/>
  <c r="AM100" i="17"/>
  <c r="AM101" i="17"/>
  <c r="AM102" i="17"/>
  <c r="AM103" i="17"/>
  <c r="AM104" i="17"/>
  <c r="AM105" i="17"/>
  <c r="AM106" i="17"/>
  <c r="AM107" i="17"/>
  <c r="AM108" i="17"/>
  <c r="AM109" i="17"/>
  <c r="AM110" i="17"/>
  <c r="AM111" i="17"/>
  <c r="AM112" i="17"/>
  <c r="AM113" i="17"/>
  <c r="AM114" i="17"/>
  <c r="AM115" i="17"/>
  <c r="AM116" i="17"/>
  <c r="J20" i="12"/>
  <c r="K20" i="12"/>
  <c r="L20" i="12"/>
  <c r="M20" i="12"/>
  <c r="R20" i="12"/>
  <c r="S20" i="12"/>
  <c r="A21" i="12"/>
  <c r="B21" i="12"/>
  <c r="E21" i="12"/>
  <c r="D21" i="12"/>
  <c r="F21" i="12"/>
  <c r="P21" i="12"/>
  <c r="H21" i="12"/>
  <c r="G21" i="12"/>
  <c r="I21" i="12"/>
  <c r="Q21" i="12"/>
  <c r="J21" i="12"/>
  <c r="K21" i="12"/>
  <c r="L21" i="12"/>
  <c r="M21" i="12"/>
  <c r="R21" i="12"/>
  <c r="S21" i="12"/>
  <c r="A22" i="12"/>
  <c r="B22" i="12"/>
  <c r="E22" i="12"/>
  <c r="D22" i="12"/>
  <c r="F22" i="12"/>
  <c r="P22" i="12"/>
  <c r="H22" i="12"/>
  <c r="G22" i="12"/>
  <c r="I22" i="12"/>
  <c r="Q22" i="12"/>
  <c r="J22" i="12"/>
  <c r="K22" i="12"/>
  <c r="L22" i="12"/>
  <c r="M22" i="12"/>
  <c r="R22" i="12"/>
  <c r="S22" i="12"/>
  <c r="A23" i="12"/>
  <c r="B23" i="12"/>
  <c r="E23" i="12"/>
  <c r="D23" i="12"/>
  <c r="F23" i="12"/>
  <c r="P23" i="12"/>
  <c r="H23" i="12"/>
  <c r="G23" i="12"/>
  <c r="I23" i="12"/>
  <c r="Q23" i="12"/>
  <c r="J23" i="12"/>
  <c r="K23" i="12"/>
  <c r="L23" i="12"/>
  <c r="M23" i="12"/>
  <c r="R23" i="12"/>
  <c r="S23" i="12"/>
  <c r="A24" i="12"/>
  <c r="B24" i="12"/>
  <c r="E24" i="12"/>
  <c r="D24" i="12"/>
  <c r="F24" i="12"/>
  <c r="P24" i="12"/>
  <c r="H24" i="12"/>
  <c r="G24" i="12"/>
  <c r="I24" i="12"/>
  <c r="Q24" i="12"/>
  <c r="J24" i="12"/>
  <c r="K24" i="12"/>
  <c r="L24" i="12"/>
  <c r="M24" i="12"/>
  <c r="R24" i="12"/>
  <c r="S24" i="12"/>
  <c r="A25" i="12"/>
  <c r="B25" i="12"/>
  <c r="E25" i="12"/>
  <c r="D25" i="12"/>
  <c r="F25" i="12"/>
  <c r="P25" i="12"/>
  <c r="H25" i="12"/>
  <c r="G25" i="12"/>
  <c r="I25" i="12"/>
  <c r="Q25" i="12"/>
  <c r="J25" i="12"/>
  <c r="K25" i="12"/>
  <c r="L25" i="12"/>
  <c r="M25" i="12"/>
  <c r="R25" i="12"/>
  <c r="S25" i="12"/>
  <c r="A26" i="12"/>
  <c r="B26" i="12"/>
  <c r="E26" i="12"/>
  <c r="D26" i="12"/>
  <c r="F26" i="12"/>
  <c r="P26" i="12"/>
  <c r="H26" i="12"/>
  <c r="G26" i="12"/>
  <c r="I26" i="12"/>
  <c r="Q26" i="12"/>
  <c r="J26" i="12"/>
  <c r="K26" i="12"/>
  <c r="L26" i="12"/>
  <c r="M26" i="12"/>
  <c r="R26" i="12"/>
  <c r="S26" i="12"/>
  <c r="A27" i="12"/>
  <c r="B27" i="12"/>
  <c r="E27" i="12"/>
  <c r="D27" i="12"/>
  <c r="F27" i="12"/>
  <c r="P27" i="12"/>
  <c r="H27" i="12"/>
  <c r="G27" i="12"/>
  <c r="I27" i="12"/>
  <c r="Q27" i="12"/>
  <c r="J27" i="12"/>
  <c r="K27" i="12"/>
  <c r="L27" i="12"/>
  <c r="M27" i="12"/>
  <c r="R27" i="12"/>
  <c r="S27" i="12"/>
  <c r="A28" i="12"/>
  <c r="B28" i="12"/>
  <c r="E28" i="12"/>
  <c r="D28" i="12"/>
  <c r="F28" i="12"/>
  <c r="P28" i="12"/>
  <c r="H28" i="12"/>
  <c r="G28" i="12"/>
  <c r="I28" i="12"/>
  <c r="Q28" i="12"/>
  <c r="J28" i="12"/>
  <c r="K28" i="12"/>
  <c r="L28" i="12"/>
  <c r="M28" i="12"/>
  <c r="R28" i="12"/>
  <c r="S28" i="12"/>
  <c r="A29" i="12"/>
  <c r="B29" i="12"/>
  <c r="E29" i="12"/>
  <c r="D29" i="12"/>
  <c r="F29" i="12"/>
  <c r="P29" i="12"/>
  <c r="H29" i="12"/>
  <c r="G29" i="12"/>
  <c r="I29" i="12"/>
  <c r="Q29" i="12"/>
  <c r="J29" i="12"/>
  <c r="K29" i="12"/>
  <c r="L29" i="12"/>
  <c r="M29" i="12"/>
  <c r="R29" i="12"/>
  <c r="S29" i="12"/>
  <c r="A30" i="12"/>
  <c r="B30" i="12"/>
  <c r="E30" i="12"/>
  <c r="D30" i="12"/>
  <c r="F30" i="12"/>
  <c r="P30" i="12"/>
  <c r="H30" i="12"/>
  <c r="G30" i="12"/>
  <c r="I30" i="12"/>
  <c r="Q30" i="12"/>
  <c r="J30" i="12"/>
  <c r="K30" i="12"/>
  <c r="L30" i="12"/>
  <c r="M30" i="12"/>
  <c r="R30" i="12"/>
  <c r="S30" i="12"/>
  <c r="A31" i="12"/>
  <c r="B31" i="12"/>
  <c r="E31" i="12"/>
  <c r="D31" i="12"/>
  <c r="F31" i="12"/>
  <c r="P31" i="12"/>
  <c r="H31" i="12"/>
  <c r="G31" i="12"/>
  <c r="I31" i="12"/>
  <c r="Q31" i="12"/>
  <c r="J31" i="12"/>
  <c r="K31" i="12"/>
  <c r="L31" i="12"/>
  <c r="M31" i="12"/>
  <c r="R31" i="12"/>
  <c r="S31" i="12"/>
  <c r="A32" i="12"/>
  <c r="B32" i="12"/>
  <c r="E32" i="12"/>
  <c r="D32" i="12"/>
  <c r="F32" i="12"/>
  <c r="P32" i="12"/>
  <c r="H32" i="12"/>
  <c r="G32" i="12"/>
  <c r="I32" i="12"/>
  <c r="Q32" i="12"/>
  <c r="J32" i="12"/>
  <c r="K32" i="12"/>
  <c r="L32" i="12"/>
  <c r="M32" i="12"/>
  <c r="R32" i="12"/>
  <c r="S32" i="12"/>
  <c r="A33" i="12"/>
  <c r="B33" i="12"/>
  <c r="E33" i="12"/>
  <c r="D33" i="12"/>
  <c r="F33" i="12"/>
  <c r="P33" i="12"/>
  <c r="H33" i="12"/>
  <c r="G33" i="12"/>
  <c r="I33" i="12"/>
  <c r="Q33" i="12"/>
  <c r="J33" i="12"/>
  <c r="K33" i="12"/>
  <c r="L33" i="12"/>
  <c r="M33" i="12"/>
  <c r="R33" i="12"/>
  <c r="S33" i="12"/>
  <c r="A34" i="12"/>
  <c r="B34" i="12"/>
  <c r="E34" i="12"/>
  <c r="D34" i="12"/>
  <c r="F34" i="12"/>
  <c r="P34" i="12"/>
  <c r="H34" i="12"/>
  <c r="G34" i="12"/>
  <c r="I34" i="12"/>
  <c r="Q34" i="12"/>
  <c r="J34" i="12"/>
  <c r="K34" i="12"/>
  <c r="L34" i="12"/>
  <c r="M34" i="12"/>
  <c r="R34" i="12"/>
  <c r="S34" i="12"/>
  <c r="A35" i="12"/>
  <c r="B35" i="12"/>
  <c r="E35" i="12"/>
  <c r="D35" i="12"/>
  <c r="F35" i="12"/>
  <c r="P35" i="12"/>
  <c r="H35" i="12"/>
  <c r="G35" i="12"/>
  <c r="I35" i="12"/>
  <c r="Q35" i="12"/>
  <c r="J35" i="12"/>
  <c r="K35" i="12"/>
  <c r="L35" i="12"/>
  <c r="M35" i="12"/>
  <c r="R35" i="12"/>
  <c r="S35" i="12"/>
  <c r="A36" i="12"/>
  <c r="B36" i="12"/>
  <c r="E36" i="12"/>
  <c r="D36" i="12"/>
  <c r="F36" i="12"/>
  <c r="P36" i="12"/>
  <c r="H36" i="12"/>
  <c r="G36" i="12"/>
  <c r="I36" i="12"/>
  <c r="Q36" i="12"/>
  <c r="J36" i="12"/>
  <c r="K36" i="12"/>
  <c r="L36" i="12"/>
  <c r="M36" i="12"/>
  <c r="R36" i="12"/>
  <c r="S36" i="12"/>
  <c r="A37" i="12"/>
  <c r="B37" i="12"/>
  <c r="E37" i="12"/>
  <c r="D37" i="12"/>
  <c r="F37" i="12"/>
  <c r="P37" i="12"/>
  <c r="H37" i="12"/>
  <c r="G37" i="12"/>
  <c r="I37" i="12"/>
  <c r="Q37" i="12"/>
  <c r="J37" i="12"/>
  <c r="K37" i="12"/>
  <c r="L37" i="12"/>
  <c r="M37" i="12"/>
  <c r="R37" i="12"/>
  <c r="S37" i="12"/>
  <c r="A38" i="12"/>
  <c r="B38" i="12"/>
  <c r="E38" i="12"/>
  <c r="D38" i="12"/>
  <c r="F38" i="12"/>
  <c r="P38" i="12"/>
  <c r="H38" i="12"/>
  <c r="G38" i="12"/>
  <c r="I38" i="12"/>
  <c r="Q38" i="12"/>
  <c r="J38" i="12"/>
  <c r="K38" i="12"/>
  <c r="L38" i="12"/>
  <c r="M38" i="12"/>
  <c r="R38" i="12"/>
  <c r="S38" i="12"/>
  <c r="A39" i="12"/>
  <c r="B39" i="12"/>
  <c r="E39" i="12"/>
  <c r="D39" i="12"/>
  <c r="F39" i="12"/>
  <c r="P39" i="12"/>
  <c r="H39" i="12"/>
  <c r="G39" i="12"/>
  <c r="I39" i="12"/>
  <c r="Q39" i="12"/>
  <c r="J39" i="12"/>
  <c r="K39" i="12"/>
  <c r="L39" i="12"/>
  <c r="M39" i="12"/>
  <c r="R39" i="12"/>
  <c r="S39" i="12"/>
  <c r="A40" i="12"/>
  <c r="B40" i="12"/>
  <c r="E40" i="12"/>
  <c r="D40" i="12"/>
  <c r="F40" i="12"/>
  <c r="P40" i="12"/>
  <c r="H40" i="12"/>
  <c r="G40" i="12"/>
  <c r="I40" i="12"/>
  <c r="Q40" i="12"/>
  <c r="J40" i="12"/>
  <c r="K40" i="12"/>
  <c r="L40" i="12"/>
  <c r="M40" i="12"/>
  <c r="R40" i="12"/>
  <c r="S40" i="12"/>
  <c r="A41" i="12"/>
  <c r="B41" i="12"/>
  <c r="E41" i="12"/>
  <c r="D41" i="12"/>
  <c r="F41" i="12"/>
  <c r="P41" i="12"/>
  <c r="H41" i="12"/>
  <c r="G41" i="12"/>
  <c r="I41" i="12"/>
  <c r="Q41" i="12"/>
  <c r="J41" i="12"/>
  <c r="K41" i="12"/>
  <c r="L41" i="12"/>
  <c r="M41" i="12"/>
  <c r="R41" i="12"/>
  <c r="S41" i="12"/>
  <c r="A42" i="12"/>
  <c r="B42" i="12"/>
  <c r="E42" i="12"/>
  <c r="D42" i="12"/>
  <c r="F42" i="12"/>
  <c r="P42" i="12"/>
  <c r="H42" i="12"/>
  <c r="G42" i="12"/>
  <c r="I42" i="12"/>
  <c r="Q42" i="12"/>
  <c r="J42" i="12"/>
  <c r="K42" i="12"/>
  <c r="L42" i="12"/>
  <c r="M42" i="12"/>
  <c r="R42" i="12"/>
  <c r="S42" i="12"/>
  <c r="A43" i="12"/>
  <c r="B43" i="12"/>
  <c r="E43" i="12"/>
  <c r="D43" i="12"/>
  <c r="F43" i="12"/>
  <c r="P43" i="12"/>
  <c r="H43" i="12"/>
  <c r="G43" i="12"/>
  <c r="I43" i="12"/>
  <c r="Q43" i="12"/>
  <c r="J43" i="12"/>
  <c r="K43" i="12"/>
  <c r="L43" i="12"/>
  <c r="M43" i="12"/>
  <c r="R43" i="12"/>
  <c r="S43" i="12"/>
  <c r="A44" i="12"/>
  <c r="B44" i="12"/>
  <c r="E44" i="12"/>
  <c r="D44" i="12"/>
  <c r="F44" i="12"/>
  <c r="P44" i="12"/>
  <c r="H44" i="12"/>
  <c r="G44" i="12"/>
  <c r="I44" i="12"/>
  <c r="Q44" i="12"/>
  <c r="J44" i="12"/>
  <c r="K44" i="12"/>
  <c r="L44" i="12"/>
  <c r="M44" i="12"/>
  <c r="R44" i="12"/>
  <c r="S44" i="12"/>
  <c r="A45" i="12"/>
  <c r="B45" i="12"/>
  <c r="E45" i="12"/>
  <c r="D45" i="12"/>
  <c r="F45" i="12"/>
  <c r="P45" i="12"/>
  <c r="H45" i="12"/>
  <c r="G45" i="12"/>
  <c r="I45" i="12"/>
  <c r="Q45" i="12"/>
  <c r="J45" i="12"/>
  <c r="K45" i="12"/>
  <c r="L45" i="12"/>
  <c r="M45" i="12"/>
  <c r="R45" i="12"/>
  <c r="S45" i="12"/>
  <c r="A46" i="12"/>
  <c r="B46" i="12"/>
  <c r="E46" i="12"/>
  <c r="D46" i="12"/>
  <c r="F46" i="12"/>
  <c r="P46" i="12"/>
  <c r="H46" i="12"/>
  <c r="G46" i="12"/>
  <c r="I46" i="12"/>
  <c r="Q46" i="12"/>
  <c r="J46" i="12"/>
  <c r="K46" i="12"/>
  <c r="L46" i="12"/>
  <c r="M46" i="12"/>
  <c r="R46" i="12"/>
  <c r="S46" i="12"/>
  <c r="A47" i="12"/>
  <c r="B47" i="12"/>
  <c r="E47" i="12"/>
  <c r="D47" i="12"/>
  <c r="F47" i="12"/>
  <c r="P47" i="12"/>
  <c r="H47" i="12"/>
  <c r="G47" i="12"/>
  <c r="I47" i="12"/>
  <c r="Q47" i="12"/>
  <c r="J47" i="12"/>
  <c r="R47" i="12"/>
  <c r="S47" i="12"/>
  <c r="A48" i="12"/>
  <c r="B48" i="12"/>
  <c r="E48" i="12"/>
  <c r="D48" i="12"/>
  <c r="F48" i="12"/>
  <c r="P48" i="12"/>
  <c r="H48" i="12"/>
  <c r="G48" i="12"/>
  <c r="I48" i="12"/>
  <c r="Q48" i="12"/>
  <c r="J48" i="12"/>
  <c r="K48" i="12"/>
  <c r="L48" i="12"/>
  <c r="M48" i="12"/>
  <c r="R48" i="12"/>
  <c r="S48" i="12"/>
  <c r="A49" i="12"/>
  <c r="B49" i="12"/>
  <c r="E49" i="12"/>
  <c r="D49" i="12"/>
  <c r="F49" i="12"/>
  <c r="P49" i="12"/>
  <c r="H49" i="12"/>
  <c r="G49" i="12"/>
  <c r="I49" i="12"/>
  <c r="Q49" i="12"/>
  <c r="J49" i="12"/>
  <c r="K49" i="12"/>
  <c r="L49" i="12"/>
  <c r="M49" i="12"/>
  <c r="R49" i="12"/>
  <c r="S49" i="12"/>
  <c r="A50" i="12"/>
  <c r="B50" i="12"/>
  <c r="E50" i="12"/>
  <c r="D50" i="12"/>
  <c r="F50" i="12"/>
  <c r="P50" i="12"/>
  <c r="H50" i="12"/>
  <c r="G50" i="12"/>
  <c r="I50" i="12"/>
  <c r="Q50" i="12"/>
  <c r="J50" i="12"/>
  <c r="K50" i="12"/>
  <c r="L50" i="12"/>
  <c r="M50" i="12"/>
  <c r="R50" i="12"/>
  <c r="S50" i="12"/>
  <c r="A51" i="12"/>
  <c r="B51" i="12"/>
  <c r="E51" i="12"/>
  <c r="D51" i="12"/>
  <c r="F51" i="12"/>
  <c r="P51" i="12"/>
  <c r="H51" i="12"/>
  <c r="G51" i="12"/>
  <c r="I51" i="12"/>
  <c r="Q51" i="12"/>
  <c r="J51" i="12"/>
  <c r="K51" i="12"/>
  <c r="L51" i="12"/>
  <c r="M51" i="12"/>
  <c r="R51" i="12"/>
  <c r="S51" i="12"/>
  <c r="A52" i="12"/>
  <c r="B52" i="12"/>
  <c r="E52" i="12"/>
  <c r="D52" i="12"/>
  <c r="F52" i="12"/>
  <c r="P52" i="12"/>
  <c r="H52" i="12"/>
  <c r="G52" i="12"/>
  <c r="I52" i="12"/>
  <c r="Q52" i="12"/>
  <c r="J52" i="12"/>
  <c r="K52" i="12"/>
  <c r="L52" i="12"/>
  <c r="M52" i="12"/>
  <c r="R52" i="12"/>
  <c r="S52" i="12"/>
  <c r="A53" i="12"/>
  <c r="B53" i="12"/>
  <c r="E53" i="12"/>
  <c r="D53" i="12"/>
  <c r="F53" i="12"/>
  <c r="P53" i="12"/>
  <c r="H53" i="12"/>
  <c r="G53" i="12"/>
  <c r="I53" i="12"/>
  <c r="Q53" i="12"/>
  <c r="J53" i="12"/>
  <c r="K53" i="12"/>
  <c r="L53" i="12"/>
  <c r="M53" i="12"/>
  <c r="R53" i="12"/>
  <c r="S53" i="12"/>
  <c r="A54" i="12"/>
  <c r="B54" i="12"/>
  <c r="E54" i="12"/>
  <c r="D54" i="12"/>
  <c r="F54" i="12"/>
  <c r="P54" i="12"/>
  <c r="H54" i="12"/>
  <c r="G54" i="12"/>
  <c r="I54" i="12"/>
  <c r="Q54" i="12"/>
  <c r="J54" i="12"/>
  <c r="K54" i="12"/>
  <c r="L54" i="12"/>
  <c r="M54" i="12"/>
  <c r="R54" i="12"/>
  <c r="S54" i="12"/>
  <c r="A55" i="12"/>
  <c r="B55" i="12"/>
  <c r="E55" i="12"/>
  <c r="D55" i="12"/>
  <c r="F55" i="12"/>
  <c r="P55" i="12"/>
  <c r="H55" i="12"/>
  <c r="G55" i="12"/>
  <c r="I55" i="12"/>
  <c r="Q55" i="12"/>
  <c r="J55" i="12"/>
  <c r="K55" i="12"/>
  <c r="L55" i="12"/>
  <c r="M55" i="12"/>
  <c r="R55" i="12"/>
  <c r="S55" i="12"/>
  <c r="A56" i="12"/>
  <c r="B56" i="12"/>
  <c r="E56" i="12"/>
  <c r="D56" i="12"/>
  <c r="F56" i="12"/>
  <c r="P56" i="12"/>
  <c r="H56" i="12"/>
  <c r="G56" i="12"/>
  <c r="I56" i="12"/>
  <c r="Q56" i="12"/>
  <c r="J56" i="12"/>
  <c r="K56" i="12"/>
  <c r="L56" i="12"/>
  <c r="M56" i="12"/>
  <c r="R56" i="12"/>
  <c r="S56" i="12"/>
  <c r="A57" i="12"/>
  <c r="B57" i="12"/>
  <c r="E57" i="12"/>
  <c r="D57" i="12"/>
  <c r="F57" i="12"/>
  <c r="P57" i="12"/>
  <c r="H57" i="12"/>
  <c r="G57" i="12"/>
  <c r="I57" i="12"/>
  <c r="Q57" i="12"/>
  <c r="J57" i="12"/>
  <c r="K57" i="12"/>
  <c r="L57" i="12"/>
  <c r="M57" i="12"/>
  <c r="R57" i="12"/>
  <c r="S57" i="12"/>
  <c r="A58" i="12"/>
  <c r="B58" i="12"/>
  <c r="E58" i="12"/>
  <c r="D58" i="12"/>
  <c r="F58" i="12"/>
  <c r="P58" i="12"/>
  <c r="H58" i="12"/>
  <c r="G58" i="12"/>
  <c r="I58" i="12"/>
  <c r="Q58" i="12"/>
  <c r="J58" i="12"/>
  <c r="K58" i="12"/>
  <c r="L58" i="12"/>
  <c r="M58" i="12"/>
  <c r="R58" i="12"/>
  <c r="S58" i="12"/>
  <c r="A59" i="12"/>
  <c r="B59" i="12"/>
  <c r="E59" i="12"/>
  <c r="D59" i="12"/>
  <c r="F59" i="12"/>
  <c r="P59" i="12"/>
  <c r="H59" i="12"/>
  <c r="G59" i="12"/>
  <c r="I59" i="12"/>
  <c r="Q59" i="12"/>
  <c r="J59" i="12"/>
  <c r="K59" i="12"/>
  <c r="L59" i="12"/>
  <c r="M59" i="12"/>
  <c r="R59" i="12"/>
  <c r="S59" i="12"/>
  <c r="A60" i="12"/>
  <c r="B60" i="12"/>
  <c r="E60" i="12"/>
  <c r="D60" i="12"/>
  <c r="F60" i="12"/>
  <c r="P60" i="12"/>
  <c r="H60" i="12"/>
  <c r="G60" i="12"/>
  <c r="I60" i="12"/>
  <c r="Q60" i="12"/>
  <c r="J60" i="12"/>
  <c r="K60" i="12"/>
  <c r="L60" i="12"/>
  <c r="M60" i="12"/>
  <c r="R60" i="12"/>
  <c r="S60" i="12"/>
  <c r="A61" i="12"/>
  <c r="B61" i="12"/>
  <c r="E61" i="12"/>
  <c r="D61" i="12"/>
  <c r="F61" i="12"/>
  <c r="P61" i="12"/>
  <c r="H61" i="12"/>
  <c r="G61" i="12"/>
  <c r="I61" i="12"/>
  <c r="Q61" i="12"/>
  <c r="J61" i="12"/>
  <c r="K61" i="12"/>
  <c r="L61" i="12"/>
  <c r="M61" i="12"/>
  <c r="R61" i="12"/>
  <c r="S61" i="12"/>
  <c r="A62" i="12"/>
  <c r="B62" i="12"/>
  <c r="E62" i="12"/>
  <c r="D62" i="12"/>
  <c r="F62" i="12"/>
  <c r="P62" i="12"/>
  <c r="H62" i="12"/>
  <c r="G62" i="12"/>
  <c r="I62" i="12"/>
  <c r="Q62" i="12"/>
  <c r="J62" i="12"/>
  <c r="K62" i="12"/>
  <c r="L62" i="12"/>
  <c r="M62" i="12"/>
  <c r="R62" i="12"/>
  <c r="S62" i="12"/>
  <c r="A63" i="12"/>
  <c r="B63" i="12"/>
  <c r="E63" i="12"/>
  <c r="D63" i="12"/>
  <c r="F63" i="12"/>
  <c r="P63" i="12"/>
  <c r="H63" i="12"/>
  <c r="G63" i="12"/>
  <c r="I63" i="12"/>
  <c r="Q63" i="12"/>
  <c r="J63" i="12"/>
  <c r="K63" i="12"/>
  <c r="L63" i="12"/>
  <c r="M63" i="12"/>
  <c r="R63" i="12"/>
  <c r="S63" i="12"/>
  <c r="A64" i="12"/>
  <c r="B64" i="12"/>
  <c r="E64" i="12"/>
  <c r="D64" i="12"/>
  <c r="F64" i="12"/>
  <c r="P64" i="12"/>
  <c r="H64" i="12"/>
  <c r="G64" i="12"/>
  <c r="I64" i="12"/>
  <c r="Q64" i="12"/>
  <c r="J64" i="12"/>
  <c r="K64" i="12"/>
  <c r="L64" i="12"/>
  <c r="M64" i="12"/>
  <c r="R64" i="12"/>
  <c r="S64" i="12"/>
  <c r="A65" i="12"/>
  <c r="B65" i="12"/>
  <c r="E65" i="12"/>
  <c r="D65" i="12"/>
  <c r="F65" i="12"/>
  <c r="P65" i="12"/>
  <c r="H65" i="12"/>
  <c r="G65" i="12"/>
  <c r="I65" i="12"/>
  <c r="Q65" i="12"/>
  <c r="J65" i="12"/>
  <c r="K65" i="12"/>
  <c r="L65" i="12"/>
  <c r="M65" i="12"/>
  <c r="R65" i="12"/>
  <c r="S65" i="12"/>
  <c r="A66" i="12"/>
  <c r="B66" i="12"/>
  <c r="E66" i="12"/>
  <c r="D66" i="12"/>
  <c r="F66" i="12"/>
  <c r="P66" i="12"/>
  <c r="H66" i="12"/>
  <c r="G66" i="12"/>
  <c r="I66" i="12"/>
  <c r="Q66" i="12"/>
  <c r="J66" i="12"/>
  <c r="K66" i="12"/>
  <c r="L66" i="12"/>
  <c r="M66" i="12"/>
  <c r="R66" i="12"/>
  <c r="S66" i="12"/>
  <c r="A67" i="12"/>
  <c r="B67" i="12"/>
  <c r="E67" i="12"/>
  <c r="D67" i="12"/>
  <c r="F67" i="12"/>
  <c r="P67" i="12"/>
  <c r="H67" i="12"/>
  <c r="G67" i="12"/>
  <c r="I67" i="12"/>
  <c r="Q67" i="12"/>
  <c r="J67" i="12"/>
  <c r="K67" i="12"/>
  <c r="L67" i="12"/>
  <c r="M67" i="12"/>
  <c r="R67" i="12"/>
  <c r="S67" i="12"/>
  <c r="A68" i="12"/>
  <c r="B68" i="12"/>
  <c r="E68" i="12"/>
  <c r="D68" i="12"/>
  <c r="F68" i="12"/>
  <c r="P68" i="12"/>
  <c r="H68" i="12"/>
  <c r="G68" i="12"/>
  <c r="I68" i="12"/>
  <c r="Q68" i="12"/>
  <c r="J68" i="12"/>
  <c r="R68" i="12"/>
  <c r="S68" i="12"/>
  <c r="A69" i="12"/>
  <c r="B69" i="12"/>
  <c r="E69" i="12"/>
  <c r="D69" i="12"/>
  <c r="F69" i="12"/>
  <c r="P69" i="12"/>
  <c r="H69" i="12"/>
  <c r="G69" i="12"/>
  <c r="I69" i="12"/>
  <c r="Q69" i="12"/>
  <c r="J69" i="12"/>
  <c r="K69" i="12"/>
  <c r="L69" i="12"/>
  <c r="M69" i="12"/>
  <c r="R69" i="12"/>
  <c r="S69" i="12"/>
  <c r="A70" i="12"/>
  <c r="B70" i="12"/>
  <c r="E70" i="12"/>
  <c r="D70" i="12"/>
  <c r="F70" i="12"/>
  <c r="P70" i="12"/>
  <c r="H70" i="12"/>
  <c r="G70" i="12"/>
  <c r="I70" i="12"/>
  <c r="Q70" i="12"/>
  <c r="J70" i="12"/>
  <c r="K70" i="12"/>
  <c r="L70" i="12"/>
  <c r="M70" i="12"/>
  <c r="R70" i="12"/>
  <c r="S70" i="12"/>
  <c r="A71" i="12"/>
  <c r="B71" i="12"/>
  <c r="E71" i="12"/>
  <c r="D71" i="12"/>
  <c r="F71" i="12"/>
  <c r="P71" i="12"/>
  <c r="H71" i="12"/>
  <c r="G71" i="12"/>
  <c r="I71" i="12"/>
  <c r="Q71" i="12"/>
  <c r="J71" i="12"/>
  <c r="K71" i="12"/>
  <c r="L71" i="12"/>
  <c r="M71" i="12"/>
  <c r="R71" i="12"/>
  <c r="S71" i="12"/>
  <c r="A72" i="12"/>
  <c r="B72" i="12"/>
  <c r="E72" i="12"/>
  <c r="D72" i="12"/>
  <c r="F72" i="12"/>
  <c r="P72" i="12"/>
  <c r="H72" i="12"/>
  <c r="G72" i="12"/>
  <c r="I72" i="12"/>
  <c r="Q72" i="12"/>
  <c r="J72" i="12"/>
  <c r="R72" i="12"/>
  <c r="S72" i="12"/>
  <c r="A73" i="12"/>
  <c r="B73" i="12"/>
  <c r="E73" i="12"/>
  <c r="D73" i="12"/>
  <c r="F73" i="12"/>
  <c r="P73" i="12"/>
  <c r="H73" i="12"/>
  <c r="G73" i="12"/>
  <c r="I73" i="12"/>
  <c r="Q73" i="12"/>
  <c r="J73" i="12"/>
  <c r="K73" i="12"/>
  <c r="L73" i="12"/>
  <c r="M73" i="12"/>
  <c r="R73" i="12"/>
  <c r="S73" i="12"/>
  <c r="A74" i="12"/>
  <c r="B74" i="12"/>
  <c r="E74" i="12"/>
  <c r="D74" i="12"/>
  <c r="F74" i="12"/>
  <c r="P74" i="12"/>
  <c r="H74" i="12"/>
  <c r="G74" i="12"/>
  <c r="I74" i="12"/>
  <c r="Q74" i="12"/>
  <c r="J74" i="12"/>
  <c r="K74" i="12"/>
  <c r="L74" i="12"/>
  <c r="M74" i="12"/>
  <c r="R74" i="12"/>
  <c r="S74" i="12"/>
  <c r="A75" i="12"/>
  <c r="B75" i="12"/>
  <c r="E75" i="12"/>
  <c r="D75" i="12"/>
  <c r="F75" i="12"/>
  <c r="P75" i="12"/>
  <c r="H75" i="12"/>
  <c r="G75" i="12"/>
  <c r="I75" i="12"/>
  <c r="Q75" i="12"/>
  <c r="J75" i="12"/>
  <c r="K75" i="12"/>
  <c r="L75" i="12"/>
  <c r="M75" i="12"/>
  <c r="R75" i="12"/>
  <c r="S75" i="12"/>
  <c r="A76" i="12"/>
  <c r="B76" i="12"/>
  <c r="E76" i="12"/>
  <c r="D76" i="12"/>
  <c r="F76" i="12"/>
  <c r="P76" i="12"/>
  <c r="H76" i="12"/>
  <c r="G76" i="12"/>
  <c r="I76" i="12"/>
  <c r="Q76" i="12"/>
  <c r="J76" i="12"/>
  <c r="K76" i="12"/>
  <c r="L76" i="12"/>
  <c r="M76" i="12"/>
  <c r="R76" i="12"/>
  <c r="S76" i="12"/>
  <c r="A77" i="12"/>
  <c r="B77" i="12"/>
  <c r="E77" i="12"/>
  <c r="D77" i="12"/>
  <c r="F77" i="12"/>
  <c r="P77" i="12"/>
  <c r="H77" i="12"/>
  <c r="G77" i="12"/>
  <c r="I77" i="12"/>
  <c r="Q77" i="12"/>
  <c r="J77" i="12"/>
  <c r="K77" i="12"/>
  <c r="L77" i="12"/>
  <c r="M77" i="12"/>
  <c r="R77" i="12"/>
  <c r="S77" i="12"/>
  <c r="A78" i="12"/>
  <c r="B78" i="12"/>
  <c r="E78" i="12"/>
  <c r="D78" i="12"/>
  <c r="F78" i="12"/>
  <c r="P78" i="12"/>
  <c r="H78" i="12"/>
  <c r="G78" i="12"/>
  <c r="I78" i="12"/>
  <c r="Q78" i="12"/>
  <c r="J78" i="12"/>
  <c r="K78" i="12"/>
  <c r="L78" i="12"/>
  <c r="M78" i="12"/>
  <c r="R78" i="12"/>
  <c r="S78" i="12"/>
  <c r="A79" i="12"/>
  <c r="B79" i="12"/>
  <c r="E79" i="12"/>
  <c r="D79" i="12"/>
  <c r="F79" i="12"/>
  <c r="P79" i="12"/>
  <c r="H79" i="12"/>
  <c r="G79" i="12"/>
  <c r="I79" i="12"/>
  <c r="Q79" i="12"/>
  <c r="J79" i="12"/>
  <c r="K79" i="12"/>
  <c r="L79" i="12"/>
  <c r="M79" i="12"/>
  <c r="R79" i="12"/>
  <c r="S79" i="12"/>
  <c r="A80" i="12"/>
  <c r="B80" i="12"/>
  <c r="E80" i="12"/>
  <c r="D80" i="12"/>
  <c r="F80" i="12"/>
  <c r="P80" i="12"/>
  <c r="H80" i="12"/>
  <c r="G80" i="12"/>
  <c r="I80" i="12"/>
  <c r="Q80" i="12"/>
  <c r="J80" i="12"/>
  <c r="K80" i="12"/>
  <c r="L80" i="12"/>
  <c r="M80" i="12"/>
  <c r="R80" i="12"/>
  <c r="S80" i="12"/>
  <c r="A81" i="12"/>
  <c r="B81" i="12"/>
  <c r="E81" i="12"/>
  <c r="D81" i="12"/>
  <c r="F81" i="12"/>
  <c r="P81" i="12"/>
  <c r="H81" i="12"/>
  <c r="G81" i="12"/>
  <c r="I81" i="12"/>
  <c r="Q81" i="12"/>
  <c r="J81" i="12"/>
  <c r="K81" i="12"/>
  <c r="L81" i="12"/>
  <c r="M81" i="12"/>
  <c r="R81" i="12"/>
  <c r="S81" i="12"/>
  <c r="A82" i="12"/>
  <c r="B82" i="12"/>
  <c r="E82" i="12"/>
  <c r="D82" i="12"/>
  <c r="F82" i="12"/>
  <c r="P82" i="12"/>
  <c r="H82" i="12"/>
  <c r="G82" i="12"/>
  <c r="I82" i="12"/>
  <c r="Q82" i="12"/>
  <c r="J82" i="12"/>
  <c r="K82" i="12"/>
  <c r="L82" i="12"/>
  <c r="M82" i="12"/>
  <c r="R82" i="12"/>
  <c r="S82" i="12"/>
  <c r="A83" i="12"/>
  <c r="B83" i="12"/>
  <c r="E83" i="12"/>
  <c r="D83" i="12"/>
  <c r="F83" i="12"/>
  <c r="P83" i="12"/>
  <c r="H83" i="12"/>
  <c r="G83" i="12"/>
  <c r="I83" i="12"/>
  <c r="Q83" i="12"/>
  <c r="J83" i="12"/>
  <c r="K83" i="12"/>
  <c r="L83" i="12"/>
  <c r="M83" i="12"/>
  <c r="R83" i="12"/>
  <c r="S83" i="12"/>
  <c r="A84" i="12"/>
  <c r="B84" i="12"/>
  <c r="E84" i="12"/>
  <c r="D84" i="12"/>
  <c r="F84" i="12"/>
  <c r="P84" i="12"/>
  <c r="H84" i="12"/>
  <c r="G84" i="12"/>
  <c r="I84" i="12"/>
  <c r="Q84" i="12"/>
  <c r="J84" i="12"/>
  <c r="K84" i="12"/>
  <c r="L84" i="12"/>
  <c r="M84" i="12"/>
  <c r="R84" i="12"/>
  <c r="S84" i="12"/>
  <c r="A85" i="12"/>
  <c r="B85" i="12"/>
  <c r="E85" i="12"/>
  <c r="D85" i="12"/>
  <c r="F85" i="12"/>
  <c r="P85" i="12"/>
  <c r="H85" i="12"/>
  <c r="G85" i="12"/>
  <c r="I85" i="12"/>
  <c r="Q85" i="12"/>
  <c r="J85" i="12"/>
  <c r="R85" i="12"/>
  <c r="S85" i="12"/>
  <c r="A86" i="12"/>
  <c r="B86" i="12"/>
  <c r="E86" i="12"/>
  <c r="D86" i="12"/>
  <c r="F86" i="12"/>
  <c r="P86" i="12"/>
  <c r="H86" i="12"/>
  <c r="G86" i="12"/>
  <c r="I86" i="12"/>
  <c r="Q86" i="12"/>
  <c r="J86" i="12"/>
  <c r="R86" i="12"/>
  <c r="S86" i="12"/>
  <c r="A87" i="12"/>
  <c r="B87" i="12"/>
  <c r="E87" i="12"/>
  <c r="D87" i="12"/>
  <c r="F87" i="12"/>
  <c r="P87" i="12"/>
  <c r="H87" i="12"/>
  <c r="G87" i="12"/>
  <c r="I87" i="12"/>
  <c r="Q87" i="12"/>
  <c r="J87" i="12"/>
  <c r="R87" i="12"/>
  <c r="S87" i="12"/>
  <c r="A88" i="12"/>
  <c r="B88" i="12"/>
  <c r="E88" i="12"/>
  <c r="D88" i="12"/>
  <c r="F88" i="12"/>
  <c r="P88" i="12"/>
  <c r="H88" i="12"/>
  <c r="G88" i="12"/>
  <c r="I88" i="12"/>
  <c r="Q88" i="12"/>
  <c r="J88" i="12"/>
  <c r="R88" i="12"/>
  <c r="S88" i="12"/>
  <c r="A89" i="12"/>
  <c r="B89" i="12"/>
  <c r="E89" i="12"/>
  <c r="D89" i="12"/>
  <c r="F89" i="12"/>
  <c r="P89" i="12"/>
  <c r="H89" i="12"/>
  <c r="G89" i="12"/>
  <c r="I89" i="12"/>
  <c r="Q89" i="12"/>
  <c r="J89" i="12"/>
  <c r="R89" i="12"/>
  <c r="S89" i="12"/>
  <c r="A90" i="12"/>
  <c r="B90" i="12"/>
  <c r="E90" i="12"/>
  <c r="D90" i="12"/>
  <c r="F90" i="12"/>
  <c r="P90" i="12"/>
  <c r="H90" i="12"/>
  <c r="G90" i="12"/>
  <c r="I90" i="12"/>
  <c r="Q90" i="12"/>
  <c r="J90" i="12"/>
  <c r="R90" i="12"/>
  <c r="S90" i="12"/>
  <c r="A91" i="12"/>
  <c r="B91" i="12"/>
  <c r="E91" i="12"/>
  <c r="D91" i="12"/>
  <c r="F91" i="12"/>
  <c r="P91" i="12"/>
  <c r="H91" i="12"/>
  <c r="G91" i="12"/>
  <c r="I91" i="12"/>
  <c r="Q91" i="12"/>
  <c r="J91" i="12"/>
  <c r="R91" i="12"/>
  <c r="S91" i="12"/>
  <c r="A92" i="12"/>
  <c r="B92" i="12"/>
  <c r="E92" i="12"/>
  <c r="D92" i="12"/>
  <c r="F92" i="12"/>
  <c r="P92" i="12"/>
  <c r="H92" i="12"/>
  <c r="G92" i="12"/>
  <c r="I92" i="12"/>
  <c r="Q92" i="12"/>
  <c r="J92" i="12"/>
  <c r="R92" i="12"/>
  <c r="S92" i="12"/>
  <c r="A93" i="12"/>
  <c r="B93" i="12"/>
  <c r="E93" i="12"/>
  <c r="D93" i="12"/>
  <c r="F93" i="12"/>
  <c r="P93" i="12"/>
  <c r="H93" i="12"/>
  <c r="G93" i="12"/>
  <c r="I93" i="12"/>
  <c r="Q93" i="12"/>
  <c r="J93" i="12"/>
  <c r="R93" i="12"/>
  <c r="S93" i="12"/>
  <c r="A94" i="12"/>
  <c r="B94" i="12"/>
  <c r="E94" i="12"/>
  <c r="D94" i="12"/>
  <c r="F94" i="12"/>
  <c r="P94" i="12"/>
  <c r="H94" i="12"/>
  <c r="G94" i="12"/>
  <c r="I94" i="12"/>
  <c r="Q94" i="12"/>
  <c r="J94" i="12"/>
  <c r="R94" i="12"/>
  <c r="S94" i="12"/>
  <c r="A95" i="12"/>
  <c r="B95" i="12"/>
  <c r="E95" i="12"/>
  <c r="D95" i="12"/>
  <c r="F95" i="12"/>
  <c r="P95" i="12"/>
  <c r="H95" i="12"/>
  <c r="G95" i="12"/>
  <c r="I95" i="12"/>
  <c r="Q95" i="12"/>
  <c r="J95" i="12"/>
  <c r="R95" i="12"/>
  <c r="S95" i="12"/>
  <c r="A96" i="12"/>
  <c r="B96" i="12"/>
  <c r="E96" i="12"/>
  <c r="D96" i="12"/>
  <c r="F96" i="12"/>
  <c r="P96" i="12"/>
  <c r="H96" i="12"/>
  <c r="G96" i="12"/>
  <c r="I96" i="12"/>
  <c r="Q96" i="12"/>
  <c r="J96" i="12"/>
  <c r="R96" i="12"/>
  <c r="S96" i="12"/>
  <c r="A97" i="12"/>
  <c r="B97" i="12"/>
  <c r="E97" i="12"/>
  <c r="D97" i="12"/>
  <c r="F97" i="12"/>
  <c r="P97" i="12"/>
  <c r="H97" i="12"/>
  <c r="G97" i="12"/>
  <c r="I97" i="12"/>
  <c r="Q97" i="12"/>
  <c r="J97" i="12"/>
  <c r="R97" i="12"/>
  <c r="S97" i="12"/>
  <c r="A98" i="12"/>
  <c r="B98" i="12"/>
  <c r="E98" i="12"/>
  <c r="D98" i="12"/>
  <c r="F98" i="12"/>
  <c r="P98" i="12"/>
  <c r="H98" i="12"/>
  <c r="G98" i="12"/>
  <c r="I98" i="12"/>
  <c r="Q98" i="12"/>
  <c r="J98" i="12"/>
  <c r="R98" i="12"/>
  <c r="S98" i="12"/>
  <c r="A99" i="12"/>
  <c r="B99" i="12"/>
  <c r="E99" i="12"/>
  <c r="D99" i="12"/>
  <c r="F99" i="12"/>
  <c r="P99" i="12"/>
  <c r="H99" i="12"/>
  <c r="G99" i="12"/>
  <c r="I99" i="12"/>
  <c r="Q99" i="12"/>
  <c r="J99" i="12"/>
  <c r="R99" i="12"/>
  <c r="S99" i="12"/>
  <c r="A100" i="12"/>
  <c r="B100" i="12"/>
  <c r="E100" i="12"/>
  <c r="D100" i="12"/>
  <c r="F100" i="12"/>
  <c r="P100" i="12"/>
  <c r="H100" i="12"/>
  <c r="G100" i="12"/>
  <c r="I100" i="12"/>
  <c r="Q100" i="12"/>
  <c r="J100" i="12"/>
  <c r="R100" i="12"/>
  <c r="S100" i="12"/>
  <c r="A101" i="12"/>
  <c r="B101" i="12"/>
  <c r="E101" i="12"/>
  <c r="D101" i="12"/>
  <c r="F101" i="12"/>
  <c r="P101" i="12"/>
  <c r="H101" i="12"/>
  <c r="G101" i="12"/>
  <c r="I101" i="12"/>
  <c r="Q101" i="12"/>
  <c r="J101" i="12"/>
  <c r="R101" i="12"/>
  <c r="S101" i="12"/>
  <c r="A102" i="12"/>
  <c r="B102" i="12"/>
  <c r="E102" i="12"/>
  <c r="D102" i="12"/>
  <c r="F102" i="12"/>
  <c r="P102" i="12"/>
  <c r="H102" i="12"/>
  <c r="G102" i="12"/>
  <c r="I102" i="12"/>
  <c r="Q102" i="12"/>
  <c r="J102" i="12"/>
  <c r="R102" i="12"/>
  <c r="S102" i="12"/>
  <c r="A103" i="12"/>
  <c r="B103" i="12"/>
  <c r="E103" i="12"/>
  <c r="D103" i="12"/>
  <c r="F103" i="12"/>
  <c r="P103" i="12"/>
  <c r="H103" i="12"/>
  <c r="G103" i="12"/>
  <c r="I103" i="12"/>
  <c r="Q103" i="12"/>
  <c r="J103" i="12"/>
  <c r="R103" i="12"/>
  <c r="S103" i="12"/>
  <c r="A104" i="12"/>
  <c r="B104" i="12"/>
  <c r="E104" i="12"/>
  <c r="D104" i="12"/>
  <c r="F104" i="12"/>
  <c r="P104" i="12"/>
  <c r="H104" i="12"/>
  <c r="G104" i="12"/>
  <c r="I104" i="12"/>
  <c r="Q104" i="12"/>
  <c r="J104" i="12"/>
  <c r="R104" i="12"/>
  <c r="S104" i="12"/>
  <c r="A105" i="12"/>
  <c r="B105" i="12"/>
  <c r="E105" i="12"/>
  <c r="D105" i="12"/>
  <c r="F105" i="12"/>
  <c r="P105" i="12"/>
  <c r="H105" i="12"/>
  <c r="G105" i="12"/>
  <c r="I105" i="12"/>
  <c r="Q105" i="12"/>
  <c r="J105" i="12"/>
  <c r="R105" i="12"/>
  <c r="S105" i="12"/>
  <c r="A106" i="12"/>
  <c r="B106" i="12"/>
  <c r="E106" i="12"/>
  <c r="D106" i="12"/>
  <c r="F106" i="12"/>
  <c r="P106" i="12"/>
  <c r="H106" i="12"/>
  <c r="G106" i="12"/>
  <c r="I106" i="12"/>
  <c r="Q106" i="12"/>
  <c r="J106" i="12"/>
  <c r="R106" i="12"/>
  <c r="S106" i="12"/>
  <c r="A107" i="12"/>
  <c r="B107" i="12"/>
  <c r="E107" i="12"/>
  <c r="D107" i="12"/>
  <c r="F107" i="12"/>
  <c r="P107" i="12"/>
  <c r="H107" i="12"/>
  <c r="G107" i="12"/>
  <c r="I107" i="12"/>
  <c r="Q107" i="12"/>
  <c r="J107" i="12"/>
  <c r="R107" i="12"/>
  <c r="S107" i="12"/>
  <c r="A108" i="12"/>
  <c r="B108" i="12"/>
  <c r="E108" i="12"/>
  <c r="D108" i="12"/>
  <c r="F108" i="12"/>
  <c r="P108" i="12"/>
  <c r="H108" i="12"/>
  <c r="G108" i="12"/>
  <c r="I108" i="12"/>
  <c r="Q108" i="12"/>
  <c r="J108" i="12"/>
  <c r="R108" i="12"/>
  <c r="S108" i="12"/>
  <c r="A109" i="12"/>
  <c r="B109" i="12"/>
  <c r="E109" i="12"/>
  <c r="D109" i="12"/>
  <c r="F109" i="12"/>
  <c r="P109" i="12"/>
  <c r="H109" i="12"/>
  <c r="G109" i="12"/>
  <c r="I109" i="12"/>
  <c r="Q109" i="12"/>
  <c r="J109" i="12"/>
  <c r="K109" i="12"/>
  <c r="L109" i="12"/>
  <c r="M109" i="12"/>
  <c r="R109" i="12"/>
  <c r="S109" i="12"/>
  <c r="A110" i="12"/>
  <c r="B110" i="12"/>
  <c r="E110" i="12"/>
  <c r="D110" i="12"/>
  <c r="F110" i="12"/>
  <c r="P110" i="12"/>
  <c r="H110" i="12"/>
  <c r="G110" i="12"/>
  <c r="I110" i="12"/>
  <c r="Q110" i="12"/>
  <c r="J110" i="12"/>
  <c r="R110" i="12"/>
  <c r="S110" i="12"/>
  <c r="A111" i="12"/>
  <c r="B111" i="12"/>
  <c r="E111" i="12"/>
  <c r="D111" i="12"/>
  <c r="F111" i="12"/>
  <c r="P111" i="12"/>
  <c r="H111" i="12"/>
  <c r="G111" i="12"/>
  <c r="I111" i="12"/>
  <c r="Q111" i="12"/>
  <c r="J111" i="12"/>
  <c r="R111" i="12"/>
  <c r="S111" i="12"/>
  <c r="A112" i="12"/>
  <c r="B112" i="12"/>
  <c r="E112" i="12"/>
  <c r="D112" i="12"/>
  <c r="F112" i="12"/>
  <c r="P112" i="12"/>
  <c r="H112" i="12"/>
  <c r="G112" i="12"/>
  <c r="I112" i="12"/>
  <c r="Q112" i="12"/>
  <c r="J112" i="12"/>
  <c r="R112" i="12"/>
  <c r="S112" i="12"/>
  <c r="A113" i="12"/>
  <c r="B113" i="12"/>
  <c r="E113" i="12"/>
  <c r="D113" i="12"/>
  <c r="F113" i="12"/>
  <c r="P113" i="12"/>
  <c r="H113" i="12"/>
  <c r="G113" i="12"/>
  <c r="I113" i="12"/>
  <c r="Q113" i="12"/>
  <c r="J113" i="12"/>
  <c r="R113" i="12"/>
  <c r="S113" i="12"/>
  <c r="A114" i="12"/>
  <c r="B114" i="12"/>
  <c r="E114" i="12"/>
  <c r="D114" i="12"/>
  <c r="F114" i="12"/>
  <c r="P114" i="12"/>
  <c r="H114" i="12"/>
  <c r="G114" i="12"/>
  <c r="I114" i="12"/>
  <c r="Q114" i="12"/>
  <c r="J114" i="12"/>
  <c r="R114" i="12"/>
  <c r="S114" i="12"/>
  <c r="A115" i="12"/>
  <c r="B115" i="12"/>
  <c r="E115" i="12"/>
  <c r="D115" i="12"/>
  <c r="F115" i="12"/>
  <c r="P115" i="12"/>
  <c r="H115" i="12"/>
  <c r="G115" i="12"/>
  <c r="I115" i="12"/>
  <c r="Q115" i="12"/>
  <c r="J115" i="12"/>
  <c r="R115" i="12"/>
  <c r="S115" i="12"/>
  <c r="A116" i="12"/>
  <c r="B116" i="12"/>
  <c r="E116" i="12"/>
  <c r="D116" i="12"/>
  <c r="F116" i="12"/>
  <c r="P116" i="12"/>
  <c r="H116" i="12"/>
  <c r="G116" i="12"/>
  <c r="I116" i="12"/>
  <c r="Q116" i="12"/>
  <c r="J116" i="12"/>
  <c r="R116" i="12"/>
  <c r="S116" i="12"/>
  <c r="A117" i="12"/>
  <c r="B117" i="12"/>
  <c r="E117" i="12"/>
  <c r="D117" i="12"/>
  <c r="F117" i="12"/>
  <c r="P117" i="12"/>
  <c r="H117" i="12"/>
  <c r="G117" i="12"/>
  <c r="I117" i="12"/>
  <c r="Q117" i="12"/>
  <c r="J117" i="12"/>
  <c r="K117" i="12"/>
  <c r="L117" i="12"/>
  <c r="M117" i="12"/>
  <c r="R117" i="12"/>
  <c r="S117" i="12"/>
  <c r="A118" i="12"/>
  <c r="B118" i="12"/>
  <c r="E118" i="12"/>
  <c r="D118" i="12"/>
  <c r="F118" i="12"/>
  <c r="P118" i="12"/>
  <c r="H118" i="12"/>
  <c r="G118" i="12"/>
  <c r="I118" i="12"/>
  <c r="Q118" i="12"/>
  <c r="J118" i="12"/>
  <c r="R118" i="12"/>
  <c r="S118" i="12"/>
  <c r="A119" i="12"/>
  <c r="B119" i="12"/>
  <c r="E119" i="12"/>
  <c r="D119" i="12"/>
  <c r="F119" i="12"/>
  <c r="P119" i="12"/>
  <c r="H119" i="12"/>
  <c r="G119" i="12"/>
  <c r="I119" i="12"/>
  <c r="Q119" i="12"/>
  <c r="J119" i="12"/>
  <c r="R119" i="12"/>
  <c r="S119" i="12"/>
  <c r="A120" i="12"/>
  <c r="B120" i="12"/>
  <c r="E120" i="12"/>
  <c r="D120" i="12"/>
  <c r="F120" i="12"/>
  <c r="P120" i="12"/>
  <c r="H120" i="12"/>
  <c r="G120" i="12"/>
  <c r="I120" i="12"/>
  <c r="Q120" i="12"/>
  <c r="J120" i="12"/>
  <c r="R120" i="12"/>
  <c r="S120" i="12"/>
  <c r="A121" i="12"/>
  <c r="B121" i="12"/>
  <c r="E121" i="12"/>
  <c r="D121" i="12"/>
  <c r="F121" i="12"/>
  <c r="P121" i="12"/>
  <c r="H121" i="12"/>
  <c r="G121" i="12"/>
  <c r="I121" i="12"/>
  <c r="Q121" i="12"/>
  <c r="J121" i="12"/>
  <c r="R121" i="12"/>
  <c r="S121" i="12"/>
  <c r="A122" i="12"/>
  <c r="B122" i="12"/>
  <c r="E122" i="12"/>
  <c r="D122" i="12"/>
  <c r="F122" i="12"/>
  <c r="P122" i="12"/>
  <c r="H122" i="12"/>
  <c r="G122" i="12"/>
  <c r="I122" i="12"/>
  <c r="Q122" i="12"/>
  <c r="J122" i="12"/>
  <c r="R122" i="12"/>
  <c r="S122" i="12"/>
  <c r="A123" i="12"/>
  <c r="B123" i="12"/>
  <c r="E123" i="12"/>
  <c r="D123" i="12"/>
  <c r="F123" i="12"/>
  <c r="P123" i="12"/>
  <c r="H123" i="12"/>
  <c r="G123" i="12"/>
  <c r="I123" i="12"/>
  <c r="Q123" i="12"/>
  <c r="J123" i="12"/>
  <c r="R123" i="12"/>
  <c r="S123" i="12"/>
  <c r="A124" i="12"/>
  <c r="B124" i="12"/>
  <c r="E124" i="12"/>
  <c r="D124" i="12"/>
  <c r="F124" i="12"/>
  <c r="P124" i="12"/>
  <c r="H124" i="12"/>
  <c r="G124" i="12"/>
  <c r="I124" i="12"/>
  <c r="Q124" i="12"/>
  <c r="J124" i="12"/>
  <c r="R124" i="12"/>
  <c r="S124" i="12"/>
  <c r="A125" i="12"/>
  <c r="B125" i="12"/>
  <c r="E125" i="12"/>
  <c r="D125" i="12"/>
  <c r="F125" i="12"/>
  <c r="P125" i="12"/>
  <c r="H125" i="12"/>
  <c r="G125" i="12"/>
  <c r="I125" i="12"/>
  <c r="Q125" i="12"/>
  <c r="J125" i="12"/>
  <c r="R125" i="12"/>
  <c r="S125" i="12"/>
  <c r="A126" i="12"/>
  <c r="B126" i="12"/>
  <c r="E126" i="12"/>
  <c r="D126" i="12"/>
  <c r="F126" i="12"/>
  <c r="P126" i="12"/>
  <c r="H126" i="12"/>
  <c r="G126" i="12"/>
  <c r="I126" i="12"/>
  <c r="Q126" i="12"/>
  <c r="J126" i="12"/>
  <c r="R126" i="12"/>
  <c r="S126" i="12"/>
  <c r="A127" i="12"/>
  <c r="B127" i="12"/>
  <c r="E127" i="12"/>
  <c r="D127" i="12"/>
  <c r="F127" i="12"/>
  <c r="P127" i="12"/>
  <c r="H127" i="12"/>
  <c r="G127" i="12"/>
  <c r="I127" i="12"/>
  <c r="Q127" i="12"/>
  <c r="J127" i="12"/>
  <c r="R127" i="12"/>
  <c r="S127" i="12"/>
  <c r="A128" i="12"/>
  <c r="B128" i="12"/>
  <c r="E128" i="12"/>
  <c r="D128" i="12"/>
  <c r="F128" i="12"/>
  <c r="P128" i="12"/>
  <c r="H128" i="12"/>
  <c r="G128" i="12"/>
  <c r="I128" i="12"/>
  <c r="Q128" i="12"/>
  <c r="J128" i="12"/>
  <c r="R128" i="12"/>
  <c r="S128" i="12"/>
  <c r="A129" i="12"/>
  <c r="B129" i="12"/>
  <c r="E129" i="12"/>
  <c r="D129" i="12"/>
  <c r="F129" i="12"/>
  <c r="P129" i="12"/>
  <c r="H129" i="12"/>
  <c r="G129" i="12"/>
  <c r="I129" i="12"/>
  <c r="Q129" i="12"/>
  <c r="J129" i="12"/>
  <c r="R129" i="12"/>
  <c r="S129" i="12"/>
  <c r="A130" i="12"/>
  <c r="B130" i="12"/>
  <c r="E130" i="12"/>
  <c r="D130" i="12"/>
  <c r="F130" i="12"/>
  <c r="P130" i="12"/>
  <c r="H130" i="12"/>
  <c r="G130" i="12"/>
  <c r="I130" i="12"/>
  <c r="Q130" i="12"/>
  <c r="J130" i="12"/>
  <c r="R130" i="12"/>
  <c r="S130" i="12"/>
  <c r="A131" i="12"/>
  <c r="B131" i="12"/>
  <c r="E131" i="12"/>
  <c r="D131" i="12"/>
  <c r="F131" i="12"/>
  <c r="P131" i="12"/>
  <c r="H131" i="12"/>
  <c r="G131" i="12"/>
  <c r="I131" i="12"/>
  <c r="Q131" i="12"/>
  <c r="J131" i="12"/>
  <c r="R131" i="12"/>
  <c r="S131" i="12"/>
  <c r="A132" i="12"/>
  <c r="B132" i="12"/>
  <c r="E132" i="12"/>
  <c r="D132" i="12"/>
  <c r="F132" i="12"/>
  <c r="P132" i="12"/>
  <c r="H132" i="12"/>
  <c r="G132" i="12"/>
  <c r="I132" i="12"/>
  <c r="Q132" i="12"/>
  <c r="J132" i="12"/>
  <c r="R132" i="12"/>
  <c r="S132" i="12"/>
  <c r="A133" i="12"/>
  <c r="B133" i="12"/>
  <c r="E133" i="12"/>
  <c r="D133" i="12"/>
  <c r="F133" i="12"/>
  <c r="P133" i="12"/>
  <c r="H133" i="12"/>
  <c r="G133" i="12"/>
  <c r="I133" i="12"/>
  <c r="Q133" i="12"/>
  <c r="J133" i="12"/>
  <c r="R133" i="12"/>
  <c r="S133" i="12"/>
  <c r="A134" i="12"/>
  <c r="B134" i="12"/>
  <c r="E134" i="12"/>
  <c r="D134" i="12"/>
  <c r="F134" i="12"/>
  <c r="P134" i="12"/>
  <c r="H134" i="12"/>
  <c r="G134" i="12"/>
  <c r="I134" i="12"/>
  <c r="Q134" i="12"/>
  <c r="J134" i="12"/>
  <c r="R134" i="12"/>
  <c r="S134" i="12"/>
  <c r="A135" i="12"/>
  <c r="B135" i="12"/>
  <c r="E135" i="12"/>
  <c r="D135" i="12"/>
  <c r="F135" i="12"/>
  <c r="P135" i="12"/>
  <c r="H135" i="12"/>
  <c r="G135" i="12"/>
  <c r="I135" i="12"/>
  <c r="Q135" i="12"/>
  <c r="J135" i="12"/>
  <c r="R135" i="12"/>
  <c r="S135" i="12"/>
  <c r="A136" i="12"/>
  <c r="B136" i="12"/>
  <c r="E136" i="12"/>
  <c r="D136" i="12"/>
  <c r="F136" i="12"/>
  <c r="P136" i="12"/>
  <c r="H136" i="12"/>
  <c r="G136" i="12"/>
  <c r="I136" i="12"/>
  <c r="Q136" i="12"/>
  <c r="J136" i="12"/>
  <c r="R136" i="12"/>
  <c r="S136" i="12"/>
  <c r="A137" i="12"/>
  <c r="B137" i="12"/>
  <c r="E137" i="12"/>
  <c r="D137" i="12"/>
  <c r="F137" i="12"/>
  <c r="P137" i="12"/>
  <c r="H137" i="12"/>
  <c r="G137" i="12"/>
  <c r="I137" i="12"/>
  <c r="Q137" i="12"/>
  <c r="J137" i="12"/>
  <c r="R137" i="12"/>
  <c r="S137" i="12"/>
  <c r="A138" i="12"/>
  <c r="B138" i="12"/>
  <c r="E138" i="12"/>
  <c r="D138" i="12"/>
  <c r="F138" i="12"/>
  <c r="P138" i="12"/>
  <c r="H138" i="12"/>
  <c r="G138" i="12"/>
  <c r="I138" i="12"/>
  <c r="Q138" i="12"/>
  <c r="J138" i="12"/>
  <c r="R138" i="12"/>
  <c r="S138" i="12"/>
  <c r="A139" i="12"/>
  <c r="B139" i="12"/>
  <c r="E139" i="12"/>
  <c r="D139" i="12"/>
  <c r="F139" i="12"/>
  <c r="P139" i="12"/>
  <c r="H139" i="12"/>
  <c r="G139" i="12"/>
  <c r="I139" i="12"/>
  <c r="Q139" i="12"/>
  <c r="J139" i="12"/>
  <c r="R139" i="12"/>
  <c r="S139" i="12"/>
  <c r="A140" i="12"/>
  <c r="B140" i="12"/>
  <c r="E140" i="12"/>
  <c r="D140" i="12"/>
  <c r="F140" i="12"/>
  <c r="P140" i="12"/>
  <c r="H140" i="12"/>
  <c r="G140" i="12"/>
  <c r="I140" i="12"/>
  <c r="Q140" i="12"/>
  <c r="J140" i="12"/>
  <c r="R140" i="12"/>
  <c r="S140" i="12"/>
  <c r="A141" i="12"/>
  <c r="B141" i="12"/>
  <c r="E141" i="12"/>
  <c r="D141" i="12"/>
  <c r="F141" i="12"/>
  <c r="P141" i="12"/>
  <c r="H141" i="12"/>
  <c r="G141" i="12"/>
  <c r="I141" i="12"/>
  <c r="Q141" i="12"/>
  <c r="J141" i="12"/>
  <c r="R141" i="12"/>
  <c r="S141" i="12"/>
  <c r="A142" i="12"/>
  <c r="B142" i="12"/>
  <c r="E142" i="12"/>
  <c r="D142" i="12"/>
  <c r="F142" i="12"/>
  <c r="P142" i="12"/>
  <c r="H142" i="12"/>
  <c r="G142" i="12"/>
  <c r="I142" i="12"/>
  <c r="Q142" i="12"/>
  <c r="J142" i="12"/>
  <c r="R142" i="12"/>
  <c r="S142" i="12"/>
  <c r="A143" i="12"/>
  <c r="B143" i="12"/>
  <c r="E143" i="12"/>
  <c r="D143" i="12"/>
  <c r="F143" i="12"/>
  <c r="P143" i="12"/>
  <c r="H143" i="12"/>
  <c r="G143" i="12"/>
  <c r="I143" i="12"/>
  <c r="Q143" i="12"/>
  <c r="J143" i="12"/>
  <c r="R143" i="12"/>
  <c r="S143" i="12"/>
  <c r="A144" i="12"/>
  <c r="B144" i="12"/>
  <c r="E144" i="12"/>
  <c r="D144" i="12"/>
  <c r="F144" i="12"/>
  <c r="P144" i="12"/>
  <c r="H144" i="12"/>
  <c r="G144" i="12"/>
  <c r="I144" i="12"/>
  <c r="Q144" i="12"/>
  <c r="J144" i="12"/>
  <c r="R144" i="12"/>
  <c r="S144" i="12"/>
  <c r="A145" i="12"/>
  <c r="B145" i="12"/>
  <c r="E145" i="12"/>
  <c r="D145" i="12"/>
  <c r="F145" i="12"/>
  <c r="P145" i="12"/>
  <c r="H145" i="12"/>
  <c r="G145" i="12"/>
  <c r="I145" i="12"/>
  <c r="Q145" i="12"/>
  <c r="J145" i="12"/>
  <c r="R145" i="12"/>
  <c r="S145" i="12"/>
  <c r="A146" i="12"/>
  <c r="B146" i="12"/>
  <c r="E146" i="12"/>
  <c r="D146" i="12"/>
  <c r="F146" i="12"/>
  <c r="P146" i="12"/>
  <c r="H146" i="12"/>
  <c r="G146" i="12"/>
  <c r="I146" i="12"/>
  <c r="Q146" i="12"/>
  <c r="J146" i="12"/>
  <c r="R146" i="12"/>
  <c r="S146" i="12"/>
  <c r="A147" i="12"/>
  <c r="B147" i="12"/>
  <c r="E147" i="12"/>
  <c r="D147" i="12"/>
  <c r="F147" i="12"/>
  <c r="P147" i="12"/>
  <c r="H147" i="12"/>
  <c r="G147" i="12"/>
  <c r="I147" i="12"/>
  <c r="Q147" i="12"/>
  <c r="J147" i="12"/>
  <c r="R147" i="12"/>
  <c r="S147" i="12"/>
  <c r="A148" i="12"/>
  <c r="B148" i="12"/>
  <c r="E148" i="12"/>
  <c r="D148" i="12"/>
  <c r="F148" i="12"/>
  <c r="P148" i="12"/>
  <c r="H148" i="12"/>
  <c r="G148" i="12"/>
  <c r="I148" i="12"/>
  <c r="Q148" i="12"/>
  <c r="J148" i="12"/>
  <c r="R148" i="12"/>
  <c r="S148" i="12"/>
  <c r="A149" i="12"/>
  <c r="B149" i="12"/>
  <c r="E149" i="12"/>
  <c r="D149" i="12"/>
  <c r="F149" i="12"/>
  <c r="P149" i="12"/>
  <c r="H149" i="12"/>
  <c r="G149" i="12"/>
  <c r="I149" i="12"/>
  <c r="Q149" i="12"/>
  <c r="J149" i="12"/>
  <c r="R149" i="12"/>
  <c r="S149" i="12"/>
  <c r="A150" i="12"/>
  <c r="B150" i="12"/>
  <c r="E150" i="12"/>
  <c r="D150" i="12"/>
  <c r="F150" i="12"/>
  <c r="P150" i="12"/>
  <c r="H150" i="12"/>
  <c r="G150" i="12"/>
  <c r="I150" i="12"/>
  <c r="Q150" i="12"/>
  <c r="J150" i="12"/>
  <c r="R150" i="12"/>
  <c r="S150" i="12"/>
  <c r="A151" i="12"/>
  <c r="B151" i="12"/>
  <c r="E151" i="12"/>
  <c r="D151" i="12"/>
  <c r="F151" i="12"/>
  <c r="P151" i="12"/>
  <c r="H151" i="12"/>
  <c r="G151" i="12"/>
  <c r="I151" i="12"/>
  <c r="Q151" i="12"/>
  <c r="J151" i="12"/>
  <c r="R151" i="12"/>
  <c r="S151" i="12"/>
  <c r="A152" i="12"/>
  <c r="B152" i="12"/>
  <c r="E152" i="12"/>
  <c r="D152" i="12"/>
  <c r="F152" i="12"/>
  <c r="P152" i="12"/>
  <c r="H152" i="12"/>
  <c r="G152" i="12"/>
  <c r="I152" i="12"/>
  <c r="Q152" i="12"/>
  <c r="J152" i="12"/>
  <c r="R152" i="12"/>
  <c r="S152" i="12"/>
  <c r="A153" i="12"/>
  <c r="B153" i="12"/>
  <c r="E153" i="12"/>
  <c r="D153" i="12"/>
  <c r="F153" i="12"/>
  <c r="P153" i="12"/>
  <c r="H153" i="12"/>
  <c r="G153" i="12"/>
  <c r="I153" i="12"/>
  <c r="Q153" i="12"/>
  <c r="J153" i="12"/>
  <c r="R153" i="12"/>
  <c r="S153" i="12"/>
  <c r="A154" i="12"/>
  <c r="B154" i="12"/>
  <c r="E154" i="12"/>
  <c r="D154" i="12"/>
  <c r="F154" i="12"/>
  <c r="P154" i="12"/>
  <c r="H154" i="12"/>
  <c r="G154" i="12"/>
  <c r="I154" i="12"/>
  <c r="Q154" i="12"/>
  <c r="J154" i="12"/>
  <c r="R154" i="12"/>
  <c r="S154" i="12"/>
  <c r="A155" i="12"/>
  <c r="B155" i="12"/>
  <c r="E155" i="12"/>
  <c r="D155" i="12"/>
  <c r="F155" i="12"/>
  <c r="P155" i="12"/>
  <c r="H155" i="12"/>
  <c r="G155" i="12"/>
  <c r="I155" i="12"/>
  <c r="Q155" i="12"/>
  <c r="J155" i="12"/>
  <c r="R155" i="12"/>
  <c r="S155" i="12"/>
  <c r="A156" i="12"/>
  <c r="B156" i="12"/>
  <c r="E156" i="12"/>
  <c r="D156" i="12"/>
  <c r="F156" i="12"/>
  <c r="P156" i="12"/>
  <c r="H156" i="12"/>
  <c r="G156" i="12"/>
  <c r="I156" i="12"/>
  <c r="Q156" i="12"/>
  <c r="J156" i="12"/>
  <c r="R156" i="12"/>
  <c r="S156" i="12"/>
  <c r="A157" i="12"/>
  <c r="B157" i="12"/>
  <c r="E157" i="12"/>
  <c r="D157" i="12"/>
  <c r="F157" i="12"/>
  <c r="P157" i="12"/>
  <c r="H157" i="12"/>
  <c r="G157" i="12"/>
  <c r="I157" i="12"/>
  <c r="Q157" i="12"/>
  <c r="J157" i="12"/>
  <c r="R157" i="12"/>
  <c r="S157" i="12"/>
  <c r="A158" i="12"/>
  <c r="B158" i="12"/>
  <c r="E158" i="12"/>
  <c r="D158" i="12"/>
  <c r="F158" i="12"/>
  <c r="P158" i="12"/>
  <c r="H158" i="12"/>
  <c r="G158" i="12"/>
  <c r="I158" i="12"/>
  <c r="Q158" i="12"/>
  <c r="J158" i="12"/>
  <c r="R158" i="12"/>
  <c r="S158" i="12"/>
  <c r="A159" i="12"/>
  <c r="B159" i="12"/>
  <c r="E159" i="12"/>
  <c r="D159" i="12"/>
  <c r="F159" i="12"/>
  <c r="P159" i="12"/>
  <c r="H159" i="12"/>
  <c r="G159" i="12"/>
  <c r="I159" i="12"/>
  <c r="Q159" i="12"/>
  <c r="J159" i="12"/>
  <c r="R159" i="12"/>
  <c r="S159" i="12"/>
  <c r="A160" i="12"/>
  <c r="B160" i="12"/>
  <c r="E160" i="12"/>
  <c r="D160" i="12"/>
  <c r="F160" i="12"/>
  <c r="P160" i="12"/>
  <c r="H160" i="12"/>
  <c r="G160" i="12"/>
  <c r="I160" i="12"/>
  <c r="Q160" i="12"/>
  <c r="J160" i="12"/>
  <c r="R160" i="12"/>
  <c r="S160" i="12"/>
  <c r="A161" i="12"/>
  <c r="B161" i="12"/>
  <c r="E161" i="12"/>
  <c r="D161" i="12"/>
  <c r="F161" i="12"/>
  <c r="P161" i="12"/>
  <c r="H161" i="12"/>
  <c r="G161" i="12"/>
  <c r="I161" i="12"/>
  <c r="Q161" i="12"/>
  <c r="J161" i="12"/>
  <c r="R161" i="12"/>
  <c r="S161" i="12"/>
  <c r="A162" i="12"/>
  <c r="B162" i="12"/>
  <c r="E162" i="12"/>
  <c r="D162" i="12"/>
  <c r="F162" i="12"/>
  <c r="P162" i="12"/>
  <c r="H162" i="12"/>
  <c r="G162" i="12"/>
  <c r="I162" i="12"/>
  <c r="Q162" i="12"/>
  <c r="J162" i="12"/>
  <c r="R162" i="12"/>
  <c r="S162" i="12"/>
  <c r="A163" i="12"/>
  <c r="B163" i="12"/>
  <c r="E163" i="12"/>
  <c r="D163" i="12"/>
  <c r="F163" i="12"/>
  <c r="P163" i="12"/>
  <c r="H163" i="12"/>
  <c r="G163" i="12"/>
  <c r="I163" i="12"/>
  <c r="Q163" i="12"/>
  <c r="J163" i="12"/>
  <c r="R163" i="12"/>
  <c r="S163" i="12"/>
  <c r="A164" i="12"/>
  <c r="B164" i="12"/>
  <c r="E164" i="12"/>
  <c r="D164" i="12"/>
  <c r="F164" i="12"/>
  <c r="P164" i="12"/>
  <c r="H164" i="12"/>
  <c r="G164" i="12"/>
  <c r="I164" i="12"/>
  <c r="Q164" i="12"/>
  <c r="J164" i="12"/>
  <c r="R164" i="12"/>
  <c r="S164" i="12"/>
  <c r="A165" i="12"/>
  <c r="B165" i="12"/>
  <c r="E165" i="12"/>
  <c r="D165" i="12"/>
  <c r="F165" i="12"/>
  <c r="P165" i="12"/>
  <c r="H165" i="12"/>
  <c r="G165" i="12"/>
  <c r="I165" i="12"/>
  <c r="Q165" i="12"/>
  <c r="J165" i="12"/>
  <c r="R165" i="12"/>
  <c r="S165" i="12"/>
  <c r="A166" i="12"/>
  <c r="B166" i="12"/>
  <c r="E166" i="12"/>
  <c r="D166" i="12"/>
  <c r="F166" i="12"/>
  <c r="P166" i="12"/>
  <c r="H166" i="12"/>
  <c r="G166" i="12"/>
  <c r="I166" i="12"/>
  <c r="Q166" i="12"/>
  <c r="J166" i="12"/>
  <c r="R166" i="12"/>
  <c r="S166" i="12"/>
  <c r="A167" i="12"/>
  <c r="B167" i="12"/>
  <c r="E167" i="12"/>
  <c r="D167" i="12"/>
  <c r="F167" i="12"/>
  <c r="P167" i="12"/>
  <c r="H167" i="12"/>
  <c r="G167" i="12"/>
  <c r="I167" i="12"/>
  <c r="Q167" i="12"/>
  <c r="J167" i="12"/>
  <c r="R167" i="12"/>
  <c r="S167" i="12"/>
  <c r="A168" i="12"/>
  <c r="B168" i="12"/>
  <c r="E168" i="12"/>
  <c r="D168" i="12"/>
  <c r="F168" i="12"/>
  <c r="P168" i="12"/>
  <c r="H168" i="12"/>
  <c r="G168" i="12"/>
  <c r="I168" i="12"/>
  <c r="Q168" i="12"/>
  <c r="J168" i="12"/>
  <c r="R168" i="12"/>
  <c r="S168" i="12"/>
  <c r="A169" i="12"/>
  <c r="B169" i="12"/>
  <c r="E169" i="12"/>
  <c r="D169" i="12"/>
  <c r="F169" i="12"/>
  <c r="P169" i="12"/>
  <c r="H169" i="12"/>
  <c r="G169" i="12"/>
  <c r="I169" i="12"/>
  <c r="Q169" i="12"/>
  <c r="J169" i="12"/>
  <c r="R169" i="12"/>
  <c r="S169" i="12"/>
  <c r="A170" i="12"/>
  <c r="B170" i="12"/>
  <c r="E170" i="12"/>
  <c r="D170" i="12"/>
  <c r="F170" i="12"/>
  <c r="P170" i="12"/>
  <c r="H170" i="12"/>
  <c r="G170" i="12"/>
  <c r="I170" i="12"/>
  <c r="Q170" i="12"/>
  <c r="J170" i="12"/>
  <c r="R170" i="12"/>
  <c r="S170" i="12"/>
  <c r="A171" i="12"/>
  <c r="B171" i="12"/>
  <c r="E171" i="12"/>
  <c r="D171" i="12"/>
  <c r="F171" i="12"/>
  <c r="P171" i="12"/>
  <c r="H171" i="12"/>
  <c r="G171" i="12"/>
  <c r="I171" i="12"/>
  <c r="Q171" i="12"/>
  <c r="J171" i="12"/>
  <c r="R171" i="12"/>
  <c r="S171" i="12"/>
  <c r="A172" i="12"/>
  <c r="B172" i="12"/>
  <c r="E172" i="12"/>
  <c r="D172" i="12"/>
  <c r="F172" i="12"/>
  <c r="P172" i="12"/>
  <c r="H172" i="12"/>
  <c r="G172" i="12"/>
  <c r="I172" i="12"/>
  <c r="Q172" i="12"/>
  <c r="J172" i="12"/>
  <c r="R172" i="12"/>
  <c r="S172" i="12"/>
  <c r="A173" i="12"/>
  <c r="B173" i="12"/>
  <c r="E173" i="12"/>
  <c r="D173" i="12"/>
  <c r="F173" i="12"/>
  <c r="P173" i="12"/>
  <c r="H173" i="12"/>
  <c r="G173" i="12"/>
  <c r="I173" i="12"/>
  <c r="Q173" i="12"/>
  <c r="J173" i="12"/>
  <c r="R173" i="12"/>
  <c r="S173" i="12"/>
  <c r="A174" i="12"/>
  <c r="B174" i="12"/>
  <c r="E174" i="12"/>
  <c r="D174" i="12"/>
  <c r="F174" i="12"/>
  <c r="P174" i="12"/>
  <c r="H174" i="12"/>
  <c r="G174" i="12"/>
  <c r="I174" i="12"/>
  <c r="Q174" i="12"/>
  <c r="J174" i="12"/>
  <c r="R174" i="12"/>
  <c r="S174" i="12"/>
  <c r="A175" i="12"/>
  <c r="B175" i="12"/>
  <c r="E175" i="12"/>
  <c r="D175" i="12"/>
  <c r="F175" i="12"/>
  <c r="P175" i="12"/>
  <c r="H175" i="12"/>
  <c r="G175" i="12"/>
  <c r="I175" i="12"/>
  <c r="Q175" i="12"/>
  <c r="J175" i="12"/>
  <c r="R175" i="12"/>
  <c r="S175" i="12"/>
  <c r="A176" i="12"/>
  <c r="B176" i="12"/>
  <c r="E176" i="12"/>
  <c r="D176" i="12"/>
  <c r="F176" i="12"/>
  <c r="P176" i="12"/>
  <c r="H176" i="12"/>
  <c r="G176" i="12"/>
  <c r="I176" i="12"/>
  <c r="Q176" i="12"/>
  <c r="J176" i="12"/>
  <c r="R176" i="12"/>
  <c r="S176" i="12"/>
  <c r="A177" i="12"/>
  <c r="B177" i="12"/>
  <c r="E177" i="12"/>
  <c r="D177" i="12"/>
  <c r="F177" i="12"/>
  <c r="P177" i="12"/>
  <c r="H177" i="12"/>
  <c r="G177" i="12"/>
  <c r="I177" i="12"/>
  <c r="Q177" i="12"/>
  <c r="J177" i="12"/>
  <c r="R177" i="12"/>
  <c r="S177" i="12"/>
  <c r="A178" i="12"/>
  <c r="B178" i="12"/>
  <c r="E178" i="12"/>
  <c r="D178" i="12"/>
  <c r="F178" i="12"/>
  <c r="P178" i="12"/>
  <c r="H178" i="12"/>
  <c r="G178" i="12"/>
  <c r="I178" i="12"/>
  <c r="Q178" i="12"/>
  <c r="J178" i="12"/>
  <c r="R178" i="12"/>
  <c r="S178" i="12"/>
  <c r="A179" i="12"/>
  <c r="B179" i="12"/>
  <c r="E179" i="12"/>
  <c r="D179" i="12"/>
  <c r="F179" i="12"/>
  <c r="P179" i="12"/>
  <c r="H179" i="12"/>
  <c r="G179" i="12"/>
  <c r="I179" i="12"/>
  <c r="Q179" i="12"/>
  <c r="J179" i="12"/>
  <c r="R179" i="12"/>
  <c r="S179" i="12"/>
  <c r="A180" i="12"/>
  <c r="B180" i="12"/>
  <c r="E180" i="12"/>
  <c r="D180" i="12"/>
  <c r="F180" i="12"/>
  <c r="P180" i="12"/>
  <c r="H180" i="12"/>
  <c r="G180" i="12"/>
  <c r="I180" i="12"/>
  <c r="Q180" i="12"/>
  <c r="J180" i="12"/>
  <c r="R180" i="12"/>
  <c r="S180" i="12"/>
  <c r="A181" i="12"/>
  <c r="B181" i="12"/>
  <c r="E181" i="12"/>
  <c r="D181" i="12"/>
  <c r="F181" i="12"/>
  <c r="P181" i="12"/>
  <c r="H181" i="12"/>
  <c r="G181" i="12"/>
  <c r="I181" i="12"/>
  <c r="Q181" i="12"/>
  <c r="J181" i="12"/>
  <c r="R181" i="12"/>
  <c r="S181" i="12"/>
  <c r="A182" i="12"/>
  <c r="B182" i="12"/>
  <c r="E182" i="12"/>
  <c r="D182" i="12"/>
  <c r="F182" i="12"/>
  <c r="P182" i="12"/>
  <c r="H182" i="12"/>
  <c r="G182" i="12"/>
  <c r="I182" i="12"/>
  <c r="Q182" i="12"/>
  <c r="J182" i="12"/>
  <c r="R182" i="12"/>
  <c r="S182" i="12"/>
  <c r="T4" i="12"/>
  <c r="T5" i="12"/>
  <c r="T6" i="12"/>
  <c r="U4" i="12"/>
  <c r="U5" i="12"/>
  <c r="U6" i="12"/>
  <c r="T7" i="12"/>
  <c r="U7" i="12"/>
  <c r="T8" i="12"/>
  <c r="U8" i="12"/>
  <c r="T9" i="12"/>
  <c r="U9" i="12"/>
  <c r="T10" i="12"/>
  <c r="U10" i="12"/>
  <c r="T11" i="12"/>
  <c r="U11" i="12"/>
  <c r="T12" i="12"/>
  <c r="U12" i="12"/>
  <c r="T13" i="12"/>
  <c r="U13" i="12"/>
  <c r="T14" i="12"/>
  <c r="U14" i="12"/>
  <c r="T15" i="12"/>
  <c r="U15" i="12"/>
  <c r="T16" i="12"/>
  <c r="U16" i="12"/>
  <c r="T17" i="12"/>
  <c r="U17" i="12"/>
  <c r="T18" i="12"/>
  <c r="U18" i="12"/>
  <c r="T19" i="12"/>
  <c r="U19" i="12"/>
  <c r="T20" i="12"/>
  <c r="U20" i="12"/>
  <c r="T21" i="12"/>
  <c r="U21" i="12"/>
  <c r="T22" i="12"/>
  <c r="U22" i="12"/>
  <c r="T23" i="12"/>
  <c r="U23" i="12"/>
  <c r="T24" i="12"/>
  <c r="U24" i="12"/>
  <c r="T25" i="12"/>
  <c r="U25" i="12"/>
  <c r="T26" i="12"/>
  <c r="U26" i="12"/>
  <c r="T27" i="12"/>
  <c r="U27" i="12"/>
  <c r="T28" i="12"/>
  <c r="U28" i="12"/>
  <c r="T29" i="12"/>
  <c r="U29" i="12"/>
  <c r="T30" i="12"/>
  <c r="U30" i="12"/>
  <c r="T31" i="12"/>
  <c r="U31" i="12"/>
  <c r="T32" i="12"/>
  <c r="U32" i="12"/>
  <c r="T33" i="12"/>
  <c r="U33" i="12"/>
  <c r="T34" i="12"/>
  <c r="U34" i="12"/>
  <c r="T35" i="12"/>
  <c r="U35" i="12"/>
  <c r="T36" i="12"/>
  <c r="U36" i="12"/>
  <c r="T37" i="12"/>
  <c r="U37" i="12"/>
  <c r="T38" i="12"/>
  <c r="U38" i="12"/>
  <c r="T39" i="12"/>
  <c r="U39" i="12"/>
  <c r="T40" i="12"/>
  <c r="U40" i="12"/>
  <c r="T41" i="12"/>
  <c r="U41" i="12"/>
  <c r="T42" i="12"/>
  <c r="U42" i="12"/>
  <c r="T43" i="12"/>
  <c r="U43" i="12"/>
  <c r="T44" i="12"/>
  <c r="U44" i="12"/>
  <c r="T45" i="12"/>
  <c r="U45" i="12"/>
  <c r="T46" i="12"/>
  <c r="U46" i="12"/>
  <c r="T47" i="12"/>
  <c r="U47" i="12"/>
  <c r="T48" i="12"/>
  <c r="U48" i="12"/>
  <c r="T49" i="12"/>
  <c r="U49" i="12"/>
  <c r="T50" i="12"/>
  <c r="U50" i="12"/>
  <c r="T51" i="12"/>
  <c r="U51" i="12"/>
  <c r="T52" i="12"/>
  <c r="U52" i="12"/>
  <c r="T53" i="12"/>
  <c r="U53" i="12"/>
  <c r="T54" i="12"/>
  <c r="U54" i="12"/>
  <c r="T55" i="12"/>
  <c r="U55" i="12"/>
  <c r="T56" i="12"/>
  <c r="U56" i="12"/>
  <c r="T57" i="12"/>
  <c r="U57" i="12"/>
  <c r="T58" i="12"/>
  <c r="U58" i="12"/>
  <c r="T59" i="12"/>
  <c r="U59" i="12"/>
  <c r="T60" i="12"/>
  <c r="U60" i="12"/>
  <c r="T61" i="12"/>
  <c r="U61" i="12"/>
  <c r="T62" i="12"/>
  <c r="U62" i="12"/>
  <c r="T63" i="12"/>
  <c r="U63" i="12"/>
  <c r="T64" i="12"/>
  <c r="U64" i="12"/>
  <c r="T65" i="12"/>
  <c r="U65" i="12"/>
  <c r="T66" i="12"/>
  <c r="U66" i="12"/>
  <c r="T67" i="12"/>
  <c r="U67" i="12"/>
  <c r="T68" i="12"/>
  <c r="U68" i="12"/>
  <c r="T69" i="12"/>
  <c r="U69" i="12"/>
  <c r="T70" i="12"/>
  <c r="U70" i="12"/>
  <c r="T71" i="12"/>
  <c r="U71" i="12"/>
  <c r="T72" i="12"/>
  <c r="U72" i="12"/>
  <c r="T73" i="12"/>
  <c r="U73" i="12"/>
  <c r="T74" i="12"/>
  <c r="U74" i="12"/>
  <c r="T75" i="12"/>
  <c r="U75" i="12"/>
  <c r="T76" i="12"/>
  <c r="U76" i="12"/>
  <c r="T77" i="12"/>
  <c r="U77" i="12"/>
  <c r="T78" i="12"/>
  <c r="U78" i="12"/>
  <c r="T79" i="12"/>
  <c r="U79" i="12"/>
  <c r="T80" i="12"/>
  <c r="U80" i="12"/>
  <c r="T81" i="12"/>
  <c r="U81" i="12"/>
  <c r="T82" i="12"/>
  <c r="U82" i="12"/>
  <c r="T83" i="12"/>
  <c r="U83" i="12"/>
  <c r="T84" i="12"/>
  <c r="U84" i="12"/>
  <c r="T85" i="12"/>
  <c r="U85" i="12"/>
  <c r="T86" i="12"/>
  <c r="U86" i="12"/>
  <c r="T87" i="12"/>
  <c r="U87" i="12"/>
  <c r="T88" i="12"/>
  <c r="U88" i="12"/>
  <c r="T89" i="12"/>
  <c r="U89" i="12"/>
  <c r="T90" i="12"/>
  <c r="U90" i="12"/>
  <c r="T91" i="12"/>
  <c r="U91" i="12"/>
  <c r="T92" i="12"/>
  <c r="U92" i="12"/>
  <c r="T93" i="12"/>
  <c r="U93" i="12"/>
  <c r="T94" i="12"/>
  <c r="U94" i="12"/>
  <c r="T95" i="12"/>
  <c r="U95" i="12"/>
  <c r="T96" i="12"/>
  <c r="U96" i="12"/>
  <c r="T97" i="12"/>
  <c r="U97" i="12"/>
  <c r="T98" i="12"/>
  <c r="U98" i="12"/>
  <c r="T99" i="12"/>
  <c r="U99" i="12"/>
  <c r="T100" i="12"/>
  <c r="U100" i="12"/>
  <c r="T101" i="12"/>
  <c r="U101" i="12"/>
  <c r="T102" i="12"/>
  <c r="U102" i="12"/>
  <c r="T103" i="12"/>
  <c r="U103" i="12"/>
  <c r="T104" i="12"/>
  <c r="U104" i="12"/>
  <c r="T105" i="12"/>
  <c r="U105" i="12"/>
  <c r="T106" i="12"/>
  <c r="U106" i="12"/>
  <c r="T107" i="12"/>
  <c r="U107" i="12"/>
  <c r="T108" i="12"/>
  <c r="U108" i="12"/>
  <c r="T109" i="12"/>
  <c r="U109" i="12"/>
  <c r="T110" i="12"/>
  <c r="U110" i="12"/>
  <c r="T111" i="12"/>
  <c r="U111" i="12"/>
  <c r="T112" i="12"/>
  <c r="U112" i="12"/>
  <c r="T113" i="12"/>
  <c r="U113" i="12"/>
  <c r="T114" i="12"/>
  <c r="U114" i="12"/>
  <c r="T115" i="12"/>
  <c r="U115" i="12"/>
  <c r="T116" i="12"/>
  <c r="U116" i="12"/>
  <c r="T117" i="12"/>
  <c r="U117" i="12"/>
  <c r="T118" i="12"/>
  <c r="U118" i="12"/>
  <c r="T119" i="12"/>
  <c r="U119" i="12"/>
  <c r="T120" i="12"/>
  <c r="U120" i="12"/>
  <c r="T121" i="12"/>
  <c r="U121" i="12"/>
  <c r="T122" i="12"/>
  <c r="U122" i="12"/>
  <c r="T123" i="12"/>
  <c r="U123" i="12"/>
  <c r="T124" i="12"/>
  <c r="U124" i="12"/>
  <c r="T125" i="12"/>
  <c r="U125" i="12"/>
  <c r="T126" i="12"/>
  <c r="U126" i="12"/>
  <c r="T127" i="12"/>
  <c r="U127" i="12"/>
  <c r="T128" i="12"/>
  <c r="U128" i="12"/>
  <c r="T129" i="12"/>
  <c r="U129" i="12"/>
  <c r="T130" i="12"/>
  <c r="U130" i="12"/>
  <c r="T131" i="12"/>
  <c r="U131" i="12"/>
  <c r="T132" i="12"/>
  <c r="U132" i="12"/>
  <c r="T133" i="12"/>
  <c r="U133" i="12"/>
  <c r="T134" i="12"/>
  <c r="U134" i="12"/>
  <c r="T135" i="12"/>
  <c r="U135" i="12"/>
  <c r="T136" i="12"/>
  <c r="U136" i="12"/>
  <c r="T137" i="12"/>
  <c r="U137" i="12"/>
  <c r="T138" i="12"/>
  <c r="U138" i="12"/>
  <c r="T139" i="12"/>
  <c r="U139" i="12"/>
  <c r="T140" i="12"/>
  <c r="U140" i="12"/>
  <c r="T141" i="12"/>
  <c r="U141" i="12"/>
  <c r="T142" i="12"/>
  <c r="U142" i="12"/>
  <c r="T143" i="12"/>
  <c r="U143" i="12"/>
  <c r="T144" i="12"/>
  <c r="U144" i="12"/>
  <c r="T145" i="12"/>
  <c r="U145" i="12"/>
  <c r="T146" i="12"/>
  <c r="U146" i="12"/>
  <c r="T147" i="12"/>
  <c r="U147" i="12"/>
  <c r="T148" i="12"/>
  <c r="U148" i="12"/>
  <c r="T149" i="12"/>
  <c r="U149" i="12"/>
  <c r="T150" i="12"/>
  <c r="U150" i="12"/>
  <c r="T151" i="12"/>
  <c r="U151" i="12"/>
  <c r="T152" i="12"/>
  <c r="U152" i="12"/>
  <c r="T153" i="12"/>
  <c r="U153" i="12"/>
  <c r="T154" i="12"/>
  <c r="U154" i="12"/>
  <c r="T155" i="12"/>
  <c r="U155" i="12"/>
  <c r="T156" i="12"/>
  <c r="U156" i="12"/>
  <c r="T157" i="12"/>
  <c r="U157" i="12"/>
  <c r="T158" i="12"/>
  <c r="U158" i="12"/>
  <c r="T159" i="12"/>
  <c r="U159" i="12"/>
  <c r="T160" i="12"/>
  <c r="U160" i="12"/>
  <c r="T161" i="12"/>
  <c r="U161" i="12"/>
  <c r="T162" i="12"/>
  <c r="U162" i="12"/>
  <c r="T163" i="12"/>
  <c r="U163" i="12"/>
  <c r="T164" i="12"/>
  <c r="U164" i="12"/>
  <c r="T165" i="12"/>
  <c r="U165" i="12"/>
  <c r="T166" i="12"/>
  <c r="U166" i="12"/>
  <c r="T167" i="12"/>
  <c r="U167" i="12"/>
  <c r="T168" i="12"/>
  <c r="U168" i="12"/>
  <c r="T169" i="12"/>
  <c r="U169" i="12"/>
  <c r="T170" i="12"/>
  <c r="U170" i="12"/>
  <c r="T171" i="12"/>
  <c r="U171" i="12"/>
  <c r="T172" i="12"/>
  <c r="U172" i="12"/>
  <c r="T173" i="12"/>
  <c r="U173" i="12"/>
  <c r="T174" i="12"/>
  <c r="U174" i="12"/>
  <c r="T175" i="12"/>
  <c r="U175" i="12"/>
  <c r="T176" i="12"/>
  <c r="U176" i="12"/>
  <c r="T177" i="12"/>
  <c r="U177" i="12"/>
  <c r="T178" i="12"/>
  <c r="U178" i="12"/>
  <c r="T179" i="12"/>
  <c r="U179" i="12"/>
  <c r="T180" i="12"/>
  <c r="U180" i="12"/>
  <c r="T181" i="12"/>
  <c r="U181" i="12"/>
  <c r="T182" i="12"/>
  <c r="U182" i="12"/>
  <c r="K34" i="18"/>
  <c r="I34" i="18"/>
  <c r="G34" i="18"/>
  <c r="H34" i="18"/>
  <c r="F34" i="18"/>
  <c r="D34" i="18"/>
  <c r="E34" i="18"/>
  <c r="C34" i="18"/>
  <c r="A34" i="18"/>
  <c r="B34" i="18"/>
  <c r="R33" i="18"/>
  <c r="P33" i="18"/>
  <c r="Q33" i="18"/>
  <c r="L33" i="18"/>
  <c r="J33" i="18"/>
  <c r="K33" i="18"/>
  <c r="I33" i="18"/>
  <c r="G33" i="18"/>
  <c r="H33" i="18"/>
  <c r="F33" i="18"/>
  <c r="D33" i="18"/>
  <c r="E33" i="18"/>
  <c r="C33" i="18"/>
  <c r="A33" i="18"/>
  <c r="B33" i="18"/>
  <c r="R32" i="18"/>
  <c r="P32" i="18"/>
  <c r="Q32" i="18"/>
  <c r="L32" i="18"/>
  <c r="J32" i="18"/>
  <c r="K32" i="18"/>
  <c r="I32" i="18"/>
  <c r="G32" i="18"/>
  <c r="H32" i="18"/>
  <c r="F32" i="18"/>
  <c r="D32" i="18"/>
  <c r="E32" i="18"/>
  <c r="C32" i="18"/>
  <c r="A32" i="18"/>
  <c r="B32" i="18"/>
  <c r="R31" i="18"/>
  <c r="P31" i="18"/>
  <c r="Q31" i="18"/>
  <c r="L31" i="18"/>
  <c r="J31" i="18"/>
  <c r="K31" i="18"/>
  <c r="I31" i="18"/>
  <c r="G31" i="18"/>
  <c r="H31" i="18"/>
  <c r="F31" i="18"/>
  <c r="D31" i="18"/>
  <c r="E31" i="18"/>
  <c r="C31" i="18"/>
  <c r="A31" i="18"/>
  <c r="B31" i="18"/>
  <c r="R30" i="18"/>
  <c r="P30" i="18"/>
  <c r="Q30" i="18"/>
  <c r="L30" i="18"/>
  <c r="J30" i="18"/>
  <c r="K30" i="18"/>
  <c r="I30" i="18"/>
  <c r="G30" i="18"/>
  <c r="H30" i="18"/>
  <c r="F30" i="18"/>
  <c r="D30" i="18"/>
  <c r="E30" i="18"/>
  <c r="C30" i="18"/>
  <c r="A30" i="18"/>
  <c r="B30" i="18"/>
  <c r="R29" i="18"/>
  <c r="P29" i="18"/>
  <c r="Q29" i="18"/>
  <c r="L29" i="18"/>
  <c r="J29" i="18"/>
  <c r="K29" i="18"/>
  <c r="I29" i="18"/>
  <c r="G29" i="18"/>
  <c r="H29" i="18"/>
  <c r="F29" i="18"/>
  <c r="D29" i="18"/>
  <c r="E29" i="18"/>
  <c r="C29" i="18"/>
  <c r="A29" i="18"/>
  <c r="B29" i="18"/>
  <c r="R28" i="18"/>
  <c r="P28" i="18"/>
  <c r="Q28" i="18"/>
  <c r="L28" i="18"/>
  <c r="J28" i="18"/>
  <c r="K28" i="18"/>
  <c r="I28" i="18"/>
  <c r="G28" i="18"/>
  <c r="H28" i="18"/>
  <c r="F28" i="18"/>
  <c r="D28" i="18"/>
  <c r="E28" i="18"/>
  <c r="C28" i="18"/>
  <c r="A28" i="18"/>
  <c r="B28" i="18"/>
  <c r="R27" i="18"/>
  <c r="P27" i="18"/>
  <c r="Q27" i="18"/>
  <c r="L27" i="18"/>
  <c r="J27" i="18"/>
  <c r="K27" i="18"/>
  <c r="I27" i="18"/>
  <c r="G27" i="18"/>
  <c r="H27" i="18"/>
  <c r="F27" i="18"/>
  <c r="D27" i="18"/>
  <c r="E27" i="18"/>
  <c r="C27" i="18"/>
  <c r="A27" i="18"/>
  <c r="B27" i="18"/>
  <c r="R26" i="18"/>
  <c r="P26" i="18"/>
  <c r="Q26" i="18"/>
  <c r="L26" i="18"/>
  <c r="J26" i="18"/>
  <c r="K26" i="18"/>
  <c r="I26" i="18"/>
  <c r="G26" i="18"/>
  <c r="H26" i="18"/>
  <c r="F26" i="18"/>
  <c r="D26" i="18"/>
  <c r="E26" i="18"/>
  <c r="C26" i="18"/>
  <c r="A26" i="18"/>
  <c r="B26" i="18"/>
  <c r="R25" i="18"/>
  <c r="P25" i="18"/>
  <c r="Q25" i="18"/>
  <c r="L25" i="18"/>
  <c r="J25" i="18"/>
  <c r="K25" i="18"/>
  <c r="I25" i="18"/>
  <c r="G25" i="18"/>
  <c r="H25" i="18"/>
  <c r="F25" i="18"/>
  <c r="D25" i="18"/>
  <c r="E25" i="18"/>
  <c r="C25" i="18"/>
  <c r="A25" i="18"/>
  <c r="B25" i="18"/>
  <c r="R24" i="18"/>
  <c r="P24" i="18"/>
  <c r="Q24" i="18"/>
  <c r="L24" i="18"/>
  <c r="J24" i="18"/>
  <c r="K24" i="18"/>
  <c r="I24" i="18"/>
  <c r="G24" i="18"/>
  <c r="H24" i="18"/>
  <c r="F24" i="18"/>
  <c r="D24" i="18"/>
  <c r="E24" i="18"/>
  <c r="C24" i="18"/>
  <c r="A24" i="18"/>
  <c r="B24" i="18"/>
  <c r="R23" i="18"/>
  <c r="P23" i="18"/>
  <c r="Q23" i="18"/>
  <c r="O23" i="18"/>
  <c r="M23" i="18"/>
  <c r="A4" i="13"/>
  <c r="B4" i="13"/>
  <c r="E4" i="13"/>
  <c r="G4" i="13"/>
  <c r="D4" i="13"/>
  <c r="F4" i="13"/>
  <c r="M4" i="13"/>
  <c r="N4" i="13"/>
  <c r="AV3" i="17"/>
  <c r="AV4" i="17"/>
  <c r="AV5" i="17"/>
  <c r="I4" i="13"/>
  <c r="J4" i="13"/>
  <c r="H4" i="13"/>
  <c r="O4" i="13"/>
  <c r="P4" i="13"/>
  <c r="A5" i="13"/>
  <c r="B5" i="13"/>
  <c r="E5" i="13"/>
  <c r="G5" i="13"/>
  <c r="D5" i="13"/>
  <c r="F5" i="13"/>
  <c r="M5" i="13"/>
  <c r="N5" i="13"/>
  <c r="I5" i="13"/>
  <c r="J5" i="13"/>
  <c r="H5" i="13"/>
  <c r="O5" i="13"/>
  <c r="P5" i="13"/>
  <c r="A6" i="13"/>
  <c r="B6" i="13"/>
  <c r="E6" i="13"/>
  <c r="G6" i="13"/>
  <c r="D6" i="13"/>
  <c r="F6" i="13"/>
  <c r="M6" i="13"/>
  <c r="N6" i="13"/>
  <c r="AV6" i="17"/>
  <c r="I6" i="13"/>
  <c r="J6" i="13"/>
  <c r="H6" i="13"/>
  <c r="O6" i="13"/>
  <c r="P6" i="13"/>
  <c r="A7" i="13"/>
  <c r="B7" i="13"/>
  <c r="E7" i="13"/>
  <c r="G7" i="13"/>
  <c r="D7" i="13"/>
  <c r="F7" i="13"/>
  <c r="M7" i="13"/>
  <c r="N7" i="13"/>
  <c r="AV7" i="17"/>
  <c r="AV8" i="17"/>
  <c r="AV9" i="17"/>
  <c r="AV10" i="17"/>
  <c r="I7" i="13"/>
  <c r="J7" i="13"/>
  <c r="H7" i="13"/>
  <c r="O7" i="13"/>
  <c r="P7" i="13"/>
  <c r="A8" i="13"/>
  <c r="B8" i="13"/>
  <c r="E8" i="13"/>
  <c r="G8" i="13"/>
  <c r="M8" i="13"/>
  <c r="N8" i="13"/>
  <c r="I8" i="13"/>
  <c r="J8" i="13"/>
  <c r="H8" i="13"/>
  <c r="O8" i="13"/>
  <c r="P8" i="13"/>
  <c r="A9" i="13"/>
  <c r="B9" i="13"/>
  <c r="E9" i="13"/>
  <c r="G9" i="13"/>
  <c r="D9" i="13"/>
  <c r="F9" i="13"/>
  <c r="M9" i="13"/>
  <c r="N9" i="13"/>
  <c r="I9" i="13"/>
  <c r="J9" i="13"/>
  <c r="H9" i="13"/>
  <c r="O9" i="13"/>
  <c r="P9" i="13"/>
  <c r="A10" i="13"/>
  <c r="B10" i="13"/>
  <c r="E10" i="13"/>
  <c r="G10" i="13"/>
  <c r="D10" i="13"/>
  <c r="F10" i="13"/>
  <c r="M10" i="13"/>
  <c r="N10" i="13"/>
  <c r="AV11" i="17"/>
  <c r="AV12" i="17"/>
  <c r="AV13" i="17"/>
  <c r="I10" i="13"/>
  <c r="J10" i="13"/>
  <c r="H10" i="13"/>
  <c r="O10" i="13"/>
  <c r="P10" i="13"/>
  <c r="A11" i="13"/>
  <c r="B11" i="13"/>
  <c r="E11" i="13"/>
  <c r="G11" i="13"/>
  <c r="D11" i="13"/>
  <c r="F11" i="13"/>
  <c r="M11" i="13"/>
  <c r="N11" i="13"/>
  <c r="I11" i="13"/>
  <c r="J11" i="13"/>
  <c r="H11" i="13"/>
  <c r="O11" i="13"/>
  <c r="P11" i="13"/>
  <c r="A12" i="13"/>
  <c r="B12" i="13"/>
  <c r="E12" i="13"/>
  <c r="G12" i="13"/>
  <c r="D12" i="13"/>
  <c r="F12" i="13"/>
  <c r="M12" i="13"/>
  <c r="N12" i="13"/>
  <c r="AV14" i="17"/>
  <c r="AV15" i="17"/>
  <c r="AV16" i="17"/>
  <c r="AV17" i="17"/>
  <c r="AV18" i="17"/>
  <c r="AV19" i="17"/>
  <c r="AV20" i="17"/>
  <c r="AV21" i="17"/>
  <c r="AV22" i="17"/>
  <c r="AV23" i="17"/>
  <c r="AV24" i="17"/>
  <c r="AV25" i="17"/>
  <c r="AV26" i="17"/>
  <c r="AV27" i="17"/>
  <c r="AV28" i="17"/>
  <c r="AV29" i="17"/>
  <c r="AV30" i="17"/>
  <c r="AV31" i="17"/>
  <c r="AV32" i="17"/>
  <c r="AV33" i="17"/>
  <c r="AV34" i="17"/>
  <c r="AV35" i="17"/>
  <c r="AV36" i="17"/>
  <c r="AV37" i="17"/>
  <c r="I12" i="13"/>
  <c r="J12" i="13"/>
  <c r="H12" i="13"/>
  <c r="O12" i="13"/>
  <c r="P12" i="13"/>
  <c r="A13" i="13"/>
  <c r="B13" i="13"/>
  <c r="E13" i="13"/>
  <c r="G13" i="13"/>
  <c r="D13" i="13"/>
  <c r="F13" i="13"/>
  <c r="M13" i="13"/>
  <c r="N13" i="13"/>
  <c r="I13" i="13"/>
  <c r="J13" i="13"/>
  <c r="H13" i="13"/>
  <c r="O13" i="13"/>
  <c r="P13" i="13"/>
  <c r="A14" i="13"/>
  <c r="B14" i="13"/>
  <c r="E14" i="13"/>
  <c r="G14" i="13"/>
  <c r="D14" i="13"/>
  <c r="F14" i="13"/>
  <c r="M14" i="13"/>
  <c r="N14" i="13"/>
  <c r="I14" i="13"/>
  <c r="J14" i="13"/>
  <c r="H14" i="13"/>
  <c r="O14" i="13"/>
  <c r="P14" i="13"/>
  <c r="A15" i="13"/>
  <c r="B15" i="13"/>
  <c r="E15" i="13"/>
  <c r="G15" i="13"/>
  <c r="D15" i="13"/>
  <c r="F15" i="13"/>
  <c r="M15" i="13"/>
  <c r="N15" i="13"/>
  <c r="I15" i="13"/>
  <c r="J15" i="13"/>
  <c r="H15" i="13"/>
  <c r="O15" i="13"/>
  <c r="P15" i="13"/>
  <c r="A16" i="13"/>
  <c r="B16" i="13"/>
  <c r="E16" i="13"/>
  <c r="G16" i="13"/>
  <c r="D16" i="13"/>
  <c r="F16" i="13"/>
  <c r="M16" i="13"/>
  <c r="N16" i="13"/>
  <c r="I16" i="13"/>
  <c r="J16" i="13"/>
  <c r="H16" i="13"/>
  <c r="O16" i="13"/>
  <c r="P16" i="13"/>
  <c r="A17" i="13"/>
  <c r="B17" i="13"/>
  <c r="E17" i="13"/>
  <c r="G17" i="13"/>
  <c r="D17" i="13"/>
  <c r="F17" i="13"/>
  <c r="M17" i="13"/>
  <c r="N17" i="13"/>
  <c r="I17" i="13"/>
  <c r="J17" i="13"/>
  <c r="H17" i="13"/>
  <c r="O17" i="13"/>
  <c r="P17" i="13"/>
  <c r="A18" i="13"/>
  <c r="B18" i="13"/>
  <c r="E18" i="13"/>
  <c r="G18" i="13"/>
  <c r="D18" i="13"/>
  <c r="F18" i="13"/>
  <c r="M18" i="13"/>
  <c r="N18" i="13"/>
  <c r="I18" i="13"/>
  <c r="J18" i="13"/>
  <c r="H18" i="13"/>
  <c r="O18" i="13"/>
  <c r="P18" i="13"/>
  <c r="A19" i="13"/>
  <c r="B19" i="13"/>
  <c r="E19" i="13"/>
  <c r="G19" i="13"/>
  <c r="D19" i="13"/>
  <c r="F19" i="13"/>
  <c r="M19" i="13"/>
  <c r="N19" i="13"/>
  <c r="I19" i="13"/>
  <c r="J19" i="13"/>
  <c r="H19" i="13"/>
  <c r="O19" i="13"/>
  <c r="P19" i="13"/>
  <c r="A20" i="13"/>
  <c r="B20" i="13"/>
  <c r="E20" i="13"/>
  <c r="G20" i="13"/>
  <c r="D20" i="13"/>
  <c r="F20" i="13"/>
  <c r="M20" i="13"/>
  <c r="N20" i="13"/>
  <c r="I20" i="13"/>
  <c r="J20" i="13"/>
  <c r="H20" i="13"/>
  <c r="O20" i="13"/>
  <c r="P20" i="13"/>
  <c r="A21" i="13"/>
  <c r="B21" i="13"/>
  <c r="E21" i="13"/>
  <c r="G21" i="13"/>
  <c r="D21" i="13"/>
  <c r="F21" i="13"/>
  <c r="M21" i="13"/>
  <c r="N21" i="13"/>
  <c r="I21" i="13"/>
  <c r="J21" i="13"/>
  <c r="H21" i="13"/>
  <c r="O21" i="13"/>
  <c r="P21" i="13"/>
  <c r="A22" i="13"/>
  <c r="B22" i="13"/>
  <c r="E22" i="13"/>
  <c r="G22" i="13"/>
  <c r="D22" i="13"/>
  <c r="F22" i="13"/>
  <c r="M22" i="13"/>
  <c r="N22" i="13"/>
  <c r="I22" i="13"/>
  <c r="J22" i="13"/>
  <c r="H22" i="13"/>
  <c r="O22" i="13"/>
  <c r="P22" i="13"/>
  <c r="A23" i="13"/>
  <c r="B23" i="13"/>
  <c r="E23" i="13"/>
  <c r="G23" i="13"/>
  <c r="D23" i="13"/>
  <c r="F23" i="13"/>
  <c r="M23" i="13"/>
  <c r="N23" i="13"/>
  <c r="I23" i="13"/>
  <c r="J23" i="13"/>
  <c r="H23" i="13"/>
  <c r="O23" i="13"/>
  <c r="P23" i="13"/>
  <c r="A24" i="13"/>
  <c r="B24" i="13"/>
  <c r="E24" i="13"/>
  <c r="G24" i="13"/>
  <c r="D24" i="13"/>
  <c r="F24" i="13"/>
  <c r="M24" i="13"/>
  <c r="N24" i="13"/>
  <c r="I24" i="13"/>
  <c r="J24" i="13"/>
  <c r="H24" i="13"/>
  <c r="O24" i="13"/>
  <c r="P24" i="13"/>
  <c r="A25" i="13"/>
  <c r="B25" i="13"/>
  <c r="E25" i="13"/>
  <c r="G25" i="13"/>
  <c r="D25" i="13"/>
  <c r="F25" i="13"/>
  <c r="M25" i="13"/>
  <c r="N25" i="13"/>
  <c r="I25" i="13"/>
  <c r="J25" i="13"/>
  <c r="H25" i="13"/>
  <c r="O25" i="13"/>
  <c r="P25" i="13"/>
  <c r="A26" i="13"/>
  <c r="B26" i="13"/>
  <c r="E26" i="13"/>
  <c r="G26" i="13"/>
  <c r="D26" i="13"/>
  <c r="F26" i="13"/>
  <c r="M26" i="13"/>
  <c r="N26" i="13"/>
  <c r="I26" i="13"/>
  <c r="J26" i="13"/>
  <c r="H26" i="13"/>
  <c r="O26" i="13"/>
  <c r="P26" i="13"/>
  <c r="A27" i="13"/>
  <c r="B27" i="13"/>
  <c r="E27" i="13"/>
  <c r="G27" i="13"/>
  <c r="D27" i="13"/>
  <c r="F27" i="13"/>
  <c r="M27" i="13"/>
  <c r="N27" i="13"/>
  <c r="I27" i="13"/>
  <c r="J27" i="13"/>
  <c r="H27" i="13"/>
  <c r="O27" i="13"/>
  <c r="P27" i="13"/>
  <c r="A28" i="13"/>
  <c r="B28" i="13"/>
  <c r="E28" i="13"/>
  <c r="G28" i="13"/>
  <c r="D28" i="13"/>
  <c r="F28" i="13"/>
  <c r="M28" i="13"/>
  <c r="N28" i="13"/>
  <c r="I28" i="13"/>
  <c r="J28" i="13"/>
  <c r="H28" i="13"/>
  <c r="O28" i="13"/>
  <c r="P28" i="13"/>
  <c r="A29" i="13"/>
  <c r="B29" i="13"/>
  <c r="E29" i="13"/>
  <c r="G29" i="13"/>
  <c r="D29" i="13"/>
  <c r="F29" i="13"/>
  <c r="M29" i="13"/>
  <c r="N29" i="13"/>
  <c r="I29" i="13"/>
  <c r="J29" i="13"/>
  <c r="H29" i="13"/>
  <c r="O29" i="13"/>
  <c r="P29" i="13"/>
  <c r="A30" i="13"/>
  <c r="B30" i="13"/>
  <c r="E30" i="13"/>
  <c r="G30" i="13"/>
  <c r="D30" i="13"/>
  <c r="F30" i="13"/>
  <c r="M30" i="13"/>
  <c r="N30" i="13"/>
  <c r="I30" i="13"/>
  <c r="J30" i="13"/>
  <c r="H30" i="13"/>
  <c r="O30" i="13"/>
  <c r="P30" i="13"/>
  <c r="A31" i="13"/>
  <c r="B31" i="13"/>
  <c r="E31" i="13"/>
  <c r="G31" i="13"/>
  <c r="D31" i="13"/>
  <c r="F31" i="13"/>
  <c r="M31" i="13"/>
  <c r="N31" i="13"/>
  <c r="I31" i="13"/>
  <c r="J31" i="13"/>
  <c r="H31" i="13"/>
  <c r="O31" i="13"/>
  <c r="P31" i="13"/>
  <c r="A32" i="13"/>
  <c r="B32" i="13"/>
  <c r="E32" i="13"/>
  <c r="G32" i="13"/>
  <c r="D32" i="13"/>
  <c r="F32" i="13"/>
  <c r="M32" i="13"/>
  <c r="N32" i="13"/>
  <c r="I32" i="13"/>
  <c r="J32" i="13"/>
  <c r="H32" i="13"/>
  <c r="O32" i="13"/>
  <c r="P32" i="13"/>
  <c r="A33" i="13"/>
  <c r="B33" i="13"/>
  <c r="E33" i="13"/>
  <c r="G33" i="13"/>
  <c r="D33" i="13"/>
  <c r="F33" i="13"/>
  <c r="M33" i="13"/>
  <c r="N33" i="13"/>
  <c r="I33" i="13"/>
  <c r="J33" i="13"/>
  <c r="H33" i="13"/>
  <c r="O33" i="13"/>
  <c r="P33" i="13"/>
  <c r="A34" i="13"/>
  <c r="B34" i="13"/>
  <c r="E34" i="13"/>
  <c r="G34" i="13"/>
  <c r="D34" i="13"/>
  <c r="F34" i="13"/>
  <c r="M34" i="13"/>
  <c r="N34" i="13"/>
  <c r="I34" i="13"/>
  <c r="J34" i="13"/>
  <c r="H34" i="13"/>
  <c r="O34" i="13"/>
  <c r="P34" i="13"/>
  <c r="A35" i="13"/>
  <c r="B35" i="13"/>
  <c r="E35" i="13"/>
  <c r="G35" i="13"/>
  <c r="D35" i="13"/>
  <c r="F35" i="13"/>
  <c r="M35" i="13"/>
  <c r="N35" i="13"/>
  <c r="I35" i="13"/>
  <c r="J35" i="13"/>
  <c r="H35" i="13"/>
  <c r="O35" i="13"/>
  <c r="P35" i="13"/>
  <c r="A36" i="13"/>
  <c r="B36" i="13"/>
  <c r="E36" i="13"/>
  <c r="G36" i="13"/>
  <c r="M36" i="13"/>
  <c r="N36" i="13"/>
  <c r="I36" i="13"/>
  <c r="J36" i="13"/>
  <c r="H36" i="13"/>
  <c r="O36" i="13"/>
  <c r="P36" i="13"/>
  <c r="A37" i="13"/>
  <c r="B37" i="13"/>
  <c r="E37" i="13"/>
  <c r="G37" i="13"/>
  <c r="M37" i="13"/>
  <c r="N37" i="13"/>
  <c r="I37" i="13"/>
  <c r="J37" i="13"/>
  <c r="H37" i="13"/>
  <c r="O37" i="13"/>
  <c r="P37" i="13"/>
  <c r="A38" i="13"/>
  <c r="B38" i="13"/>
  <c r="E38" i="13"/>
  <c r="G38" i="13"/>
  <c r="M38" i="13"/>
  <c r="N38" i="13"/>
  <c r="I38" i="13"/>
  <c r="J38" i="13"/>
  <c r="O38" i="13"/>
  <c r="P38" i="13"/>
  <c r="A39" i="13"/>
  <c r="B39" i="13"/>
  <c r="E39" i="13"/>
  <c r="G39" i="13"/>
  <c r="M39" i="13"/>
  <c r="N39" i="13"/>
  <c r="I39" i="13"/>
  <c r="J39" i="13"/>
  <c r="O39" i="13"/>
  <c r="P39" i="13"/>
  <c r="A40" i="13"/>
  <c r="B40" i="13"/>
  <c r="E40" i="13"/>
  <c r="G40" i="13"/>
  <c r="M40" i="13"/>
  <c r="N40" i="13"/>
  <c r="I40" i="13"/>
  <c r="J40" i="13"/>
  <c r="O40" i="13"/>
  <c r="P40" i="13"/>
  <c r="A41" i="13"/>
  <c r="B41" i="13"/>
  <c r="E41" i="13"/>
  <c r="G41" i="13"/>
  <c r="M41" i="13"/>
  <c r="N41" i="13"/>
  <c r="I41" i="13"/>
  <c r="J41" i="13"/>
  <c r="O41" i="13"/>
  <c r="P41" i="13"/>
  <c r="A42" i="13"/>
  <c r="B42" i="13"/>
  <c r="E42" i="13"/>
  <c r="G42" i="13"/>
  <c r="M42" i="13"/>
  <c r="N42" i="13"/>
  <c r="I42" i="13"/>
  <c r="J42" i="13"/>
  <c r="O42" i="13"/>
  <c r="P42" i="13"/>
  <c r="A43" i="13"/>
  <c r="B43" i="13"/>
  <c r="E43" i="13"/>
  <c r="G43" i="13"/>
  <c r="M43" i="13"/>
  <c r="N43" i="13"/>
  <c r="I43" i="13"/>
  <c r="J43" i="13"/>
  <c r="O43" i="13"/>
  <c r="P43" i="13"/>
  <c r="A44" i="13"/>
  <c r="B44" i="13"/>
  <c r="E44" i="13"/>
  <c r="G44" i="13"/>
  <c r="M44" i="13"/>
  <c r="N44" i="13"/>
  <c r="I44" i="13"/>
  <c r="J44" i="13"/>
  <c r="O44" i="13"/>
  <c r="P44" i="13"/>
  <c r="A45" i="13"/>
  <c r="B45" i="13"/>
  <c r="E45" i="13"/>
  <c r="G45" i="13"/>
  <c r="M45" i="13"/>
  <c r="N45" i="13"/>
  <c r="I45" i="13"/>
  <c r="J45" i="13"/>
  <c r="O45" i="13"/>
  <c r="P45" i="13"/>
  <c r="A46" i="13"/>
  <c r="B46" i="13"/>
  <c r="E46" i="13"/>
  <c r="G46" i="13"/>
  <c r="M46" i="13"/>
  <c r="N46" i="13"/>
  <c r="I46" i="13"/>
  <c r="J46" i="13"/>
  <c r="O46" i="13"/>
  <c r="P46" i="13"/>
  <c r="A47" i="13"/>
  <c r="B47" i="13"/>
  <c r="E47" i="13"/>
  <c r="G47" i="13"/>
  <c r="M47" i="13"/>
  <c r="N47" i="13"/>
  <c r="I47" i="13"/>
  <c r="J47" i="13"/>
  <c r="O47" i="13"/>
  <c r="P47" i="13"/>
  <c r="A48" i="13"/>
  <c r="B48" i="13"/>
  <c r="E48" i="13"/>
  <c r="G48" i="13"/>
  <c r="M48" i="13"/>
  <c r="N48" i="13"/>
  <c r="I48" i="13"/>
  <c r="J48" i="13"/>
  <c r="O48" i="13"/>
  <c r="P48" i="13"/>
  <c r="A49" i="13"/>
  <c r="B49" i="13"/>
  <c r="E49" i="13"/>
  <c r="G49" i="13"/>
  <c r="M49" i="13"/>
  <c r="N49" i="13"/>
  <c r="I49" i="13"/>
  <c r="J49" i="13"/>
  <c r="O49" i="13"/>
  <c r="P49" i="13"/>
  <c r="A50" i="13"/>
  <c r="B50" i="13"/>
  <c r="E50" i="13"/>
  <c r="G50" i="13"/>
  <c r="M50" i="13"/>
  <c r="N50" i="13"/>
  <c r="I50" i="13"/>
  <c r="J50" i="13"/>
  <c r="O50" i="13"/>
  <c r="P50" i="13"/>
  <c r="Q4" i="13"/>
  <c r="Q5" i="13"/>
  <c r="Q6" i="13"/>
  <c r="R4" i="13"/>
  <c r="R5" i="13"/>
  <c r="R6" i="13"/>
  <c r="Q7" i="13"/>
  <c r="R7" i="13"/>
  <c r="Q8" i="13"/>
  <c r="R8" i="13"/>
  <c r="Q9" i="13"/>
  <c r="R9" i="13"/>
  <c r="Q10" i="13"/>
  <c r="R10" i="13"/>
  <c r="Q11" i="13"/>
  <c r="R11" i="13"/>
  <c r="Q12" i="13"/>
  <c r="R12" i="13"/>
  <c r="Q13" i="13"/>
  <c r="R13" i="13"/>
  <c r="Q14" i="13"/>
  <c r="R14" i="13"/>
  <c r="Q15" i="13"/>
  <c r="R15" i="13"/>
  <c r="Q16" i="13"/>
  <c r="R16" i="13"/>
  <c r="Q17" i="13"/>
  <c r="R17" i="13"/>
  <c r="Q18" i="13"/>
  <c r="R18" i="13"/>
  <c r="Q19" i="13"/>
  <c r="R19" i="13"/>
  <c r="Q20" i="13"/>
  <c r="R20" i="13"/>
  <c r="Q21" i="13"/>
  <c r="R21" i="13"/>
  <c r="Q22" i="13"/>
  <c r="R22" i="13"/>
  <c r="Q23" i="13"/>
  <c r="R23" i="13"/>
  <c r="Q24" i="13"/>
  <c r="R24" i="13"/>
  <c r="Q25" i="13"/>
  <c r="R25" i="13"/>
  <c r="Q26" i="13"/>
  <c r="R26" i="13"/>
  <c r="Q27" i="13"/>
  <c r="R27" i="13"/>
  <c r="Q28" i="13"/>
  <c r="R28" i="13"/>
  <c r="Q29" i="13"/>
  <c r="R29" i="13"/>
  <c r="Q30" i="13"/>
  <c r="R30" i="13"/>
  <c r="Q31" i="13"/>
  <c r="R31" i="13"/>
  <c r="Q32" i="13"/>
  <c r="R32" i="13"/>
  <c r="Q33" i="13"/>
  <c r="R33" i="13"/>
  <c r="Q34" i="13"/>
  <c r="R34" i="13"/>
  <c r="Q35" i="13"/>
  <c r="R35" i="13"/>
  <c r="Q36" i="13"/>
  <c r="R36" i="13"/>
  <c r="Q37" i="13"/>
  <c r="R37" i="13"/>
  <c r="Q38" i="13"/>
  <c r="R38" i="13"/>
  <c r="Q39" i="13"/>
  <c r="R39" i="13"/>
  <c r="Q40" i="13"/>
  <c r="R40" i="13"/>
  <c r="Q41" i="13"/>
  <c r="R41" i="13"/>
  <c r="Q42" i="13"/>
  <c r="R42" i="13"/>
  <c r="Q43" i="13"/>
  <c r="R43" i="13"/>
  <c r="Q44" i="13"/>
  <c r="R44" i="13"/>
  <c r="Q45" i="13"/>
  <c r="R45" i="13"/>
  <c r="Q46" i="13"/>
  <c r="R46" i="13"/>
  <c r="Q47" i="13"/>
  <c r="R47" i="13"/>
  <c r="Q48" i="13"/>
  <c r="R48" i="13"/>
  <c r="Q49" i="13"/>
  <c r="R49" i="13"/>
  <c r="Q50" i="13"/>
  <c r="R50" i="13"/>
  <c r="N23" i="18"/>
  <c r="L23" i="18"/>
  <c r="J23" i="18"/>
  <c r="K23" i="18"/>
  <c r="I23" i="18"/>
  <c r="G23" i="18"/>
  <c r="H23" i="18"/>
  <c r="F23" i="18"/>
  <c r="D23" i="18"/>
  <c r="E23" i="18"/>
  <c r="C23" i="18"/>
  <c r="A23" i="18"/>
  <c r="B23" i="18"/>
  <c r="R22" i="18"/>
  <c r="P22" i="18"/>
  <c r="Q22" i="18"/>
  <c r="O22" i="18"/>
  <c r="M22" i="18"/>
  <c r="N22" i="18"/>
  <c r="L22" i="18"/>
  <c r="J22" i="18"/>
  <c r="K22" i="18"/>
  <c r="I22" i="18"/>
  <c r="G22" i="18"/>
  <c r="H22" i="18"/>
  <c r="F22" i="18"/>
  <c r="D22" i="18"/>
  <c r="E22" i="18"/>
  <c r="C22" i="18"/>
  <c r="A22" i="18"/>
  <c r="B22" i="18"/>
  <c r="R21" i="18"/>
  <c r="P21" i="18"/>
  <c r="Q21" i="18"/>
  <c r="O21" i="18"/>
  <c r="M21" i="18"/>
  <c r="N21" i="18"/>
  <c r="L21" i="18"/>
  <c r="J21" i="18"/>
  <c r="K21" i="18"/>
  <c r="I21" i="18"/>
  <c r="G21" i="18"/>
  <c r="H21" i="18"/>
  <c r="F21" i="18"/>
  <c r="D21" i="18"/>
  <c r="E21" i="18"/>
  <c r="C21" i="18"/>
  <c r="A21" i="18"/>
  <c r="B21" i="18"/>
  <c r="R20" i="18"/>
  <c r="P20" i="18"/>
  <c r="Q20" i="18"/>
  <c r="O20" i="18"/>
  <c r="M20" i="18"/>
  <c r="N20" i="18"/>
  <c r="L20" i="18"/>
  <c r="J20" i="18"/>
  <c r="K20" i="18"/>
  <c r="I20" i="18"/>
  <c r="G20" i="18"/>
  <c r="H20" i="18"/>
  <c r="F20" i="18"/>
  <c r="D20" i="18"/>
  <c r="E20" i="18"/>
  <c r="C20" i="18"/>
  <c r="A20" i="18"/>
  <c r="B20" i="18"/>
  <c r="R19" i="18"/>
  <c r="P19" i="18"/>
  <c r="Q19" i="18"/>
  <c r="O19" i="18"/>
  <c r="M19" i="18"/>
  <c r="N19" i="18"/>
  <c r="L19" i="18"/>
  <c r="J19" i="18"/>
  <c r="K19" i="18"/>
  <c r="I19" i="18"/>
  <c r="G19" i="18"/>
  <c r="H19" i="18"/>
  <c r="F19" i="18"/>
  <c r="D19" i="18"/>
  <c r="E19" i="18"/>
  <c r="C19" i="18"/>
  <c r="A19" i="18"/>
  <c r="B19" i="18"/>
  <c r="R18" i="18"/>
  <c r="P18" i="18"/>
  <c r="Q18" i="18"/>
  <c r="O18" i="18"/>
  <c r="M18" i="18"/>
  <c r="N18" i="18"/>
  <c r="L18" i="18"/>
  <c r="J18" i="18"/>
  <c r="K18" i="18"/>
  <c r="I18" i="18"/>
  <c r="G18" i="18"/>
  <c r="H18" i="18"/>
  <c r="F18" i="18"/>
  <c r="D18" i="18"/>
  <c r="E18" i="18"/>
  <c r="C18" i="18"/>
  <c r="A18" i="18"/>
  <c r="B18" i="18"/>
  <c r="R17" i="18"/>
  <c r="P17" i="18"/>
  <c r="Q17" i="18"/>
  <c r="O17" i="18"/>
  <c r="M17" i="18"/>
  <c r="N17" i="18"/>
  <c r="L17" i="18"/>
  <c r="J17" i="18"/>
  <c r="K17" i="18"/>
  <c r="I17" i="18"/>
  <c r="G17" i="18"/>
  <c r="H17" i="18"/>
  <c r="F17" i="18"/>
  <c r="D17" i="18"/>
  <c r="E17" i="18"/>
  <c r="C17" i="18"/>
  <c r="A17" i="18"/>
  <c r="B17" i="18"/>
  <c r="R16" i="18"/>
  <c r="P16" i="18"/>
  <c r="Q16" i="18"/>
  <c r="O16" i="18"/>
  <c r="M16" i="18"/>
  <c r="N16" i="18"/>
  <c r="L16" i="18"/>
  <c r="J16" i="18"/>
  <c r="K16" i="18"/>
  <c r="I16" i="18"/>
  <c r="G16" i="18"/>
  <c r="H16" i="18"/>
  <c r="F16" i="18"/>
  <c r="D16" i="18"/>
  <c r="E16" i="18"/>
  <c r="C16" i="18"/>
  <c r="A16" i="18"/>
  <c r="B16" i="18"/>
  <c r="R15" i="18"/>
  <c r="P15" i="18"/>
  <c r="Q15" i="18"/>
  <c r="O15" i="18"/>
  <c r="M15" i="18"/>
  <c r="N15" i="18"/>
  <c r="L15" i="18"/>
  <c r="J15" i="18"/>
  <c r="K15" i="18"/>
  <c r="I15" i="18"/>
  <c r="G15" i="18"/>
  <c r="H15" i="18"/>
  <c r="F15" i="18"/>
  <c r="D15" i="18"/>
  <c r="E15" i="18"/>
  <c r="C15" i="18"/>
  <c r="A15" i="18"/>
  <c r="B15" i="18"/>
  <c r="R14" i="18"/>
  <c r="P14" i="18"/>
  <c r="Q14" i="18"/>
  <c r="O14" i="18"/>
  <c r="M14" i="18"/>
  <c r="N14" i="18"/>
  <c r="L14" i="18"/>
  <c r="J14" i="18"/>
  <c r="K14" i="18"/>
  <c r="I14" i="18"/>
  <c r="G14" i="18"/>
  <c r="H14" i="18"/>
  <c r="F14" i="18"/>
  <c r="D14" i="18"/>
  <c r="E14" i="18"/>
  <c r="C14" i="18"/>
  <c r="A14" i="18"/>
  <c r="B14" i="18"/>
  <c r="R13" i="18"/>
  <c r="P13" i="18"/>
  <c r="Q13" i="18"/>
  <c r="O13" i="18"/>
  <c r="M13" i="18"/>
  <c r="N13" i="18"/>
  <c r="L13" i="18"/>
  <c r="J13" i="18"/>
  <c r="K13" i="18"/>
  <c r="I13" i="18"/>
  <c r="G13" i="18"/>
  <c r="H13" i="18"/>
  <c r="F13" i="18"/>
  <c r="D13" i="18"/>
  <c r="E13" i="18"/>
  <c r="C13" i="18"/>
  <c r="A13" i="18"/>
  <c r="B13" i="18"/>
  <c r="R12" i="18"/>
  <c r="P12" i="18"/>
  <c r="Q12" i="18"/>
  <c r="O12" i="18"/>
  <c r="M12" i="18"/>
  <c r="N12" i="18"/>
  <c r="L12" i="18"/>
  <c r="J12" i="18"/>
  <c r="K12" i="18"/>
  <c r="I12" i="18"/>
  <c r="G12" i="18"/>
  <c r="H12" i="18"/>
  <c r="F12" i="18"/>
  <c r="D12" i="18"/>
  <c r="E12" i="18"/>
  <c r="C12" i="18"/>
  <c r="A12" i="18"/>
  <c r="B12" i="18"/>
  <c r="R11" i="18"/>
  <c r="P11" i="18"/>
  <c r="Q11" i="18"/>
  <c r="O11" i="18"/>
  <c r="M11" i="18"/>
  <c r="N11" i="18"/>
  <c r="L11" i="18"/>
  <c r="J11" i="18"/>
  <c r="K11" i="18"/>
  <c r="I11" i="18"/>
  <c r="G11" i="18"/>
  <c r="H11" i="18"/>
  <c r="F11" i="18"/>
  <c r="D11" i="18"/>
  <c r="E11" i="18"/>
  <c r="C11" i="18"/>
  <c r="A11" i="18"/>
  <c r="B11" i="18"/>
  <c r="R10" i="18"/>
  <c r="P10" i="18"/>
  <c r="Q10" i="18"/>
  <c r="O10" i="18"/>
  <c r="M10" i="18"/>
  <c r="N10" i="18"/>
  <c r="L10" i="18"/>
  <c r="J10" i="18"/>
  <c r="K10" i="18"/>
  <c r="I10" i="18"/>
  <c r="G10" i="18"/>
  <c r="H10" i="18"/>
  <c r="F10" i="18"/>
  <c r="D10" i="18"/>
  <c r="E10" i="18"/>
  <c r="C10" i="18"/>
  <c r="A10" i="18"/>
  <c r="B10" i="18"/>
  <c r="R9" i="18"/>
  <c r="P9" i="18"/>
  <c r="Q9" i="18"/>
  <c r="O9" i="18"/>
  <c r="M9" i="18"/>
  <c r="N9" i="18"/>
  <c r="L9" i="18"/>
  <c r="J9" i="18"/>
  <c r="K9" i="18"/>
  <c r="I9" i="18"/>
  <c r="G9" i="18"/>
  <c r="H9" i="18"/>
  <c r="F9" i="18"/>
  <c r="D9" i="18"/>
  <c r="E9" i="18"/>
  <c r="C9" i="18"/>
  <c r="A9" i="18"/>
  <c r="B9" i="18"/>
  <c r="R8" i="18"/>
  <c r="P8" i="18"/>
  <c r="Q8" i="18"/>
  <c r="O8" i="18"/>
  <c r="M8" i="18"/>
  <c r="N8" i="18"/>
  <c r="L8" i="18"/>
  <c r="J8" i="18"/>
  <c r="K8" i="18"/>
  <c r="I8" i="18"/>
  <c r="G8" i="18"/>
  <c r="H8" i="18"/>
  <c r="F8" i="18"/>
  <c r="D8" i="18"/>
  <c r="E8" i="18"/>
  <c r="C8" i="18"/>
  <c r="A8" i="18"/>
  <c r="B8" i="18"/>
  <c r="R7" i="18"/>
  <c r="P7" i="18"/>
  <c r="Q7" i="18"/>
  <c r="O7" i="18"/>
  <c r="M7" i="18"/>
  <c r="N7" i="18"/>
  <c r="L7" i="18"/>
  <c r="J7" i="18"/>
  <c r="K7" i="18"/>
  <c r="I7" i="18"/>
  <c r="G7" i="18"/>
  <c r="H7" i="18"/>
  <c r="F7" i="18"/>
  <c r="D7" i="18"/>
  <c r="E7" i="18"/>
  <c r="C7" i="18"/>
  <c r="A7" i="18"/>
  <c r="B7" i="18"/>
  <c r="R6" i="18"/>
  <c r="P6" i="18"/>
  <c r="Q6" i="18"/>
  <c r="O6" i="18"/>
  <c r="M6" i="18"/>
  <c r="N6" i="18"/>
  <c r="L6" i="18"/>
  <c r="J6" i="18"/>
  <c r="K6" i="18"/>
  <c r="I6" i="18"/>
  <c r="G6" i="18"/>
  <c r="H6" i="18"/>
  <c r="F6" i="18"/>
  <c r="D6" i="18"/>
  <c r="E6" i="18"/>
  <c r="C6" i="18"/>
  <c r="A6" i="18"/>
  <c r="B6" i="18"/>
  <c r="R5" i="18"/>
  <c r="P5" i="18"/>
  <c r="Q5" i="18"/>
  <c r="O5" i="18"/>
  <c r="M5" i="18"/>
  <c r="N5" i="18"/>
  <c r="L5" i="18"/>
  <c r="J5" i="18"/>
  <c r="K5" i="18"/>
  <c r="I5" i="18"/>
  <c r="G5" i="18"/>
  <c r="H5" i="18"/>
  <c r="F5" i="18"/>
  <c r="D5" i="18"/>
  <c r="E5" i="18"/>
  <c r="C5" i="18"/>
  <c r="A5" i="18"/>
  <c r="B5" i="18"/>
  <c r="R4" i="18"/>
  <c r="P4" i="18"/>
  <c r="Q4" i="18"/>
  <c r="O4" i="18"/>
  <c r="M4" i="18"/>
  <c r="N4" i="18"/>
  <c r="L4" i="18"/>
  <c r="J4" i="18"/>
  <c r="K4" i="18"/>
  <c r="I4" i="18"/>
  <c r="G4" i="18"/>
  <c r="H4" i="18"/>
  <c r="F4" i="18"/>
  <c r="D4" i="18"/>
  <c r="E4" i="18"/>
  <c r="C4" i="18"/>
  <c r="A4" i="18"/>
  <c r="B4" i="18"/>
  <c r="R3" i="18"/>
  <c r="P3" i="18"/>
  <c r="Q3" i="18"/>
  <c r="O3" i="18"/>
  <c r="M3" i="18"/>
  <c r="N3" i="18"/>
  <c r="L3" i="18"/>
  <c r="J3" i="18"/>
  <c r="K3" i="18"/>
  <c r="I3" i="18"/>
  <c r="G3" i="18"/>
  <c r="H3" i="18"/>
  <c r="F3" i="18"/>
  <c r="D3" i="18"/>
  <c r="E3" i="18"/>
  <c r="C3" i="18"/>
  <c r="A3" i="18"/>
  <c r="B3" i="18"/>
  <c r="R2" i="18"/>
  <c r="P2" i="18"/>
  <c r="Q2" i="18"/>
  <c r="O2" i="18"/>
  <c r="M2" i="18"/>
  <c r="N2" i="18"/>
  <c r="L2" i="18"/>
  <c r="J2" i="18"/>
  <c r="K2" i="18"/>
  <c r="I2" i="18"/>
  <c r="G2" i="18"/>
  <c r="H2" i="18"/>
  <c r="F2" i="18"/>
  <c r="D2" i="18"/>
  <c r="E2" i="18"/>
  <c r="C2" i="18"/>
  <c r="A2" i="18"/>
  <c r="B2" i="18"/>
  <c r="CZ302" i="16"/>
  <c r="CS302" i="16"/>
  <c r="CZ301" i="16"/>
  <c r="CS301" i="16"/>
  <c r="CZ300" i="16"/>
  <c r="CS300" i="16"/>
  <c r="CZ299" i="16"/>
  <c r="CS299" i="16"/>
  <c r="CZ298" i="16"/>
  <c r="CS298" i="16"/>
  <c r="CZ297" i="16"/>
  <c r="CS297" i="16"/>
  <c r="CZ296" i="16"/>
  <c r="CS296" i="16"/>
  <c r="CZ295" i="16"/>
  <c r="CS295" i="16"/>
  <c r="CZ294" i="16"/>
  <c r="CS294" i="16"/>
  <c r="CZ293" i="16"/>
  <c r="CS293" i="16"/>
  <c r="CZ292" i="16"/>
  <c r="CS292" i="16"/>
  <c r="CZ291" i="16"/>
  <c r="CS291" i="16"/>
  <c r="CZ290" i="16"/>
  <c r="CS290" i="16"/>
  <c r="CZ289" i="16"/>
  <c r="CS289" i="16"/>
  <c r="CZ288" i="16"/>
  <c r="CS288" i="16"/>
  <c r="CZ287" i="16"/>
  <c r="CS287" i="16"/>
  <c r="CZ286" i="16"/>
  <c r="CS286" i="16"/>
  <c r="CZ285" i="16"/>
  <c r="CS285" i="16"/>
  <c r="CZ284" i="16"/>
  <c r="CS284" i="16"/>
  <c r="CZ283" i="16"/>
  <c r="CS283" i="16"/>
  <c r="CZ282" i="16"/>
  <c r="CS282" i="16"/>
  <c r="CZ281" i="16"/>
  <c r="CS281" i="16"/>
  <c r="CZ280" i="16"/>
  <c r="CS280" i="16"/>
  <c r="CZ279" i="16"/>
  <c r="CS279" i="16"/>
  <c r="CZ278" i="16"/>
  <c r="CS278" i="16"/>
  <c r="CZ277" i="16"/>
  <c r="CS277" i="16"/>
  <c r="CZ276" i="16"/>
  <c r="CS276" i="16"/>
  <c r="CZ275" i="16"/>
  <c r="CS275" i="16"/>
  <c r="CZ274" i="16"/>
  <c r="CS274" i="16"/>
  <c r="CZ273" i="16"/>
  <c r="CS273" i="16"/>
  <c r="CZ272" i="16"/>
  <c r="CS272" i="16"/>
  <c r="CZ271" i="16"/>
  <c r="CS271" i="16"/>
  <c r="CZ270" i="16"/>
  <c r="CS270" i="16"/>
  <c r="CZ269" i="16"/>
  <c r="CS269" i="16"/>
  <c r="CZ268" i="16"/>
  <c r="CS268" i="16"/>
  <c r="CZ267" i="16"/>
  <c r="CS267" i="16"/>
  <c r="CZ266" i="16"/>
  <c r="CS266" i="16"/>
  <c r="CZ265" i="16"/>
  <c r="CS265" i="16"/>
  <c r="CZ264" i="16"/>
  <c r="CS264" i="16"/>
  <c r="CZ263" i="16"/>
  <c r="CS263" i="16"/>
  <c r="CZ262" i="16"/>
  <c r="CS262" i="16"/>
  <c r="CZ261" i="16"/>
  <c r="CS261" i="16"/>
  <c r="CZ260" i="16"/>
  <c r="CS260" i="16"/>
  <c r="CZ259" i="16"/>
  <c r="CS259" i="16"/>
  <c r="CZ258" i="16"/>
  <c r="CS258" i="16"/>
  <c r="CZ257" i="16"/>
  <c r="CS257" i="16"/>
  <c r="CZ256" i="16"/>
  <c r="CS256" i="16"/>
  <c r="CZ255" i="16"/>
  <c r="CS255" i="16"/>
  <c r="CZ254" i="16"/>
  <c r="CS254" i="16"/>
  <c r="CZ253" i="16"/>
  <c r="CS253" i="16"/>
  <c r="CZ252" i="16"/>
  <c r="CS252" i="16"/>
  <c r="CZ251" i="16"/>
  <c r="CS251" i="16"/>
  <c r="CZ250" i="16"/>
  <c r="CS250" i="16"/>
  <c r="CZ249" i="16"/>
  <c r="CS249" i="16"/>
  <c r="CZ248" i="16"/>
  <c r="CS248" i="16"/>
  <c r="CZ247" i="16"/>
  <c r="CS247" i="16"/>
  <c r="CZ246" i="16"/>
  <c r="CS246" i="16"/>
  <c r="CZ245" i="16"/>
  <c r="CS245" i="16"/>
  <c r="CZ244" i="16"/>
  <c r="CS244" i="16"/>
  <c r="CZ243" i="16"/>
  <c r="CS243" i="16"/>
  <c r="CZ242" i="16"/>
  <c r="CS242" i="16"/>
  <c r="CZ241" i="16"/>
  <c r="CS241" i="16"/>
  <c r="CZ240" i="16"/>
  <c r="CS240" i="16"/>
  <c r="CZ239" i="16"/>
  <c r="CS239" i="16"/>
  <c r="CZ238" i="16"/>
  <c r="CS238" i="16"/>
  <c r="CZ237" i="16"/>
  <c r="CS237" i="16"/>
  <c r="CZ236" i="16"/>
  <c r="CS236" i="16"/>
  <c r="CZ235" i="16"/>
  <c r="CS235" i="16"/>
  <c r="CZ234" i="16"/>
  <c r="CS234" i="16"/>
  <c r="CZ233" i="16"/>
  <c r="CS233" i="16"/>
  <c r="CZ232" i="16"/>
  <c r="CS232" i="16"/>
  <c r="CZ231" i="16"/>
  <c r="CS231" i="16"/>
  <c r="CZ230" i="16"/>
  <c r="CS230" i="16"/>
  <c r="CZ229" i="16"/>
  <c r="CS229" i="16"/>
  <c r="CZ228" i="16"/>
  <c r="CS228" i="16"/>
  <c r="CZ227" i="16"/>
  <c r="CS227" i="16"/>
  <c r="CZ226" i="16"/>
  <c r="CS226" i="16"/>
  <c r="CZ225" i="16"/>
  <c r="CS225" i="16"/>
  <c r="CZ224" i="16"/>
  <c r="CS224" i="16"/>
  <c r="CZ223" i="16"/>
  <c r="CS223" i="16"/>
  <c r="CZ222" i="16"/>
  <c r="CS222" i="16"/>
  <c r="CZ221" i="16"/>
  <c r="CS221" i="16"/>
  <c r="CZ220" i="16"/>
  <c r="CS220" i="16"/>
  <c r="CZ219" i="16"/>
  <c r="CS219" i="16"/>
  <c r="CZ218" i="16"/>
  <c r="CS218" i="16"/>
  <c r="CZ217" i="16"/>
  <c r="CS217" i="16"/>
  <c r="CZ216" i="16"/>
  <c r="CS216" i="16"/>
  <c r="CZ215" i="16"/>
  <c r="CS215" i="16"/>
  <c r="CZ214" i="16"/>
  <c r="CS214" i="16"/>
  <c r="CZ213" i="16"/>
  <c r="CS213" i="16"/>
  <c r="CZ212" i="16"/>
  <c r="CS212" i="16"/>
  <c r="CZ211" i="16"/>
  <c r="CS211" i="16"/>
  <c r="CZ210" i="16"/>
  <c r="CS210" i="16"/>
  <c r="CZ209" i="16"/>
  <c r="CS209" i="16"/>
  <c r="CZ208" i="16"/>
  <c r="CS208" i="16"/>
  <c r="CZ207" i="16"/>
  <c r="CS207" i="16"/>
  <c r="CZ206" i="16"/>
  <c r="CS206" i="16"/>
  <c r="CZ205" i="16"/>
  <c r="CS205" i="16"/>
  <c r="CZ204" i="16"/>
  <c r="CS204" i="16"/>
  <c r="CZ203" i="16"/>
  <c r="CS203" i="16"/>
  <c r="CZ202" i="16"/>
  <c r="CS202" i="16"/>
  <c r="CZ201" i="16"/>
  <c r="CS201" i="16"/>
  <c r="CZ200" i="16"/>
  <c r="CS200" i="16"/>
  <c r="CZ199" i="16"/>
  <c r="CS199" i="16"/>
  <c r="CZ198" i="16"/>
  <c r="CS198" i="16"/>
  <c r="CZ197" i="16"/>
  <c r="CS197" i="16"/>
  <c r="CZ196" i="16"/>
  <c r="CS196" i="16"/>
  <c r="CZ195" i="16"/>
  <c r="CS195" i="16"/>
  <c r="CZ194" i="16"/>
  <c r="CS194" i="16"/>
  <c r="CZ193" i="16"/>
  <c r="CS193" i="16"/>
  <c r="CZ192" i="16"/>
  <c r="CS192" i="16"/>
  <c r="CZ191" i="16"/>
  <c r="CS191" i="16"/>
  <c r="CZ190" i="16"/>
  <c r="CS190" i="16"/>
  <c r="CZ189" i="16"/>
  <c r="CS189" i="16"/>
  <c r="CZ188" i="16"/>
  <c r="CS188" i="16"/>
  <c r="CZ187" i="16"/>
  <c r="CS187" i="16"/>
  <c r="CZ186" i="16"/>
  <c r="CS186" i="16"/>
  <c r="CZ185" i="16"/>
  <c r="CS185" i="16"/>
  <c r="CZ184" i="16"/>
  <c r="CS184" i="16"/>
  <c r="CZ183" i="16"/>
  <c r="CS183" i="16"/>
  <c r="CZ182" i="16"/>
  <c r="CS182" i="16"/>
  <c r="CZ181" i="16"/>
  <c r="CS181" i="16"/>
  <c r="CZ180" i="16"/>
  <c r="CS180" i="16"/>
  <c r="CZ179" i="16"/>
  <c r="CS179" i="16"/>
  <c r="CZ178" i="16"/>
  <c r="CS178" i="16"/>
  <c r="CZ177" i="16"/>
  <c r="CS177" i="16"/>
  <c r="CZ176" i="16"/>
  <c r="CS176" i="16"/>
  <c r="CZ175" i="16"/>
  <c r="CS175" i="16"/>
  <c r="CZ174" i="16"/>
  <c r="CS174" i="16"/>
  <c r="CZ173" i="16"/>
  <c r="CS173" i="16"/>
  <c r="CZ172" i="16"/>
  <c r="CS172" i="16"/>
  <c r="CZ171" i="16"/>
  <c r="CS171" i="16"/>
  <c r="CZ170" i="16"/>
  <c r="CS170" i="16"/>
  <c r="CZ169" i="16"/>
  <c r="CS169" i="16"/>
  <c r="CZ168" i="16"/>
  <c r="CS168" i="16"/>
  <c r="CZ167" i="16"/>
  <c r="CS167" i="16"/>
  <c r="CZ166" i="16"/>
  <c r="CS166" i="16"/>
  <c r="CZ165" i="16"/>
  <c r="CS165" i="16"/>
  <c r="CZ164" i="16"/>
  <c r="CS164" i="16"/>
  <c r="CZ163" i="16"/>
  <c r="CS163" i="16"/>
  <c r="CZ162" i="16"/>
  <c r="CS162" i="16"/>
  <c r="CZ161" i="16"/>
  <c r="CS161" i="16"/>
  <c r="CZ160" i="16"/>
  <c r="CS160" i="16"/>
  <c r="CZ159" i="16"/>
  <c r="CS159" i="16"/>
  <c r="CZ158" i="16"/>
  <c r="CS158" i="16"/>
  <c r="CZ157" i="16"/>
  <c r="CS157" i="16"/>
  <c r="CZ156" i="16"/>
  <c r="CS156" i="16"/>
  <c r="CZ155" i="16"/>
  <c r="CS155" i="16"/>
  <c r="CZ154" i="16"/>
  <c r="CS154" i="16"/>
  <c r="CZ153" i="16"/>
  <c r="CS153" i="16"/>
  <c r="CZ152" i="16"/>
  <c r="CS152" i="16"/>
  <c r="CZ151" i="16"/>
  <c r="CS151" i="16"/>
  <c r="CZ150" i="16"/>
  <c r="CS150" i="16"/>
  <c r="CZ149" i="16"/>
  <c r="CS149" i="16"/>
  <c r="CZ148" i="16"/>
  <c r="CS148" i="16"/>
  <c r="CZ147" i="16"/>
  <c r="CS147" i="16"/>
  <c r="CZ146" i="16"/>
  <c r="CS146" i="16"/>
  <c r="CZ145" i="16"/>
  <c r="CS145" i="16"/>
  <c r="CZ144" i="16"/>
  <c r="CS144" i="16"/>
  <c r="CZ143" i="16"/>
  <c r="CS143" i="16"/>
  <c r="CZ142" i="16"/>
  <c r="CS142" i="16"/>
  <c r="CZ141" i="16"/>
  <c r="CS141" i="16"/>
  <c r="CZ140" i="16"/>
  <c r="CS140" i="16"/>
  <c r="CZ139" i="16"/>
  <c r="CS139" i="16"/>
  <c r="CZ138" i="16"/>
  <c r="CS138" i="16"/>
  <c r="CZ137" i="16"/>
  <c r="CS137" i="16"/>
  <c r="CZ136" i="16"/>
  <c r="CS136" i="16"/>
  <c r="CZ135" i="16"/>
  <c r="CS135" i="16"/>
  <c r="CZ134" i="16"/>
  <c r="CS134" i="16"/>
  <c r="CZ133" i="16"/>
  <c r="CS133" i="16"/>
  <c r="CZ132" i="16"/>
  <c r="CS132" i="16"/>
  <c r="CZ131" i="16"/>
  <c r="CS131" i="16"/>
  <c r="CZ130" i="16"/>
  <c r="CS130" i="16"/>
  <c r="CZ129" i="16"/>
  <c r="CS129" i="16"/>
  <c r="CZ128" i="16"/>
  <c r="CS128" i="16"/>
  <c r="CZ127" i="16"/>
  <c r="CS127" i="16"/>
  <c r="CZ126" i="16"/>
  <c r="CS126" i="16"/>
  <c r="CZ125" i="16"/>
  <c r="CS125" i="16"/>
  <c r="CZ124" i="16"/>
  <c r="CS124" i="16"/>
  <c r="CZ123" i="16"/>
  <c r="CS123" i="16"/>
  <c r="CZ122" i="16"/>
  <c r="CS122" i="16"/>
  <c r="CZ121" i="16"/>
  <c r="CS121" i="16"/>
  <c r="CZ120" i="16"/>
  <c r="CS120" i="16"/>
  <c r="CZ119" i="16"/>
  <c r="CS119" i="16"/>
  <c r="CZ118" i="16"/>
  <c r="CS118" i="16"/>
  <c r="CZ117" i="16"/>
  <c r="CS117" i="16"/>
  <c r="CZ116" i="16"/>
  <c r="CS116" i="16"/>
  <c r="CZ115" i="16"/>
  <c r="CS115" i="16"/>
  <c r="CZ114" i="16"/>
  <c r="CS114" i="16"/>
  <c r="CZ113" i="16"/>
  <c r="CS113" i="16"/>
  <c r="CZ112" i="16"/>
  <c r="CS112" i="16"/>
  <c r="CZ111" i="16"/>
  <c r="CS111" i="16"/>
  <c r="CZ110" i="16"/>
  <c r="CS110" i="16"/>
  <c r="CZ109" i="16"/>
  <c r="CS109" i="16"/>
  <c r="CZ108" i="16"/>
  <c r="CS108" i="16"/>
  <c r="CZ107" i="16"/>
  <c r="CS107" i="16"/>
  <c r="CZ106" i="16"/>
  <c r="CS106" i="16"/>
  <c r="CZ105" i="16"/>
  <c r="CS105" i="16"/>
  <c r="CZ104" i="16"/>
  <c r="CS104" i="16"/>
  <c r="CZ103" i="16"/>
  <c r="CS103" i="16"/>
  <c r="CZ102" i="16"/>
  <c r="CS102" i="16"/>
  <c r="CZ101" i="16"/>
  <c r="CS101" i="16"/>
  <c r="CZ100" i="16"/>
  <c r="CS100" i="16"/>
  <c r="CZ99" i="16"/>
  <c r="CS99" i="16"/>
  <c r="CZ98" i="16"/>
  <c r="CS98" i="16"/>
  <c r="CZ97" i="16"/>
  <c r="CS97" i="16"/>
  <c r="CZ96" i="16"/>
  <c r="CS96" i="16"/>
  <c r="CZ95" i="16"/>
  <c r="CS95" i="16"/>
  <c r="CZ94" i="16"/>
  <c r="CS94" i="16"/>
  <c r="CZ93" i="16"/>
  <c r="CS93" i="16"/>
  <c r="CZ92" i="16"/>
  <c r="CS92" i="16"/>
  <c r="CZ91" i="16"/>
  <c r="CS91" i="16"/>
  <c r="CZ90" i="16"/>
  <c r="CS90" i="16"/>
  <c r="CZ89" i="16"/>
  <c r="CS89" i="16"/>
  <c r="CZ88" i="16"/>
  <c r="CS88" i="16"/>
  <c r="CZ87" i="16"/>
  <c r="CS87" i="16"/>
  <c r="CZ86" i="16"/>
  <c r="CS86" i="16"/>
  <c r="CZ85" i="16"/>
  <c r="CS85" i="16"/>
  <c r="CZ84" i="16"/>
  <c r="CS84" i="16"/>
  <c r="CZ83" i="16"/>
  <c r="CS83" i="16"/>
  <c r="CZ82" i="16"/>
  <c r="CS82" i="16"/>
  <c r="CZ81" i="16"/>
  <c r="CS81" i="16"/>
  <c r="CZ80" i="16"/>
  <c r="CS80" i="16"/>
  <c r="CZ79" i="16"/>
  <c r="CS79" i="16"/>
  <c r="CZ78" i="16"/>
  <c r="CS78" i="16"/>
  <c r="CZ77" i="16"/>
  <c r="CS77" i="16"/>
  <c r="CZ76" i="16"/>
  <c r="CS76" i="16"/>
  <c r="CZ75" i="16"/>
  <c r="CS75" i="16"/>
  <c r="CZ74" i="16"/>
  <c r="CS74" i="16"/>
  <c r="CZ73" i="16"/>
  <c r="CS73" i="16"/>
  <c r="CZ72" i="16"/>
  <c r="CS72" i="16"/>
  <c r="CZ71" i="16"/>
  <c r="CS71" i="16"/>
  <c r="CZ70" i="16"/>
  <c r="CS70" i="16"/>
  <c r="CZ69" i="16"/>
  <c r="CS69" i="16"/>
  <c r="CZ68" i="16"/>
  <c r="CS68" i="16"/>
  <c r="CZ67" i="16"/>
  <c r="CS67" i="16"/>
  <c r="CZ66" i="16"/>
  <c r="CS66" i="16"/>
  <c r="CZ65" i="16"/>
  <c r="CS65" i="16"/>
  <c r="CZ64" i="16"/>
  <c r="CS64" i="16"/>
  <c r="CZ63" i="16"/>
  <c r="CS63" i="16"/>
  <c r="CZ62" i="16"/>
  <c r="CS62" i="16"/>
  <c r="CZ61" i="16"/>
  <c r="CS61" i="16"/>
  <c r="CZ60" i="16"/>
  <c r="CS60" i="16"/>
  <c r="CZ59" i="16"/>
  <c r="CS59" i="16"/>
  <c r="CZ58" i="16"/>
  <c r="CS58" i="16"/>
  <c r="CZ57" i="16"/>
  <c r="CS57" i="16"/>
  <c r="CZ56" i="16"/>
  <c r="CS56" i="16"/>
  <c r="CZ55" i="16"/>
  <c r="CS55" i="16"/>
  <c r="CZ54" i="16"/>
  <c r="CS54" i="16"/>
  <c r="CZ53" i="16"/>
  <c r="CS53" i="16"/>
  <c r="CZ52" i="16"/>
  <c r="CS52" i="16"/>
  <c r="CZ51" i="16"/>
  <c r="CS51" i="16"/>
  <c r="CZ50" i="16"/>
  <c r="CS50" i="16"/>
  <c r="CZ49" i="16"/>
  <c r="CS49" i="16"/>
  <c r="CZ48" i="16"/>
  <c r="CS48" i="16"/>
  <c r="CZ47" i="16"/>
  <c r="CS47" i="16"/>
  <c r="CZ46" i="16"/>
  <c r="CS46" i="16"/>
  <c r="CZ45" i="16"/>
  <c r="CS45" i="16"/>
  <c r="CZ44" i="16"/>
  <c r="CS44" i="16"/>
  <c r="CZ43" i="16"/>
  <c r="CS43" i="16"/>
  <c r="CZ42" i="16"/>
  <c r="CS42" i="16"/>
  <c r="CZ41" i="16"/>
  <c r="CS41" i="16"/>
  <c r="CZ40" i="16"/>
  <c r="CS40" i="16"/>
  <c r="CZ39" i="16"/>
  <c r="CS39" i="16"/>
  <c r="CZ38" i="16"/>
  <c r="CS38" i="16"/>
  <c r="CZ37" i="16"/>
  <c r="CS37" i="16"/>
  <c r="CZ36" i="16"/>
  <c r="CS36" i="16"/>
  <c r="CZ35" i="16"/>
  <c r="CS35" i="16"/>
  <c r="CZ34" i="16"/>
  <c r="CS34" i="16"/>
  <c r="CZ33" i="16"/>
  <c r="CS33" i="16"/>
  <c r="CZ32" i="16"/>
  <c r="CS32" i="16"/>
  <c r="CZ31" i="16"/>
  <c r="CS31" i="16"/>
  <c r="CZ30" i="16"/>
  <c r="CS30" i="16"/>
  <c r="CZ29" i="16"/>
  <c r="CS29" i="16"/>
  <c r="CZ28" i="16"/>
  <c r="CS28" i="16"/>
  <c r="CZ27" i="16"/>
  <c r="CS27" i="16"/>
  <c r="CZ26" i="16"/>
  <c r="CS26" i="16"/>
  <c r="CZ25" i="16"/>
  <c r="CS25" i="16"/>
  <c r="CZ24" i="16"/>
  <c r="CS24" i="16"/>
  <c r="CZ23" i="16"/>
  <c r="CS23" i="16"/>
  <c r="CZ22" i="16"/>
  <c r="CS22" i="16"/>
  <c r="CZ21" i="16"/>
  <c r="CS21" i="16"/>
  <c r="CZ20" i="16"/>
  <c r="CS20" i="16"/>
  <c r="CZ19" i="16"/>
  <c r="CS19" i="16"/>
  <c r="CZ18" i="16"/>
  <c r="CS18" i="16"/>
  <c r="CZ17" i="16"/>
  <c r="CS17" i="16"/>
  <c r="CZ16" i="16"/>
  <c r="CS16" i="16"/>
  <c r="CZ15" i="16"/>
  <c r="CS15" i="16"/>
  <c r="CZ14" i="16"/>
  <c r="CS14" i="16"/>
  <c r="CZ13" i="16"/>
  <c r="CS13" i="16"/>
  <c r="CZ12" i="16"/>
  <c r="CS12" i="16"/>
  <c r="CZ11" i="16"/>
  <c r="CS11" i="16"/>
  <c r="CZ10" i="16"/>
  <c r="CS10" i="16"/>
  <c r="CZ9" i="16"/>
  <c r="CS9" i="16"/>
  <c r="CZ8" i="16"/>
  <c r="CS8" i="16"/>
  <c r="CZ7" i="16"/>
  <c r="CS7" i="16"/>
  <c r="CZ6" i="16"/>
  <c r="CS6" i="16"/>
  <c r="CZ5" i="16"/>
  <c r="CS5" i="16"/>
  <c r="CZ4" i="16"/>
  <c r="CS4" i="16"/>
  <c r="CZ3" i="16"/>
  <c r="CS3" i="16"/>
  <c r="AY35" i="14"/>
  <c r="AK35" i="14"/>
  <c r="C35" i="14"/>
  <c r="AY34" i="14"/>
  <c r="AK34" i="14"/>
  <c r="C34" i="14"/>
  <c r="AY33" i="14"/>
  <c r="AK33" i="14"/>
  <c r="C33" i="14"/>
  <c r="AY32" i="14"/>
  <c r="AK32" i="14"/>
  <c r="C32" i="14"/>
  <c r="AY31" i="14"/>
  <c r="AK31" i="14"/>
  <c r="C31" i="14"/>
  <c r="AY30" i="14"/>
  <c r="AK30" i="14"/>
  <c r="C30" i="14"/>
  <c r="AY29" i="14"/>
  <c r="AK29" i="14"/>
  <c r="C29" i="14"/>
  <c r="AY28" i="14"/>
  <c r="AK28" i="14"/>
  <c r="C28" i="14"/>
  <c r="AY27" i="14"/>
  <c r="AK27" i="14"/>
  <c r="C27" i="14"/>
  <c r="AY26" i="14"/>
  <c r="AK26" i="14"/>
  <c r="C26" i="14"/>
  <c r="AY25" i="14"/>
  <c r="AK25" i="14"/>
  <c r="C25" i="14"/>
  <c r="AY24" i="14"/>
  <c r="AK24" i="14"/>
  <c r="C24" i="14"/>
  <c r="AY23" i="14"/>
  <c r="AK23" i="14"/>
  <c r="C23" i="14"/>
  <c r="AY22" i="14"/>
  <c r="AK22" i="14"/>
  <c r="C22" i="14"/>
  <c r="AY21" i="14"/>
  <c r="AK21" i="14"/>
  <c r="C21" i="14"/>
  <c r="AY20" i="14"/>
  <c r="AK20" i="14"/>
  <c r="C20" i="14"/>
  <c r="AY19" i="14"/>
  <c r="AK19" i="14"/>
  <c r="C19" i="14"/>
  <c r="AY18" i="14"/>
  <c r="AK18" i="14"/>
  <c r="C18" i="14"/>
  <c r="AY17" i="14"/>
  <c r="AK17" i="14"/>
  <c r="C17" i="14"/>
  <c r="AY16" i="14"/>
  <c r="AK16" i="14"/>
  <c r="C16" i="14"/>
  <c r="AY15" i="14"/>
  <c r="AK15" i="14"/>
  <c r="C15" i="14"/>
  <c r="AY14" i="14"/>
  <c r="AK14" i="14"/>
  <c r="C14" i="14"/>
  <c r="AY13" i="14"/>
  <c r="AK13" i="14"/>
  <c r="C13" i="14"/>
  <c r="AY12" i="14"/>
  <c r="AK12" i="14"/>
  <c r="C12" i="14"/>
  <c r="AY11" i="14"/>
  <c r="AK11" i="14"/>
  <c r="C11" i="14"/>
  <c r="AY10" i="14"/>
  <c r="AK10" i="14"/>
  <c r="C10" i="14"/>
  <c r="AY9" i="14"/>
  <c r="AK9" i="14"/>
  <c r="C9" i="14"/>
  <c r="AY8" i="14"/>
  <c r="AK8" i="14"/>
  <c r="C8" i="14"/>
  <c r="AY7" i="14"/>
  <c r="AK7" i="14"/>
  <c r="C7" i="14"/>
  <c r="AY6" i="14"/>
  <c r="AK6" i="14"/>
  <c r="C6" i="14"/>
  <c r="AY5" i="14"/>
  <c r="AK5" i="14"/>
  <c r="C5" i="14"/>
  <c r="AY4" i="14"/>
  <c r="AK4" i="14"/>
  <c r="C4" i="14"/>
  <c r="H50" i="13"/>
  <c r="F50" i="13"/>
  <c r="D50" i="13"/>
  <c r="C50" i="13"/>
  <c r="H49" i="13"/>
  <c r="F49" i="13"/>
  <c r="D49" i="13"/>
  <c r="C49" i="13"/>
  <c r="H48" i="13"/>
  <c r="F48" i="13"/>
  <c r="D48" i="13"/>
  <c r="C48" i="13"/>
  <c r="H47" i="13"/>
  <c r="F47" i="13"/>
  <c r="D47" i="13"/>
  <c r="C47" i="13"/>
  <c r="H46" i="13"/>
  <c r="F46" i="13"/>
  <c r="D46" i="13"/>
  <c r="C46" i="13"/>
  <c r="H45" i="13"/>
  <c r="F45" i="13"/>
  <c r="D45" i="13"/>
  <c r="C45" i="13"/>
  <c r="H44" i="13"/>
  <c r="F44" i="13"/>
  <c r="D44" i="13"/>
  <c r="C44" i="13"/>
  <c r="H43" i="13"/>
  <c r="F43" i="13"/>
  <c r="D43" i="13"/>
  <c r="C43" i="13"/>
  <c r="H42" i="13"/>
  <c r="F42" i="13"/>
  <c r="D42" i="13"/>
  <c r="C42" i="13"/>
  <c r="H41" i="13"/>
  <c r="F41" i="13"/>
  <c r="D41" i="13"/>
  <c r="C41" i="13"/>
  <c r="H40" i="13"/>
  <c r="F40" i="13"/>
  <c r="D40" i="13"/>
  <c r="C40" i="13"/>
  <c r="H39" i="13"/>
  <c r="F39" i="13"/>
  <c r="D39" i="13"/>
  <c r="C39" i="13"/>
  <c r="H38" i="13"/>
  <c r="F38" i="13"/>
  <c r="D38" i="13"/>
  <c r="C38" i="13"/>
  <c r="F37" i="13"/>
  <c r="D37" i="13"/>
  <c r="C37" i="13"/>
  <c r="F36" i="13"/>
  <c r="D36"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F8" i="13"/>
  <c r="D8" i="13"/>
  <c r="C8" i="13"/>
  <c r="C7" i="13"/>
  <c r="C6" i="13"/>
  <c r="C5" i="13"/>
  <c r="C4" i="13"/>
  <c r="M182" i="12"/>
  <c r="L182" i="12"/>
  <c r="K182" i="12"/>
  <c r="C182" i="12"/>
  <c r="M181" i="12"/>
  <c r="L181" i="12"/>
  <c r="K181" i="12"/>
  <c r="C181" i="12"/>
  <c r="M180" i="12"/>
  <c r="L180" i="12"/>
  <c r="K180" i="12"/>
  <c r="C180" i="12"/>
  <c r="M179" i="12"/>
  <c r="L179" i="12"/>
  <c r="K179" i="12"/>
  <c r="C179" i="12"/>
  <c r="M178" i="12"/>
  <c r="L178" i="12"/>
  <c r="K178" i="12"/>
  <c r="C178" i="12"/>
  <c r="M177" i="12"/>
  <c r="L177" i="12"/>
  <c r="K177" i="12"/>
  <c r="C177" i="12"/>
  <c r="M176" i="12"/>
  <c r="L176" i="12"/>
  <c r="K176" i="12"/>
  <c r="C176" i="12"/>
  <c r="M175" i="12"/>
  <c r="L175" i="12"/>
  <c r="K175" i="12"/>
  <c r="C175" i="12"/>
  <c r="M174" i="12"/>
  <c r="L174" i="12"/>
  <c r="K174" i="12"/>
  <c r="C174" i="12"/>
  <c r="M173" i="12"/>
  <c r="L173" i="12"/>
  <c r="K173" i="12"/>
  <c r="C173" i="12"/>
  <c r="M172" i="12"/>
  <c r="L172" i="12"/>
  <c r="K172" i="12"/>
  <c r="C172" i="12"/>
  <c r="M171" i="12"/>
  <c r="L171" i="12"/>
  <c r="K171" i="12"/>
  <c r="C171" i="12"/>
  <c r="M170" i="12"/>
  <c r="L170" i="12"/>
  <c r="K170" i="12"/>
  <c r="C170" i="12"/>
  <c r="M169" i="12"/>
  <c r="L169" i="12"/>
  <c r="K169" i="12"/>
  <c r="C169" i="12"/>
  <c r="M168" i="12"/>
  <c r="L168" i="12"/>
  <c r="K168" i="12"/>
  <c r="C168" i="12"/>
  <c r="M167" i="12"/>
  <c r="L167" i="12"/>
  <c r="K167" i="12"/>
  <c r="C167" i="12"/>
  <c r="M166" i="12"/>
  <c r="L166" i="12"/>
  <c r="K166" i="12"/>
  <c r="C166" i="12"/>
  <c r="M165" i="12"/>
  <c r="L165" i="12"/>
  <c r="K165" i="12"/>
  <c r="C165" i="12"/>
  <c r="M164" i="12"/>
  <c r="L164" i="12"/>
  <c r="K164" i="12"/>
  <c r="C164" i="12"/>
  <c r="M163" i="12"/>
  <c r="L163" i="12"/>
  <c r="K163" i="12"/>
  <c r="C163" i="12"/>
  <c r="M162" i="12"/>
  <c r="L162" i="12"/>
  <c r="K162" i="12"/>
  <c r="C162" i="12"/>
  <c r="M161" i="12"/>
  <c r="L161" i="12"/>
  <c r="K161" i="12"/>
  <c r="C161" i="12"/>
  <c r="M160" i="12"/>
  <c r="L160" i="12"/>
  <c r="K160" i="12"/>
  <c r="C160" i="12"/>
  <c r="M159" i="12"/>
  <c r="L159" i="12"/>
  <c r="K159" i="12"/>
  <c r="C159" i="12"/>
  <c r="M158" i="12"/>
  <c r="L158" i="12"/>
  <c r="K158" i="12"/>
  <c r="C158" i="12"/>
  <c r="M157" i="12"/>
  <c r="L157" i="12"/>
  <c r="K157" i="12"/>
  <c r="C157" i="12"/>
  <c r="M156" i="12"/>
  <c r="L156" i="12"/>
  <c r="K156" i="12"/>
  <c r="C156" i="12"/>
  <c r="M155" i="12"/>
  <c r="L155" i="12"/>
  <c r="K155" i="12"/>
  <c r="C155" i="12"/>
  <c r="M154" i="12"/>
  <c r="L154" i="12"/>
  <c r="K154" i="12"/>
  <c r="C154" i="12"/>
  <c r="M153" i="12"/>
  <c r="L153" i="12"/>
  <c r="K153" i="12"/>
  <c r="C153" i="12"/>
  <c r="M152" i="12"/>
  <c r="L152" i="12"/>
  <c r="K152" i="12"/>
  <c r="C152" i="12"/>
  <c r="M151" i="12"/>
  <c r="L151" i="12"/>
  <c r="K151" i="12"/>
  <c r="C151" i="12"/>
  <c r="M150" i="12"/>
  <c r="L150" i="12"/>
  <c r="K150" i="12"/>
  <c r="C150" i="12"/>
  <c r="M149" i="12"/>
  <c r="L149" i="12"/>
  <c r="K149" i="12"/>
  <c r="C149" i="12"/>
  <c r="M148" i="12"/>
  <c r="L148" i="12"/>
  <c r="K148" i="12"/>
  <c r="C148" i="12"/>
  <c r="M147" i="12"/>
  <c r="L147" i="12"/>
  <c r="K147" i="12"/>
  <c r="C147" i="12"/>
  <c r="M146" i="12"/>
  <c r="L146" i="12"/>
  <c r="K146" i="12"/>
  <c r="C146" i="12"/>
  <c r="M145" i="12"/>
  <c r="L145" i="12"/>
  <c r="K145" i="12"/>
  <c r="C145" i="12"/>
  <c r="M144" i="12"/>
  <c r="L144" i="12"/>
  <c r="K144" i="12"/>
  <c r="C144" i="12"/>
  <c r="M143" i="12"/>
  <c r="L143" i="12"/>
  <c r="K143" i="12"/>
  <c r="C143" i="12"/>
  <c r="M142" i="12"/>
  <c r="L142" i="12"/>
  <c r="K142" i="12"/>
  <c r="C142" i="12"/>
  <c r="M141" i="12"/>
  <c r="L141" i="12"/>
  <c r="K141" i="12"/>
  <c r="C141" i="12"/>
  <c r="M140" i="12"/>
  <c r="L140" i="12"/>
  <c r="K140" i="12"/>
  <c r="C140" i="12"/>
  <c r="M139" i="12"/>
  <c r="L139" i="12"/>
  <c r="K139" i="12"/>
  <c r="C139" i="12"/>
  <c r="M138" i="12"/>
  <c r="L138" i="12"/>
  <c r="K138" i="12"/>
  <c r="C138" i="12"/>
  <c r="M137" i="12"/>
  <c r="L137" i="12"/>
  <c r="K137" i="12"/>
  <c r="C137" i="12"/>
  <c r="M136" i="12"/>
  <c r="L136" i="12"/>
  <c r="K136" i="12"/>
  <c r="C136" i="12"/>
  <c r="M135" i="12"/>
  <c r="L135" i="12"/>
  <c r="K135" i="12"/>
  <c r="C135" i="12"/>
  <c r="M134" i="12"/>
  <c r="L134" i="12"/>
  <c r="K134" i="12"/>
  <c r="C134" i="12"/>
  <c r="M133" i="12"/>
  <c r="L133" i="12"/>
  <c r="K133" i="12"/>
  <c r="C133" i="12"/>
  <c r="M132" i="12"/>
  <c r="L132" i="12"/>
  <c r="K132" i="12"/>
  <c r="C132" i="12"/>
  <c r="M131" i="12"/>
  <c r="L131" i="12"/>
  <c r="K131" i="12"/>
  <c r="C131" i="12"/>
  <c r="M130" i="12"/>
  <c r="L130" i="12"/>
  <c r="K130" i="12"/>
  <c r="C130" i="12"/>
  <c r="M129" i="12"/>
  <c r="L129" i="12"/>
  <c r="K129" i="12"/>
  <c r="C129" i="12"/>
  <c r="M128" i="12"/>
  <c r="L128" i="12"/>
  <c r="K128" i="12"/>
  <c r="C128" i="12"/>
  <c r="M127" i="12"/>
  <c r="L127" i="12"/>
  <c r="K127" i="12"/>
  <c r="C127" i="12"/>
  <c r="M126" i="12"/>
  <c r="L126" i="12"/>
  <c r="K126" i="12"/>
  <c r="C126" i="12"/>
  <c r="M125" i="12"/>
  <c r="L125" i="12"/>
  <c r="K125" i="12"/>
  <c r="C125" i="12"/>
  <c r="M124" i="12"/>
  <c r="L124" i="12"/>
  <c r="K124" i="12"/>
  <c r="C124" i="12"/>
  <c r="M123" i="12"/>
  <c r="L123" i="12"/>
  <c r="K123" i="12"/>
  <c r="C123" i="12"/>
  <c r="M122" i="12"/>
  <c r="L122" i="12"/>
  <c r="K122" i="12"/>
  <c r="C122" i="12"/>
  <c r="M121" i="12"/>
  <c r="L121" i="12"/>
  <c r="K121" i="12"/>
  <c r="C121" i="12"/>
  <c r="M120" i="12"/>
  <c r="L120" i="12"/>
  <c r="K120" i="12"/>
  <c r="C120" i="12"/>
  <c r="M119" i="12"/>
  <c r="L119" i="12"/>
  <c r="K119" i="12"/>
  <c r="C119" i="12"/>
  <c r="M118" i="12"/>
  <c r="L118" i="12"/>
  <c r="K118" i="12"/>
  <c r="C118" i="12"/>
  <c r="C117" i="12"/>
  <c r="M116" i="12"/>
  <c r="L116" i="12"/>
  <c r="K116" i="12"/>
  <c r="C116" i="12"/>
  <c r="M115" i="12"/>
  <c r="L115" i="12"/>
  <c r="K115" i="12"/>
  <c r="C115" i="12"/>
  <c r="M114" i="12"/>
  <c r="L114" i="12"/>
  <c r="K114" i="12"/>
  <c r="C114" i="12"/>
  <c r="M113" i="12"/>
  <c r="L113" i="12"/>
  <c r="K113" i="12"/>
  <c r="C113" i="12"/>
  <c r="M112" i="12"/>
  <c r="L112" i="12"/>
  <c r="K112" i="12"/>
  <c r="C112" i="12"/>
  <c r="M111" i="12"/>
  <c r="L111" i="12"/>
  <c r="K111" i="12"/>
  <c r="C111" i="12"/>
  <c r="M110" i="12"/>
  <c r="L110" i="12"/>
  <c r="K110" i="12"/>
  <c r="C110" i="12"/>
  <c r="C109" i="12"/>
  <c r="M108" i="12"/>
  <c r="L108" i="12"/>
  <c r="K108" i="12"/>
  <c r="C108" i="12"/>
  <c r="M107" i="12"/>
  <c r="L107" i="12"/>
  <c r="K107" i="12"/>
  <c r="C107" i="12"/>
  <c r="M106" i="12"/>
  <c r="L106" i="12"/>
  <c r="K106" i="12"/>
  <c r="C106" i="12"/>
  <c r="M105" i="12"/>
  <c r="L105" i="12"/>
  <c r="K105" i="12"/>
  <c r="C105" i="12"/>
  <c r="M104" i="12"/>
  <c r="L104" i="12"/>
  <c r="K104" i="12"/>
  <c r="C104" i="12"/>
  <c r="M103" i="12"/>
  <c r="L103" i="12"/>
  <c r="K103" i="12"/>
  <c r="C103" i="12"/>
  <c r="M102" i="12"/>
  <c r="L102" i="12"/>
  <c r="K102" i="12"/>
  <c r="C102" i="12"/>
  <c r="M101" i="12"/>
  <c r="L101" i="12"/>
  <c r="K101" i="12"/>
  <c r="C101" i="12"/>
  <c r="M100" i="12"/>
  <c r="L100" i="12"/>
  <c r="K100" i="12"/>
  <c r="C100" i="12"/>
  <c r="M99" i="12"/>
  <c r="L99" i="12"/>
  <c r="K99" i="12"/>
  <c r="C99" i="12"/>
  <c r="M98" i="12"/>
  <c r="L98" i="12"/>
  <c r="K98" i="12"/>
  <c r="C98" i="12"/>
  <c r="M97" i="12"/>
  <c r="L97" i="12"/>
  <c r="K97" i="12"/>
  <c r="C97" i="12"/>
  <c r="M96" i="12"/>
  <c r="L96" i="12"/>
  <c r="K96" i="12"/>
  <c r="C96" i="12"/>
  <c r="M95" i="12"/>
  <c r="L95" i="12"/>
  <c r="K95" i="12"/>
  <c r="C95" i="12"/>
  <c r="M94" i="12"/>
  <c r="L94" i="12"/>
  <c r="K94" i="12"/>
  <c r="C94" i="12"/>
  <c r="M93" i="12"/>
  <c r="L93" i="12"/>
  <c r="K93" i="12"/>
  <c r="C93" i="12"/>
  <c r="M92" i="12"/>
  <c r="L92" i="12"/>
  <c r="K92" i="12"/>
  <c r="C92" i="12"/>
  <c r="M91" i="12"/>
  <c r="L91" i="12"/>
  <c r="K91" i="12"/>
  <c r="C91" i="12"/>
  <c r="M90" i="12"/>
  <c r="L90" i="12"/>
  <c r="K90" i="12"/>
  <c r="C90" i="12"/>
  <c r="M89" i="12"/>
  <c r="L89" i="12"/>
  <c r="K89" i="12"/>
  <c r="C89" i="12"/>
  <c r="M88" i="12"/>
  <c r="L88" i="12"/>
  <c r="K88" i="12"/>
  <c r="C88" i="12"/>
  <c r="M87" i="12"/>
  <c r="L87" i="12"/>
  <c r="K87" i="12"/>
  <c r="C87" i="12"/>
  <c r="M86" i="12"/>
  <c r="L86" i="12"/>
  <c r="K86" i="12"/>
  <c r="C86" i="12"/>
  <c r="M85" i="12"/>
  <c r="L85" i="12"/>
  <c r="K85" i="12"/>
  <c r="C85" i="12"/>
  <c r="C84" i="12"/>
  <c r="C83" i="12"/>
  <c r="C82" i="12"/>
  <c r="C81" i="12"/>
  <c r="C80" i="12"/>
  <c r="C79" i="12"/>
  <c r="C78" i="12"/>
  <c r="C77" i="12"/>
  <c r="C76" i="12"/>
  <c r="C75" i="12"/>
  <c r="C74" i="12"/>
  <c r="C73" i="12"/>
  <c r="M72" i="12"/>
  <c r="L72" i="12"/>
  <c r="K72" i="12"/>
  <c r="C72" i="12"/>
  <c r="C71" i="12"/>
  <c r="C70" i="12"/>
  <c r="C69" i="12"/>
  <c r="M68" i="12"/>
  <c r="L68" i="12"/>
  <c r="K68" i="12"/>
  <c r="C68" i="12"/>
  <c r="C67" i="12"/>
  <c r="C66" i="12"/>
  <c r="C65" i="12"/>
  <c r="C64" i="12"/>
  <c r="C63" i="12"/>
  <c r="C62" i="12"/>
  <c r="C61" i="12"/>
  <c r="C60" i="12"/>
  <c r="C59" i="12"/>
  <c r="C58" i="12"/>
  <c r="C57" i="12"/>
  <c r="C56" i="12"/>
  <c r="C55" i="12"/>
  <c r="C54" i="12"/>
  <c r="C53" i="12"/>
  <c r="C52" i="12"/>
  <c r="C51" i="12"/>
  <c r="C50" i="12"/>
  <c r="C49" i="12"/>
  <c r="C48" i="12"/>
  <c r="M47" i="12"/>
  <c r="L47" i="12"/>
  <c r="K47"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Q182" i="11"/>
  <c r="P182" i="11"/>
  <c r="O182" i="11"/>
  <c r="C182" i="11"/>
  <c r="Q181" i="11"/>
  <c r="P181" i="11"/>
  <c r="O181" i="11"/>
  <c r="C181" i="11"/>
  <c r="Q180" i="11"/>
  <c r="P180" i="11"/>
  <c r="O180" i="11"/>
  <c r="C180" i="11"/>
  <c r="Q179" i="11"/>
  <c r="P179" i="11"/>
  <c r="O179" i="11"/>
  <c r="C179" i="11"/>
  <c r="Q178" i="11"/>
  <c r="P178" i="11"/>
  <c r="O178" i="11"/>
  <c r="C178" i="11"/>
  <c r="Q177" i="11"/>
  <c r="P177" i="11"/>
  <c r="O177" i="11"/>
  <c r="C177" i="11"/>
  <c r="Q176" i="11"/>
  <c r="P176" i="11"/>
  <c r="O176" i="11"/>
  <c r="C176" i="11"/>
  <c r="Q175" i="11"/>
  <c r="P175" i="11"/>
  <c r="O175" i="11"/>
  <c r="C175" i="11"/>
  <c r="Q174" i="11"/>
  <c r="P174" i="11"/>
  <c r="O174" i="11"/>
  <c r="C174" i="11"/>
  <c r="Q173" i="11"/>
  <c r="P173" i="11"/>
  <c r="O173" i="11"/>
  <c r="C173" i="11"/>
  <c r="Q172" i="11"/>
  <c r="P172" i="11"/>
  <c r="O172" i="11"/>
  <c r="C172" i="11"/>
  <c r="Q171" i="11"/>
  <c r="P171" i="11"/>
  <c r="O171" i="11"/>
  <c r="C171" i="11"/>
  <c r="Q170" i="11"/>
  <c r="P170" i="11"/>
  <c r="O170" i="11"/>
  <c r="C170" i="11"/>
  <c r="Q169" i="11"/>
  <c r="P169" i="11"/>
  <c r="O169" i="11"/>
  <c r="C169" i="11"/>
  <c r="Q168" i="11"/>
  <c r="P168" i="11"/>
  <c r="O168" i="11"/>
  <c r="C168" i="11"/>
  <c r="Q167" i="11"/>
  <c r="P167" i="11"/>
  <c r="O167" i="11"/>
  <c r="C167" i="11"/>
  <c r="Q166" i="11"/>
  <c r="P166" i="11"/>
  <c r="O166" i="11"/>
  <c r="C166" i="11"/>
  <c r="Q165" i="11"/>
  <c r="P165" i="11"/>
  <c r="O165" i="11"/>
  <c r="C165" i="11"/>
  <c r="Q164" i="11"/>
  <c r="P164" i="11"/>
  <c r="O164" i="11"/>
  <c r="C164" i="11"/>
  <c r="Q163" i="11"/>
  <c r="P163" i="11"/>
  <c r="O163" i="11"/>
  <c r="C163" i="11"/>
  <c r="Q162" i="11"/>
  <c r="P162" i="11"/>
  <c r="O162" i="11"/>
  <c r="C162" i="11"/>
  <c r="Q161" i="11"/>
  <c r="P161" i="11"/>
  <c r="O161" i="11"/>
  <c r="C161" i="11"/>
  <c r="Q160" i="11"/>
  <c r="P160" i="11"/>
  <c r="O160" i="11"/>
  <c r="C160" i="11"/>
  <c r="Q159" i="11"/>
  <c r="P159" i="11"/>
  <c r="O159" i="11"/>
  <c r="C159" i="11"/>
  <c r="Q158" i="11"/>
  <c r="P158" i="11"/>
  <c r="O158" i="11"/>
  <c r="C158" i="11"/>
  <c r="Q157" i="11"/>
  <c r="P157" i="11"/>
  <c r="O157" i="11"/>
  <c r="C157" i="11"/>
  <c r="Q156" i="11"/>
  <c r="P156" i="11"/>
  <c r="O156" i="11"/>
  <c r="C156" i="11"/>
  <c r="Q155" i="11"/>
  <c r="P155" i="11"/>
  <c r="O155" i="11"/>
  <c r="C155" i="11"/>
  <c r="Q154" i="11"/>
  <c r="P154" i="11"/>
  <c r="O154" i="11"/>
  <c r="C154" i="11"/>
  <c r="Q153" i="11"/>
  <c r="P153" i="11"/>
  <c r="O153" i="11"/>
  <c r="C153" i="11"/>
  <c r="Q152" i="11"/>
  <c r="P152" i="11"/>
  <c r="O152"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Q71" i="11"/>
  <c r="P71" i="11"/>
  <c r="O71" i="11"/>
  <c r="C71" i="11"/>
  <c r="C70" i="11"/>
  <c r="C69" i="11"/>
  <c r="C68" i="11"/>
  <c r="C67" i="11"/>
  <c r="C66" i="11"/>
  <c r="C65" i="11"/>
  <c r="C64" i="11"/>
  <c r="C63" i="11"/>
  <c r="C62" i="11"/>
  <c r="Q61" i="11"/>
  <c r="P61" i="11"/>
  <c r="O61"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U182" i="10"/>
  <c r="S182" i="10"/>
  <c r="R182" i="10"/>
  <c r="Q182" i="10"/>
  <c r="O182" i="10"/>
  <c r="C182" i="10"/>
  <c r="U181" i="10"/>
  <c r="S181" i="10"/>
  <c r="R181" i="10"/>
  <c r="Q181" i="10"/>
  <c r="O181" i="10"/>
  <c r="C181" i="10"/>
  <c r="U180" i="10"/>
  <c r="S180" i="10"/>
  <c r="R180" i="10"/>
  <c r="Q180" i="10"/>
  <c r="O180" i="10"/>
  <c r="C180" i="10"/>
  <c r="U179" i="10"/>
  <c r="S179" i="10"/>
  <c r="R179" i="10"/>
  <c r="Q179" i="10"/>
  <c r="O179" i="10"/>
  <c r="C179" i="10"/>
  <c r="U178" i="10"/>
  <c r="S178" i="10"/>
  <c r="R178" i="10"/>
  <c r="Q178" i="10"/>
  <c r="O178" i="10"/>
  <c r="C178" i="10"/>
  <c r="U177" i="10"/>
  <c r="S177" i="10"/>
  <c r="R177" i="10"/>
  <c r="Q177" i="10"/>
  <c r="O177" i="10"/>
  <c r="C177" i="10"/>
  <c r="U176" i="10"/>
  <c r="S176" i="10"/>
  <c r="R176" i="10"/>
  <c r="Q176" i="10"/>
  <c r="O176" i="10"/>
  <c r="C176" i="10"/>
  <c r="U175" i="10"/>
  <c r="S175" i="10"/>
  <c r="R175" i="10"/>
  <c r="Q175" i="10"/>
  <c r="O175" i="10"/>
  <c r="C175" i="10"/>
  <c r="U174" i="10"/>
  <c r="S174" i="10"/>
  <c r="R174" i="10"/>
  <c r="Q174" i="10"/>
  <c r="O174" i="10"/>
  <c r="C174" i="10"/>
  <c r="U173" i="10"/>
  <c r="S173" i="10"/>
  <c r="R173" i="10"/>
  <c r="Q173" i="10"/>
  <c r="O173" i="10"/>
  <c r="C173" i="10"/>
  <c r="U172" i="10"/>
  <c r="S172" i="10"/>
  <c r="R172" i="10"/>
  <c r="Q172" i="10"/>
  <c r="O172" i="10"/>
  <c r="C172" i="10"/>
  <c r="U171" i="10"/>
  <c r="S171" i="10"/>
  <c r="R171" i="10"/>
  <c r="Q171" i="10"/>
  <c r="O171" i="10"/>
  <c r="C171" i="10"/>
  <c r="U170" i="10"/>
  <c r="S170" i="10"/>
  <c r="R170" i="10"/>
  <c r="Q170" i="10"/>
  <c r="O170" i="10"/>
  <c r="C170" i="10"/>
  <c r="U169" i="10"/>
  <c r="S169" i="10"/>
  <c r="R169" i="10"/>
  <c r="Q169" i="10"/>
  <c r="O169" i="10"/>
  <c r="C169" i="10"/>
  <c r="U168" i="10"/>
  <c r="S168" i="10"/>
  <c r="R168" i="10"/>
  <c r="Q168" i="10"/>
  <c r="O168" i="10"/>
  <c r="C168" i="10"/>
  <c r="U167" i="10"/>
  <c r="S167" i="10"/>
  <c r="R167" i="10"/>
  <c r="Q167" i="10"/>
  <c r="O167" i="10"/>
  <c r="C167" i="10"/>
  <c r="U166" i="10"/>
  <c r="S166" i="10"/>
  <c r="R166" i="10"/>
  <c r="Q166" i="10"/>
  <c r="O166" i="10"/>
  <c r="C166" i="10"/>
  <c r="U165" i="10"/>
  <c r="S165" i="10"/>
  <c r="R165" i="10"/>
  <c r="Q165" i="10"/>
  <c r="O165" i="10"/>
  <c r="C165" i="10"/>
  <c r="U164" i="10"/>
  <c r="S164" i="10"/>
  <c r="R164" i="10"/>
  <c r="Q164" i="10"/>
  <c r="O164" i="10"/>
  <c r="C164" i="10"/>
  <c r="U163" i="10"/>
  <c r="S163" i="10"/>
  <c r="R163" i="10"/>
  <c r="Q163" i="10"/>
  <c r="O163" i="10"/>
  <c r="C163" i="10"/>
  <c r="U162" i="10"/>
  <c r="S162" i="10"/>
  <c r="R162" i="10"/>
  <c r="Q162" i="10"/>
  <c r="O162" i="10"/>
  <c r="C162" i="10"/>
  <c r="U161" i="10"/>
  <c r="S161" i="10"/>
  <c r="R161" i="10"/>
  <c r="Q161" i="10"/>
  <c r="O161" i="10"/>
  <c r="C161" i="10"/>
  <c r="U160" i="10"/>
  <c r="S160" i="10"/>
  <c r="R160" i="10"/>
  <c r="Q160" i="10"/>
  <c r="O160" i="10"/>
  <c r="C160" i="10"/>
  <c r="U159" i="10"/>
  <c r="S159" i="10"/>
  <c r="R159" i="10"/>
  <c r="Q159" i="10"/>
  <c r="O159" i="10"/>
  <c r="C159" i="10"/>
  <c r="U158" i="10"/>
  <c r="S158" i="10"/>
  <c r="R158" i="10"/>
  <c r="Q158" i="10"/>
  <c r="O158" i="10"/>
  <c r="C158" i="10"/>
  <c r="U157" i="10"/>
  <c r="S157" i="10"/>
  <c r="R157" i="10"/>
  <c r="Q157" i="10"/>
  <c r="O157" i="10"/>
  <c r="C157" i="10"/>
  <c r="U156" i="10"/>
  <c r="S156" i="10"/>
  <c r="R156" i="10"/>
  <c r="Q156" i="10"/>
  <c r="O156" i="10"/>
  <c r="C156" i="10"/>
  <c r="U155" i="10"/>
  <c r="S155" i="10"/>
  <c r="R155" i="10"/>
  <c r="Q155" i="10"/>
  <c r="O155" i="10"/>
  <c r="C155" i="10"/>
  <c r="U154" i="10"/>
  <c r="S154" i="10"/>
  <c r="R154" i="10"/>
  <c r="Q154" i="10"/>
  <c r="O154" i="10"/>
  <c r="C154" i="10"/>
  <c r="U153" i="10"/>
  <c r="S153" i="10"/>
  <c r="R153" i="10"/>
  <c r="Q153" i="10"/>
  <c r="O153" i="10"/>
  <c r="C153" i="10"/>
  <c r="U152" i="10"/>
  <c r="S152" i="10"/>
  <c r="R152" i="10"/>
  <c r="Q152" i="10"/>
  <c r="O152" i="10"/>
  <c r="C152" i="10"/>
  <c r="U151" i="10"/>
  <c r="S151" i="10"/>
  <c r="R151" i="10"/>
  <c r="Q151" i="10"/>
  <c r="O151" i="10"/>
  <c r="C151" i="10"/>
  <c r="U150" i="10"/>
  <c r="S150" i="10"/>
  <c r="R150" i="10"/>
  <c r="Q150" i="10"/>
  <c r="O150" i="10"/>
  <c r="C150" i="10"/>
  <c r="U149" i="10"/>
  <c r="S149" i="10"/>
  <c r="R149" i="10"/>
  <c r="Q149" i="10"/>
  <c r="O149" i="10"/>
  <c r="C149" i="10"/>
  <c r="U148" i="10"/>
  <c r="S148" i="10"/>
  <c r="R148" i="10"/>
  <c r="Q148" i="10"/>
  <c r="O148" i="10"/>
  <c r="C148" i="10"/>
  <c r="U147" i="10"/>
  <c r="S147" i="10"/>
  <c r="R147" i="10"/>
  <c r="Q147" i="10"/>
  <c r="O147" i="10"/>
  <c r="C147" i="10"/>
  <c r="U146" i="10"/>
  <c r="S146" i="10"/>
  <c r="R146" i="10"/>
  <c r="Q146" i="10"/>
  <c r="O146" i="10"/>
  <c r="C146" i="10"/>
  <c r="U145" i="10"/>
  <c r="S145" i="10"/>
  <c r="R145" i="10"/>
  <c r="Q145" i="10"/>
  <c r="O145" i="10"/>
  <c r="C145" i="10"/>
  <c r="U144" i="10"/>
  <c r="S144" i="10"/>
  <c r="R144" i="10"/>
  <c r="Q144" i="10"/>
  <c r="O144" i="10"/>
  <c r="C144" i="10"/>
  <c r="U143" i="10"/>
  <c r="S143" i="10"/>
  <c r="R143" i="10"/>
  <c r="Q143" i="10"/>
  <c r="O143" i="10"/>
  <c r="C143" i="10"/>
  <c r="U142" i="10"/>
  <c r="S142" i="10"/>
  <c r="R142" i="10"/>
  <c r="Q142" i="10"/>
  <c r="O142" i="10"/>
  <c r="C142" i="10"/>
  <c r="U141" i="10"/>
  <c r="S141" i="10"/>
  <c r="R141" i="10"/>
  <c r="Q141" i="10"/>
  <c r="O141" i="10"/>
  <c r="C141" i="10"/>
  <c r="U140" i="10"/>
  <c r="S140" i="10"/>
  <c r="R140" i="10"/>
  <c r="Q140" i="10"/>
  <c r="O140" i="10"/>
  <c r="C140" i="10"/>
  <c r="U139" i="10"/>
  <c r="S139" i="10"/>
  <c r="R139" i="10"/>
  <c r="Q139" i="10"/>
  <c r="O139" i="10"/>
  <c r="C139" i="10"/>
  <c r="U138" i="10"/>
  <c r="S138" i="10"/>
  <c r="R138" i="10"/>
  <c r="Q138" i="10"/>
  <c r="O138" i="10"/>
  <c r="C138" i="10"/>
  <c r="U137" i="10"/>
  <c r="S137" i="10"/>
  <c r="R137" i="10"/>
  <c r="Q137" i="10"/>
  <c r="O137" i="10"/>
  <c r="C137" i="10"/>
  <c r="U136" i="10"/>
  <c r="S136" i="10"/>
  <c r="R136" i="10"/>
  <c r="Q136" i="10"/>
  <c r="O136" i="10"/>
  <c r="C136" i="10"/>
  <c r="U135" i="10"/>
  <c r="S135" i="10"/>
  <c r="R135" i="10"/>
  <c r="Q135" i="10"/>
  <c r="O135" i="10"/>
  <c r="C135" i="10"/>
  <c r="U134" i="10"/>
  <c r="S134" i="10"/>
  <c r="R134" i="10"/>
  <c r="Q134" i="10"/>
  <c r="O134" i="10"/>
  <c r="C134" i="10"/>
  <c r="U133" i="10"/>
  <c r="S133" i="10"/>
  <c r="R133" i="10"/>
  <c r="Q133" i="10"/>
  <c r="O133" i="10"/>
  <c r="C133" i="10"/>
  <c r="U132" i="10"/>
  <c r="S132" i="10"/>
  <c r="R132" i="10"/>
  <c r="Q132" i="10"/>
  <c r="O132" i="10"/>
  <c r="C132" i="10"/>
  <c r="U131" i="10"/>
  <c r="S131" i="10"/>
  <c r="R131" i="10"/>
  <c r="Q131" i="10"/>
  <c r="O131" i="10"/>
  <c r="C131" i="10"/>
  <c r="U130" i="10"/>
  <c r="S130" i="10"/>
  <c r="R130" i="10"/>
  <c r="Q130" i="10"/>
  <c r="O130" i="10"/>
  <c r="C130" i="10"/>
  <c r="U129" i="10"/>
  <c r="S129" i="10"/>
  <c r="R129" i="10"/>
  <c r="Q129" i="10"/>
  <c r="O129" i="10"/>
  <c r="C129" i="10"/>
  <c r="U128" i="10"/>
  <c r="S128" i="10"/>
  <c r="R128" i="10"/>
  <c r="Q128" i="10"/>
  <c r="O128" i="10"/>
  <c r="C128" i="10"/>
  <c r="U127" i="10"/>
  <c r="S127" i="10"/>
  <c r="R127" i="10"/>
  <c r="Q127" i="10"/>
  <c r="O127" i="10"/>
  <c r="C127" i="10"/>
  <c r="U126" i="10"/>
  <c r="S126" i="10"/>
  <c r="R126" i="10"/>
  <c r="Q126" i="10"/>
  <c r="O126" i="10"/>
  <c r="C126" i="10"/>
  <c r="U125" i="10"/>
  <c r="S125" i="10"/>
  <c r="R125" i="10"/>
  <c r="Q125" i="10"/>
  <c r="O125" i="10"/>
  <c r="C125" i="10"/>
  <c r="U124" i="10"/>
  <c r="S124" i="10"/>
  <c r="R124" i="10"/>
  <c r="Q124" i="10"/>
  <c r="O124" i="10"/>
  <c r="C124" i="10"/>
  <c r="U123" i="10"/>
  <c r="S123" i="10"/>
  <c r="R123" i="10"/>
  <c r="Q123" i="10"/>
  <c r="O123" i="10"/>
  <c r="C123" i="10"/>
  <c r="U122" i="10"/>
  <c r="C122" i="10"/>
  <c r="U121" i="10"/>
  <c r="C121" i="10"/>
  <c r="U120" i="10"/>
  <c r="C120" i="10"/>
  <c r="U119" i="10"/>
  <c r="C119" i="10"/>
  <c r="U118" i="10"/>
  <c r="C118" i="10"/>
  <c r="U117" i="10"/>
  <c r="C117" i="10"/>
  <c r="U116" i="10"/>
  <c r="C116" i="10"/>
  <c r="U115" i="10"/>
  <c r="C115" i="10"/>
  <c r="U114" i="10"/>
  <c r="C114" i="10"/>
  <c r="U113" i="10"/>
  <c r="C113" i="10"/>
  <c r="U112" i="10"/>
  <c r="C112" i="10"/>
  <c r="U111" i="10"/>
  <c r="C111" i="10"/>
  <c r="U110" i="10"/>
  <c r="S110" i="10"/>
  <c r="R110" i="10"/>
  <c r="Q110" i="10"/>
  <c r="O110" i="10"/>
  <c r="C110" i="10"/>
  <c r="U109" i="10"/>
  <c r="C109" i="10"/>
  <c r="U108" i="10"/>
  <c r="C108" i="10"/>
  <c r="U107" i="10"/>
  <c r="C107" i="10"/>
  <c r="U106" i="10"/>
  <c r="C106" i="10"/>
  <c r="U105" i="10"/>
  <c r="C105" i="10"/>
  <c r="U104" i="10"/>
  <c r="C104" i="10"/>
  <c r="U103" i="10"/>
  <c r="C103" i="10"/>
  <c r="U102" i="10"/>
  <c r="C102" i="10"/>
  <c r="U101" i="10"/>
  <c r="C101" i="10"/>
  <c r="U100" i="10"/>
  <c r="C100" i="10"/>
  <c r="U99" i="10"/>
  <c r="C99" i="10"/>
  <c r="U98" i="10"/>
  <c r="C98" i="10"/>
  <c r="U97" i="10"/>
  <c r="C97" i="10"/>
  <c r="U96" i="10"/>
  <c r="C96" i="10"/>
  <c r="U95" i="10"/>
  <c r="C95" i="10"/>
  <c r="U94" i="10"/>
  <c r="C94" i="10"/>
  <c r="U93" i="10"/>
  <c r="C93" i="10"/>
  <c r="U92" i="10"/>
  <c r="C92" i="10"/>
  <c r="U91" i="10"/>
  <c r="C91" i="10"/>
  <c r="U90" i="10"/>
  <c r="C90" i="10"/>
  <c r="U89" i="10"/>
  <c r="S89" i="10"/>
  <c r="R89" i="10"/>
  <c r="Q89" i="10"/>
  <c r="O89" i="10"/>
  <c r="C89" i="10"/>
  <c r="U88" i="10"/>
  <c r="C88" i="10"/>
  <c r="U87" i="10"/>
  <c r="C87" i="10"/>
  <c r="U86" i="10"/>
  <c r="C86" i="10"/>
  <c r="U85" i="10"/>
  <c r="S85" i="10"/>
  <c r="R85" i="10"/>
  <c r="Q85" i="10"/>
  <c r="O85" i="10"/>
  <c r="C85" i="10"/>
  <c r="U84" i="10"/>
  <c r="C84" i="10"/>
  <c r="U83" i="10"/>
  <c r="C83" i="10"/>
  <c r="U82" i="10"/>
  <c r="C82" i="10"/>
  <c r="U81" i="10"/>
  <c r="C81" i="10"/>
  <c r="U80" i="10"/>
  <c r="C80" i="10"/>
  <c r="U79" i="10"/>
  <c r="C79" i="10"/>
  <c r="U78" i="10"/>
  <c r="C78" i="10"/>
  <c r="U77" i="10"/>
  <c r="C77" i="10"/>
  <c r="U76" i="10"/>
  <c r="C76" i="10"/>
  <c r="U75" i="10"/>
  <c r="C75" i="10"/>
  <c r="U74" i="10"/>
  <c r="C74" i="10"/>
  <c r="U73" i="10"/>
  <c r="C73" i="10"/>
  <c r="U72" i="10"/>
  <c r="C72" i="10"/>
  <c r="U71" i="10"/>
  <c r="C71" i="10"/>
  <c r="U70" i="10"/>
  <c r="C70" i="10"/>
  <c r="U69" i="10"/>
  <c r="C69" i="10"/>
  <c r="U68" i="10"/>
  <c r="C68" i="10"/>
  <c r="U67" i="10"/>
  <c r="C67" i="10"/>
  <c r="U66" i="10"/>
  <c r="C66" i="10"/>
  <c r="U65" i="10"/>
  <c r="C65" i="10"/>
  <c r="U64" i="10"/>
  <c r="C64" i="10"/>
  <c r="U63" i="10"/>
  <c r="C63" i="10"/>
  <c r="U62" i="10"/>
  <c r="C62" i="10"/>
  <c r="U61" i="10"/>
  <c r="C61" i="10"/>
  <c r="U60" i="10"/>
  <c r="C60" i="10"/>
  <c r="U59" i="10"/>
  <c r="C59" i="10"/>
  <c r="U58" i="10"/>
  <c r="C58" i="10"/>
  <c r="U57" i="10"/>
  <c r="C57" i="10"/>
  <c r="U56" i="10"/>
  <c r="C56" i="10"/>
  <c r="U55" i="10"/>
  <c r="C55" i="10"/>
  <c r="U54" i="10"/>
  <c r="C54" i="10"/>
  <c r="U53" i="10"/>
  <c r="C53" i="10"/>
  <c r="U52" i="10"/>
  <c r="C52" i="10"/>
  <c r="U51" i="10"/>
  <c r="C51" i="10"/>
  <c r="U50" i="10"/>
  <c r="C50" i="10"/>
  <c r="U49" i="10"/>
  <c r="C49" i="10"/>
  <c r="U48" i="10"/>
  <c r="C48" i="10"/>
  <c r="U47" i="10"/>
  <c r="C47" i="10"/>
  <c r="U46" i="10"/>
  <c r="C46" i="10"/>
  <c r="U45" i="10"/>
  <c r="C45" i="10"/>
  <c r="U44" i="10"/>
  <c r="C44" i="10"/>
  <c r="U43" i="10"/>
  <c r="C43" i="10"/>
  <c r="U42" i="10"/>
  <c r="C42" i="10"/>
  <c r="U41" i="10"/>
  <c r="C41" i="10"/>
  <c r="U40" i="10"/>
  <c r="C40" i="10"/>
  <c r="U39" i="10"/>
  <c r="C39" i="10"/>
  <c r="U38" i="10"/>
  <c r="C38" i="10"/>
  <c r="U37" i="10"/>
  <c r="C37" i="10"/>
  <c r="U36" i="10"/>
  <c r="C36" i="10"/>
  <c r="U35" i="10"/>
  <c r="C35" i="10"/>
  <c r="U34" i="10"/>
  <c r="C34" i="10"/>
  <c r="U33" i="10"/>
  <c r="C33" i="10"/>
  <c r="U32" i="10"/>
  <c r="C32" i="10"/>
  <c r="U31" i="10"/>
  <c r="C31" i="10"/>
  <c r="U30" i="10"/>
  <c r="C30" i="10"/>
  <c r="U29" i="10"/>
  <c r="C29" i="10"/>
  <c r="U28" i="10"/>
  <c r="C28" i="10"/>
  <c r="U27" i="10"/>
  <c r="C27" i="10"/>
  <c r="U26" i="10"/>
  <c r="C26" i="10"/>
  <c r="U25" i="10"/>
  <c r="C25" i="10"/>
  <c r="U24" i="10"/>
  <c r="C24" i="10"/>
  <c r="U23" i="10"/>
  <c r="C23" i="10"/>
  <c r="U22" i="10"/>
  <c r="C22" i="10"/>
  <c r="U21" i="10"/>
  <c r="C21" i="10"/>
  <c r="U20" i="10"/>
  <c r="C20" i="10"/>
  <c r="U19" i="10"/>
  <c r="C19" i="10"/>
  <c r="U18" i="10"/>
  <c r="C18" i="10"/>
  <c r="U17" i="10"/>
  <c r="C17" i="10"/>
  <c r="U16" i="10"/>
  <c r="C16" i="10"/>
  <c r="U15" i="10"/>
  <c r="C15" i="10"/>
  <c r="U14" i="10"/>
  <c r="C14" i="10"/>
  <c r="U13" i="10"/>
  <c r="C13" i="10"/>
  <c r="U12" i="10"/>
  <c r="C12" i="10"/>
  <c r="U11" i="10"/>
  <c r="C11" i="10"/>
  <c r="U10" i="10"/>
  <c r="C10" i="10"/>
  <c r="U9" i="10"/>
  <c r="C9" i="10"/>
  <c r="U8" i="10"/>
  <c r="C8" i="10"/>
  <c r="U7" i="10"/>
  <c r="C7" i="10"/>
  <c r="U6" i="10"/>
  <c r="C6" i="10"/>
  <c r="U5" i="10"/>
  <c r="C5" i="10"/>
  <c r="U4" i="10"/>
  <c r="C4" i="10"/>
  <c r="V102" i="9"/>
  <c r="U102" i="9"/>
  <c r="T102" i="9"/>
  <c r="S102" i="9"/>
  <c r="R102" i="9"/>
  <c r="P102" i="9"/>
  <c r="O102" i="9"/>
  <c r="N102" i="9"/>
  <c r="M102" i="9"/>
  <c r="L102" i="9"/>
  <c r="J102" i="9"/>
  <c r="I102" i="9"/>
  <c r="H102" i="9"/>
  <c r="G102" i="9"/>
  <c r="F102" i="9"/>
  <c r="D102" i="9"/>
  <c r="C102" i="9"/>
  <c r="V101" i="9"/>
  <c r="U101" i="9"/>
  <c r="T101" i="9"/>
  <c r="S101" i="9"/>
  <c r="R101" i="9"/>
  <c r="P101" i="9"/>
  <c r="O101" i="9"/>
  <c r="N101" i="9"/>
  <c r="M101" i="9"/>
  <c r="L101" i="9"/>
  <c r="J101" i="9"/>
  <c r="I101" i="9"/>
  <c r="H101" i="9"/>
  <c r="G101" i="9"/>
  <c r="F101" i="9"/>
  <c r="D101" i="9"/>
  <c r="C101" i="9"/>
  <c r="V100" i="9"/>
  <c r="U100" i="9"/>
  <c r="T100" i="9"/>
  <c r="S100" i="9"/>
  <c r="R100" i="9"/>
  <c r="P100" i="9"/>
  <c r="O100" i="9"/>
  <c r="N100" i="9"/>
  <c r="M100" i="9"/>
  <c r="L100" i="9"/>
  <c r="J100" i="9"/>
  <c r="I100" i="9"/>
  <c r="H100" i="9"/>
  <c r="G100" i="9"/>
  <c r="F100" i="9"/>
  <c r="D100" i="9"/>
  <c r="C100" i="9"/>
  <c r="V99" i="9"/>
  <c r="U99" i="9"/>
  <c r="T99" i="9"/>
  <c r="S99" i="9"/>
  <c r="R99" i="9"/>
  <c r="P99" i="9"/>
  <c r="O99" i="9"/>
  <c r="N99" i="9"/>
  <c r="M99" i="9"/>
  <c r="L99" i="9"/>
  <c r="J99" i="9"/>
  <c r="I99" i="9"/>
  <c r="H99" i="9"/>
  <c r="G99" i="9"/>
  <c r="F99" i="9"/>
  <c r="D99" i="9"/>
  <c r="C99" i="9"/>
  <c r="V98" i="9"/>
  <c r="U98" i="9"/>
  <c r="T98" i="9"/>
  <c r="S98" i="9"/>
  <c r="R98" i="9"/>
  <c r="P98" i="9"/>
  <c r="O98" i="9"/>
  <c r="N98" i="9"/>
  <c r="M98" i="9"/>
  <c r="L98" i="9"/>
  <c r="J98" i="9"/>
  <c r="I98" i="9"/>
  <c r="H98" i="9"/>
  <c r="G98" i="9"/>
  <c r="F98" i="9"/>
  <c r="D98" i="9"/>
  <c r="C98" i="9"/>
  <c r="V97" i="9"/>
  <c r="U97" i="9"/>
  <c r="T97" i="9"/>
  <c r="S97" i="9"/>
  <c r="R97" i="9"/>
  <c r="P97" i="9"/>
  <c r="O97" i="9"/>
  <c r="N97" i="9"/>
  <c r="M97" i="9"/>
  <c r="L97" i="9"/>
  <c r="J97" i="9"/>
  <c r="I97" i="9"/>
  <c r="H97" i="9"/>
  <c r="G97" i="9"/>
  <c r="F97" i="9"/>
  <c r="D97" i="9"/>
  <c r="C97" i="9"/>
  <c r="V96" i="9"/>
  <c r="U96" i="9"/>
  <c r="T96" i="9"/>
  <c r="S96" i="9"/>
  <c r="R96" i="9"/>
  <c r="P96" i="9"/>
  <c r="O96" i="9"/>
  <c r="N96" i="9"/>
  <c r="M96" i="9"/>
  <c r="L96" i="9"/>
  <c r="J96" i="9"/>
  <c r="I96" i="9"/>
  <c r="H96" i="9"/>
  <c r="G96" i="9"/>
  <c r="F96" i="9"/>
  <c r="D96" i="9"/>
  <c r="C96" i="9"/>
  <c r="V95" i="9"/>
  <c r="U95" i="9"/>
  <c r="T95" i="9"/>
  <c r="S95" i="9"/>
  <c r="R95" i="9"/>
  <c r="P95" i="9"/>
  <c r="O95" i="9"/>
  <c r="N95" i="9"/>
  <c r="M95" i="9"/>
  <c r="L95" i="9"/>
  <c r="J95" i="9"/>
  <c r="I95" i="9"/>
  <c r="H95" i="9"/>
  <c r="G95" i="9"/>
  <c r="F95" i="9"/>
  <c r="D95" i="9"/>
  <c r="C95" i="9"/>
  <c r="V94" i="9"/>
  <c r="U94" i="9"/>
  <c r="T94" i="9"/>
  <c r="S94" i="9"/>
  <c r="R94" i="9"/>
  <c r="P94" i="9"/>
  <c r="O94" i="9"/>
  <c r="N94" i="9"/>
  <c r="M94" i="9"/>
  <c r="L94" i="9"/>
  <c r="J94" i="9"/>
  <c r="I94" i="9"/>
  <c r="H94" i="9"/>
  <c r="G94" i="9"/>
  <c r="F94" i="9"/>
  <c r="D94" i="9"/>
  <c r="C94" i="9"/>
  <c r="V93" i="9"/>
  <c r="U93" i="9"/>
  <c r="T93" i="9"/>
  <c r="S93" i="9"/>
  <c r="R93" i="9"/>
  <c r="P93" i="9"/>
  <c r="O93" i="9"/>
  <c r="N93" i="9"/>
  <c r="M93" i="9"/>
  <c r="L93" i="9"/>
  <c r="J93" i="9"/>
  <c r="I93" i="9"/>
  <c r="H93" i="9"/>
  <c r="G93" i="9"/>
  <c r="F93" i="9"/>
  <c r="D93" i="9"/>
  <c r="C93" i="9"/>
  <c r="V92" i="9"/>
  <c r="U92" i="9"/>
  <c r="T92" i="9"/>
  <c r="S92" i="9"/>
  <c r="R92" i="9"/>
  <c r="P92" i="9"/>
  <c r="O92" i="9"/>
  <c r="N92" i="9"/>
  <c r="M92" i="9"/>
  <c r="L92" i="9"/>
  <c r="J92" i="9"/>
  <c r="I92" i="9"/>
  <c r="H92" i="9"/>
  <c r="G92" i="9"/>
  <c r="F92" i="9"/>
  <c r="D92" i="9"/>
  <c r="C92" i="9"/>
  <c r="V91" i="9"/>
  <c r="U91" i="9"/>
  <c r="T91" i="9"/>
  <c r="S91" i="9"/>
  <c r="R91" i="9"/>
  <c r="P91" i="9"/>
  <c r="O91" i="9"/>
  <c r="N91" i="9"/>
  <c r="M91" i="9"/>
  <c r="L91" i="9"/>
  <c r="J91" i="9"/>
  <c r="I91" i="9"/>
  <c r="H91" i="9"/>
  <c r="G91" i="9"/>
  <c r="F91" i="9"/>
  <c r="D91" i="9"/>
  <c r="C91" i="9"/>
  <c r="V90" i="9"/>
  <c r="U90" i="9"/>
  <c r="T90" i="9"/>
  <c r="S90" i="9"/>
  <c r="R90" i="9"/>
  <c r="P90" i="9"/>
  <c r="O90" i="9"/>
  <c r="N90" i="9"/>
  <c r="M90" i="9"/>
  <c r="L90" i="9"/>
  <c r="J90" i="9"/>
  <c r="I90" i="9"/>
  <c r="H90" i="9"/>
  <c r="G90" i="9"/>
  <c r="F90" i="9"/>
  <c r="D90" i="9"/>
  <c r="C90" i="9"/>
  <c r="V89" i="9"/>
  <c r="U89" i="9"/>
  <c r="T89" i="9"/>
  <c r="S89" i="9"/>
  <c r="R89" i="9"/>
  <c r="P89" i="9"/>
  <c r="O89" i="9"/>
  <c r="N89" i="9"/>
  <c r="M89" i="9"/>
  <c r="L89" i="9"/>
  <c r="J89" i="9"/>
  <c r="I89" i="9"/>
  <c r="H89" i="9"/>
  <c r="G89" i="9"/>
  <c r="F89" i="9"/>
  <c r="D89" i="9"/>
  <c r="C89" i="9"/>
  <c r="V88" i="9"/>
  <c r="U88" i="9"/>
  <c r="T88" i="9"/>
  <c r="S88" i="9"/>
  <c r="R88" i="9"/>
  <c r="P88" i="9"/>
  <c r="O88" i="9"/>
  <c r="N88" i="9"/>
  <c r="M88" i="9"/>
  <c r="L88" i="9"/>
  <c r="J88" i="9"/>
  <c r="I88" i="9"/>
  <c r="H88" i="9"/>
  <c r="G88" i="9"/>
  <c r="F88" i="9"/>
  <c r="D88" i="9"/>
  <c r="C88" i="9"/>
  <c r="V87" i="9"/>
  <c r="U87" i="9"/>
  <c r="T87" i="9"/>
  <c r="S87" i="9"/>
  <c r="R87" i="9"/>
  <c r="P87" i="9"/>
  <c r="O87" i="9"/>
  <c r="N87" i="9"/>
  <c r="M87" i="9"/>
  <c r="L87" i="9"/>
  <c r="J87" i="9"/>
  <c r="I87" i="9"/>
  <c r="H87" i="9"/>
  <c r="G87" i="9"/>
  <c r="F87" i="9"/>
  <c r="D87" i="9"/>
  <c r="C87" i="9"/>
  <c r="V86" i="9"/>
  <c r="U86" i="9"/>
  <c r="T86" i="9"/>
  <c r="S86" i="9"/>
  <c r="R86" i="9"/>
  <c r="P86" i="9"/>
  <c r="O86" i="9"/>
  <c r="N86" i="9"/>
  <c r="M86" i="9"/>
  <c r="L86" i="9"/>
  <c r="J86" i="9"/>
  <c r="I86" i="9"/>
  <c r="H86" i="9"/>
  <c r="G86" i="9"/>
  <c r="F86" i="9"/>
  <c r="D86" i="9"/>
  <c r="C86" i="9"/>
  <c r="V85" i="9"/>
  <c r="U85" i="9"/>
  <c r="T85" i="9"/>
  <c r="S85" i="9"/>
  <c r="R85" i="9"/>
  <c r="P85" i="9"/>
  <c r="O85" i="9"/>
  <c r="N85" i="9"/>
  <c r="M85" i="9"/>
  <c r="L85" i="9"/>
  <c r="J85" i="9"/>
  <c r="I85" i="9"/>
  <c r="H85" i="9"/>
  <c r="G85" i="9"/>
  <c r="F85" i="9"/>
  <c r="D85" i="9"/>
  <c r="C85" i="9"/>
  <c r="V84" i="9"/>
  <c r="U84" i="9"/>
  <c r="T84" i="9"/>
  <c r="S84" i="9"/>
  <c r="R84" i="9"/>
  <c r="P84" i="9"/>
  <c r="O84" i="9"/>
  <c r="N84" i="9"/>
  <c r="M84" i="9"/>
  <c r="L84" i="9"/>
  <c r="J84" i="9"/>
  <c r="I84" i="9"/>
  <c r="H84" i="9"/>
  <c r="G84" i="9"/>
  <c r="F84" i="9"/>
  <c r="D84" i="9"/>
  <c r="C84" i="9"/>
  <c r="V83" i="9"/>
  <c r="U83" i="9"/>
  <c r="T83" i="9"/>
  <c r="S83" i="9"/>
  <c r="R83" i="9"/>
  <c r="P83" i="9"/>
  <c r="J83" i="9"/>
  <c r="I83" i="9"/>
  <c r="H83" i="9"/>
  <c r="G83" i="9"/>
  <c r="F83" i="9"/>
  <c r="D83" i="9"/>
  <c r="C83" i="9"/>
  <c r="V82" i="9"/>
  <c r="U82" i="9"/>
  <c r="T82" i="9"/>
  <c r="S82" i="9"/>
  <c r="R82" i="9"/>
  <c r="P82" i="9"/>
  <c r="J82" i="9"/>
  <c r="I82" i="9"/>
  <c r="H82" i="9"/>
  <c r="G82" i="9"/>
  <c r="F82" i="9"/>
  <c r="D82" i="9"/>
  <c r="C82" i="9"/>
  <c r="P81" i="9"/>
  <c r="J81" i="9"/>
  <c r="I81" i="9"/>
  <c r="H81" i="9"/>
  <c r="G81" i="9"/>
  <c r="F81" i="9"/>
  <c r="D81" i="9"/>
  <c r="C81" i="9"/>
  <c r="V80" i="9"/>
  <c r="U80" i="9"/>
  <c r="T80" i="9"/>
  <c r="S80" i="9"/>
  <c r="R80" i="9"/>
  <c r="P80" i="9"/>
  <c r="J80" i="9"/>
  <c r="I80" i="9"/>
  <c r="H80" i="9"/>
  <c r="G80" i="9"/>
  <c r="F80" i="9"/>
  <c r="D80" i="9"/>
  <c r="C80" i="9"/>
  <c r="V79" i="9"/>
  <c r="U79" i="9"/>
  <c r="T79" i="9"/>
  <c r="S79" i="9"/>
  <c r="R79" i="9"/>
  <c r="P79" i="9"/>
  <c r="J79" i="9"/>
  <c r="I79" i="9"/>
  <c r="H79" i="9"/>
  <c r="G79" i="9"/>
  <c r="F79" i="9"/>
  <c r="D79" i="9"/>
  <c r="C79" i="9"/>
  <c r="V78" i="9"/>
  <c r="U78" i="9"/>
  <c r="T78" i="9"/>
  <c r="S78" i="9"/>
  <c r="R78" i="9"/>
  <c r="P78" i="9"/>
  <c r="J78" i="9"/>
  <c r="I78" i="9"/>
  <c r="H78" i="9"/>
  <c r="G78" i="9"/>
  <c r="F78" i="9"/>
  <c r="D78" i="9"/>
  <c r="C78" i="9"/>
  <c r="V77" i="9"/>
  <c r="U77" i="9"/>
  <c r="T77" i="9"/>
  <c r="S77" i="9"/>
  <c r="R77" i="9"/>
  <c r="P77" i="9"/>
  <c r="J77" i="9"/>
  <c r="D77" i="9"/>
  <c r="C77" i="9"/>
  <c r="V76" i="9"/>
  <c r="U76" i="9"/>
  <c r="T76" i="9"/>
  <c r="S76" i="9"/>
  <c r="R76" i="9"/>
  <c r="P76" i="9"/>
  <c r="J76" i="9"/>
  <c r="I76" i="9"/>
  <c r="H76" i="9"/>
  <c r="G76" i="9"/>
  <c r="F76" i="9"/>
  <c r="D76" i="9"/>
  <c r="C76" i="9"/>
  <c r="V75" i="9"/>
  <c r="U75" i="9"/>
  <c r="T75" i="9"/>
  <c r="S75" i="9"/>
  <c r="R75" i="9"/>
  <c r="P75" i="9"/>
  <c r="J75" i="9"/>
  <c r="I75" i="9"/>
  <c r="H75" i="9"/>
  <c r="G75" i="9"/>
  <c r="F75" i="9"/>
  <c r="D75" i="9"/>
  <c r="C75" i="9"/>
  <c r="P74" i="9"/>
  <c r="J74" i="9"/>
  <c r="D74" i="9"/>
  <c r="C74" i="9"/>
  <c r="P73" i="9"/>
  <c r="J73" i="9"/>
  <c r="I73" i="9"/>
  <c r="H73" i="9"/>
  <c r="G73" i="9"/>
  <c r="F73" i="9"/>
  <c r="D73" i="9"/>
  <c r="C73" i="9"/>
  <c r="V72" i="9"/>
  <c r="U72" i="9"/>
  <c r="T72" i="9"/>
  <c r="S72" i="9"/>
  <c r="R72" i="9"/>
  <c r="P72" i="9"/>
  <c r="J72" i="9"/>
  <c r="D72" i="9"/>
  <c r="C72" i="9"/>
  <c r="V71" i="9"/>
  <c r="U71" i="9"/>
  <c r="T71" i="9"/>
  <c r="S71" i="9"/>
  <c r="R71" i="9"/>
  <c r="P71" i="9"/>
  <c r="J71" i="9"/>
  <c r="I71" i="9"/>
  <c r="H71" i="9"/>
  <c r="G71" i="9"/>
  <c r="F71" i="9"/>
  <c r="D71" i="9"/>
  <c r="C71" i="9"/>
  <c r="P70" i="9"/>
  <c r="J70" i="9"/>
  <c r="I70" i="9"/>
  <c r="H70" i="9"/>
  <c r="G70" i="9"/>
  <c r="F70" i="9"/>
  <c r="D70" i="9"/>
  <c r="C70" i="9"/>
  <c r="V69" i="9"/>
  <c r="U69" i="9"/>
  <c r="T69" i="9"/>
  <c r="S69" i="9"/>
  <c r="R69" i="9"/>
  <c r="P69" i="9"/>
  <c r="J69" i="9"/>
  <c r="D69" i="9"/>
  <c r="C69" i="9"/>
  <c r="V68" i="9"/>
  <c r="U68" i="9"/>
  <c r="T68" i="9"/>
  <c r="S68" i="9"/>
  <c r="R68" i="9"/>
  <c r="P68" i="9"/>
  <c r="J68" i="9"/>
  <c r="I68" i="9"/>
  <c r="H68" i="9"/>
  <c r="G68" i="9"/>
  <c r="F68" i="9"/>
  <c r="D68" i="9"/>
  <c r="C68" i="9"/>
  <c r="V67" i="9"/>
  <c r="U67" i="9"/>
  <c r="T67" i="9"/>
  <c r="S67" i="9"/>
  <c r="R67" i="9"/>
  <c r="P67" i="9"/>
  <c r="J67" i="9"/>
  <c r="I67" i="9"/>
  <c r="H67" i="9"/>
  <c r="G67" i="9"/>
  <c r="F67" i="9"/>
  <c r="D67" i="9"/>
  <c r="C67" i="9"/>
  <c r="P66" i="9"/>
  <c r="J66" i="9"/>
  <c r="D66" i="9"/>
  <c r="C66" i="9"/>
  <c r="V65" i="9"/>
  <c r="U65" i="9"/>
  <c r="T65" i="9"/>
  <c r="S65" i="9"/>
  <c r="R65" i="9"/>
  <c r="P65" i="9"/>
  <c r="J65" i="9"/>
  <c r="I65" i="9"/>
  <c r="H65" i="9"/>
  <c r="G65" i="9"/>
  <c r="F65" i="9"/>
  <c r="D65" i="9"/>
  <c r="C65" i="9"/>
  <c r="V64" i="9"/>
  <c r="U64" i="9"/>
  <c r="T64" i="9"/>
  <c r="S64" i="9"/>
  <c r="R64" i="9"/>
  <c r="P64" i="9"/>
  <c r="J64" i="9"/>
  <c r="I64" i="9"/>
  <c r="H64" i="9"/>
  <c r="G64" i="9"/>
  <c r="F64" i="9"/>
  <c r="D64" i="9"/>
  <c r="C64" i="9"/>
  <c r="V63" i="9"/>
  <c r="U63" i="9"/>
  <c r="T63" i="9"/>
  <c r="S63" i="9"/>
  <c r="R63" i="9"/>
  <c r="P63" i="9"/>
  <c r="J63" i="9"/>
  <c r="I63" i="9"/>
  <c r="H63" i="9"/>
  <c r="G63" i="9"/>
  <c r="F63" i="9"/>
  <c r="D63" i="9"/>
  <c r="C63" i="9"/>
  <c r="P62" i="9"/>
  <c r="J62" i="9"/>
  <c r="D62" i="9"/>
  <c r="C62" i="9"/>
  <c r="V61" i="9"/>
  <c r="U61" i="9"/>
  <c r="T61" i="9"/>
  <c r="S61" i="9"/>
  <c r="R61" i="9"/>
  <c r="P61" i="9"/>
  <c r="J61" i="9"/>
  <c r="D61" i="9"/>
  <c r="C61" i="9"/>
  <c r="V60" i="9"/>
  <c r="U60" i="9"/>
  <c r="T60" i="9"/>
  <c r="S60" i="9"/>
  <c r="R60" i="9"/>
  <c r="P60" i="9"/>
  <c r="J60" i="9"/>
  <c r="I60" i="9"/>
  <c r="H60" i="9"/>
  <c r="G60" i="9"/>
  <c r="F60" i="9"/>
  <c r="D60" i="9"/>
  <c r="C60" i="9"/>
  <c r="V59" i="9"/>
  <c r="U59" i="9"/>
  <c r="T59" i="9"/>
  <c r="S59" i="9"/>
  <c r="R59" i="9"/>
  <c r="P59" i="9"/>
  <c r="J59" i="9"/>
  <c r="D59" i="9"/>
  <c r="C59" i="9"/>
  <c r="V58" i="9"/>
  <c r="U58" i="9"/>
  <c r="T58" i="9"/>
  <c r="S58" i="9"/>
  <c r="R58" i="9"/>
  <c r="P58" i="9"/>
  <c r="J58" i="9"/>
  <c r="I58" i="9"/>
  <c r="H58" i="9"/>
  <c r="G58" i="9"/>
  <c r="F58" i="9"/>
  <c r="D58" i="9"/>
  <c r="C58" i="9"/>
  <c r="P57" i="9"/>
  <c r="J57" i="9"/>
  <c r="I57" i="9"/>
  <c r="H57" i="9"/>
  <c r="G57" i="9"/>
  <c r="F57" i="9"/>
  <c r="D57" i="9"/>
  <c r="C57" i="9"/>
  <c r="V56" i="9"/>
  <c r="U56" i="9"/>
  <c r="T56" i="9"/>
  <c r="S56" i="9"/>
  <c r="R56" i="9"/>
  <c r="P56" i="9"/>
  <c r="J56" i="9"/>
  <c r="D56" i="9"/>
  <c r="C56" i="9"/>
  <c r="P55" i="9"/>
  <c r="J55" i="9"/>
  <c r="I55" i="9"/>
  <c r="H55" i="9"/>
  <c r="G55" i="9"/>
  <c r="F55" i="9"/>
  <c r="D55" i="9"/>
  <c r="C55" i="9"/>
  <c r="V54" i="9"/>
  <c r="U54" i="9"/>
  <c r="T54" i="9"/>
  <c r="S54" i="9"/>
  <c r="R54" i="9"/>
  <c r="P54" i="9"/>
  <c r="J54" i="9"/>
  <c r="I54" i="9"/>
  <c r="H54" i="9"/>
  <c r="G54" i="9"/>
  <c r="F54" i="9"/>
  <c r="D54" i="9"/>
  <c r="C54" i="9"/>
  <c r="V53" i="9"/>
  <c r="U53" i="9"/>
  <c r="T53" i="9"/>
  <c r="S53" i="9"/>
  <c r="R53" i="9"/>
  <c r="P53" i="9"/>
  <c r="J53" i="9"/>
  <c r="I53" i="9"/>
  <c r="H53" i="9"/>
  <c r="G53" i="9"/>
  <c r="F53" i="9"/>
  <c r="D53" i="9"/>
  <c r="C53" i="9"/>
  <c r="V52" i="9"/>
  <c r="U52" i="9"/>
  <c r="T52" i="9"/>
  <c r="S52" i="9"/>
  <c r="R52" i="9"/>
  <c r="P52" i="9"/>
  <c r="J52" i="9"/>
  <c r="D52" i="9"/>
  <c r="C52" i="9"/>
  <c r="P51" i="9"/>
  <c r="J51" i="9"/>
  <c r="D51" i="9"/>
  <c r="C51" i="9"/>
  <c r="V50" i="9"/>
  <c r="U50" i="9"/>
  <c r="T50" i="9"/>
  <c r="S50" i="9"/>
  <c r="R50" i="9"/>
  <c r="P50" i="9"/>
  <c r="J50" i="9"/>
  <c r="D50" i="9"/>
  <c r="C50" i="9"/>
  <c r="V49" i="9"/>
  <c r="U49" i="9"/>
  <c r="T49" i="9"/>
  <c r="S49" i="9"/>
  <c r="R49" i="9"/>
  <c r="P49" i="9"/>
  <c r="J49" i="9"/>
  <c r="I49" i="9"/>
  <c r="H49" i="9"/>
  <c r="G49" i="9"/>
  <c r="F49" i="9"/>
  <c r="D49" i="9"/>
  <c r="C49" i="9"/>
  <c r="P48" i="9"/>
  <c r="J48" i="9"/>
  <c r="D48" i="9"/>
  <c r="C48" i="9"/>
  <c r="P47" i="9"/>
  <c r="J47" i="9"/>
  <c r="I47" i="9"/>
  <c r="H47" i="9"/>
  <c r="G47" i="9"/>
  <c r="F47" i="9"/>
  <c r="D47" i="9"/>
  <c r="C47" i="9"/>
  <c r="P46" i="9"/>
  <c r="J46" i="9"/>
  <c r="D46" i="9"/>
  <c r="C46" i="9"/>
  <c r="V45" i="9"/>
  <c r="U45" i="9"/>
  <c r="T45" i="9"/>
  <c r="S45" i="9"/>
  <c r="R45" i="9"/>
  <c r="P45" i="9"/>
  <c r="J45" i="9"/>
  <c r="I45" i="9"/>
  <c r="H45" i="9"/>
  <c r="G45" i="9"/>
  <c r="F45" i="9"/>
  <c r="D45" i="9"/>
  <c r="C45" i="9"/>
  <c r="P44" i="9"/>
  <c r="J44" i="9"/>
  <c r="D44" i="9"/>
  <c r="C44" i="9"/>
  <c r="P43" i="9"/>
  <c r="J43" i="9"/>
  <c r="D43" i="9"/>
  <c r="C43" i="9"/>
  <c r="P42" i="9"/>
  <c r="J42" i="9"/>
  <c r="D42" i="9"/>
  <c r="C42" i="9"/>
  <c r="P41" i="9"/>
  <c r="J41" i="9"/>
  <c r="D41" i="9"/>
  <c r="C41" i="9"/>
  <c r="P40" i="9"/>
  <c r="J40" i="9"/>
  <c r="D40" i="9"/>
  <c r="C40" i="9"/>
  <c r="P39" i="9"/>
  <c r="J39" i="9"/>
  <c r="D39" i="9"/>
  <c r="C39" i="9"/>
  <c r="P38" i="9"/>
  <c r="J38" i="9"/>
  <c r="D38" i="9"/>
  <c r="C38" i="9"/>
  <c r="P37" i="9"/>
  <c r="J37" i="9"/>
  <c r="D37" i="9"/>
  <c r="C37" i="9"/>
  <c r="P36" i="9"/>
  <c r="J36" i="9"/>
  <c r="D36" i="9"/>
  <c r="C36" i="9"/>
  <c r="P35" i="9"/>
  <c r="J35" i="9"/>
  <c r="D35" i="9"/>
  <c r="C35" i="9"/>
  <c r="P34" i="9"/>
  <c r="J34" i="9"/>
  <c r="D34" i="9"/>
  <c r="C34" i="9"/>
  <c r="P33" i="9"/>
  <c r="J33" i="9"/>
  <c r="D33" i="9"/>
  <c r="C33" i="9"/>
  <c r="P32" i="9"/>
  <c r="J32" i="9"/>
  <c r="D32" i="9"/>
  <c r="C32" i="9"/>
  <c r="P31" i="9"/>
  <c r="J31" i="9"/>
  <c r="D31" i="9"/>
  <c r="C31" i="9"/>
  <c r="P30" i="9"/>
  <c r="J30" i="9"/>
  <c r="D30" i="9"/>
  <c r="C30" i="9"/>
  <c r="P29" i="9"/>
  <c r="J29" i="9"/>
  <c r="D29" i="9"/>
  <c r="C29" i="9"/>
  <c r="P28" i="9"/>
  <c r="J28" i="9"/>
  <c r="D28" i="9"/>
  <c r="C28" i="9"/>
  <c r="P27" i="9"/>
  <c r="J27" i="9"/>
  <c r="D27" i="9"/>
  <c r="C27" i="9"/>
  <c r="P26" i="9"/>
  <c r="J26" i="9"/>
  <c r="D26" i="9"/>
  <c r="C26" i="9"/>
  <c r="P25" i="9"/>
  <c r="J25" i="9"/>
  <c r="D25" i="9"/>
  <c r="C25" i="9"/>
  <c r="P24" i="9"/>
  <c r="J24" i="9"/>
  <c r="D24" i="9"/>
  <c r="C24" i="9"/>
  <c r="P23" i="9"/>
  <c r="J23" i="9"/>
  <c r="D23" i="9"/>
  <c r="C23" i="9"/>
  <c r="P22" i="9"/>
  <c r="J22" i="9"/>
  <c r="D22" i="9"/>
  <c r="C22" i="9"/>
  <c r="P21" i="9"/>
  <c r="J21" i="9"/>
  <c r="D21" i="9"/>
  <c r="C21" i="9"/>
  <c r="P20" i="9"/>
  <c r="J20" i="9"/>
  <c r="D20" i="9"/>
  <c r="C20" i="9"/>
  <c r="P19" i="9"/>
  <c r="J19" i="9"/>
  <c r="D19" i="9"/>
  <c r="C19" i="9"/>
  <c r="P18" i="9"/>
  <c r="J18" i="9"/>
  <c r="D18" i="9"/>
  <c r="C18" i="9"/>
  <c r="P17" i="9"/>
  <c r="J17" i="9"/>
  <c r="D17" i="9"/>
  <c r="C17" i="9"/>
  <c r="P16" i="9"/>
  <c r="J16" i="9"/>
  <c r="D16" i="9"/>
  <c r="C16" i="9"/>
  <c r="P15" i="9"/>
  <c r="J15" i="9"/>
  <c r="D15" i="9"/>
  <c r="C15" i="9"/>
  <c r="P14" i="9"/>
  <c r="J14" i="9"/>
  <c r="D14" i="9"/>
  <c r="C14" i="9"/>
  <c r="P13" i="9"/>
  <c r="J13" i="9"/>
  <c r="D13" i="9"/>
  <c r="C13" i="9"/>
  <c r="P12" i="9"/>
  <c r="J12" i="9"/>
  <c r="D12" i="9"/>
  <c r="C12" i="9"/>
  <c r="P11" i="9"/>
  <c r="J11" i="9"/>
  <c r="D11" i="9"/>
  <c r="C11" i="9"/>
  <c r="P10" i="9"/>
  <c r="J10" i="9"/>
  <c r="D10" i="9"/>
  <c r="C10" i="9"/>
  <c r="P9" i="9"/>
  <c r="J9" i="9"/>
  <c r="D9" i="9"/>
  <c r="C9" i="9"/>
  <c r="P8" i="9"/>
  <c r="J8" i="9"/>
  <c r="D8" i="9"/>
  <c r="C8" i="9"/>
  <c r="P7" i="9"/>
  <c r="J7" i="9"/>
  <c r="D7" i="9"/>
  <c r="C7" i="9"/>
  <c r="P6" i="9"/>
  <c r="J6" i="9"/>
  <c r="D6" i="9"/>
  <c r="C6" i="9"/>
  <c r="P5" i="9"/>
  <c r="J5" i="9"/>
  <c r="D5" i="9"/>
  <c r="C5" i="9"/>
  <c r="P4" i="9"/>
  <c r="J4" i="9"/>
  <c r="D4" i="9"/>
  <c r="C4" i="9"/>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M64" i="1"/>
  <c r="AP64" i="1"/>
  <c r="AM35" i="1"/>
  <c r="AP35" i="1"/>
  <c r="AM36" i="1"/>
  <c r="AP36" i="1"/>
  <c r="AM37" i="1"/>
  <c r="AP37" i="1"/>
  <c r="AM38" i="1"/>
  <c r="AP38" i="1"/>
  <c r="AM39" i="1"/>
  <c r="AP39" i="1"/>
  <c r="AM40" i="1"/>
  <c r="AP40" i="1"/>
  <c r="AM41" i="1"/>
  <c r="AP41" i="1"/>
  <c r="AM42" i="1"/>
  <c r="AP42" i="1"/>
  <c r="AM43" i="1"/>
  <c r="AP43" i="1"/>
  <c r="AM44" i="1"/>
  <c r="AP44" i="1"/>
  <c r="AM45" i="1"/>
  <c r="AP45" i="1"/>
  <c r="AA8" i="4"/>
  <c r="AQ64" i="1"/>
  <c r="H331" i="7"/>
  <c r="G331" i="7"/>
  <c r="AN64" i="1"/>
  <c r="AO64" i="1"/>
  <c r="F331" i="7"/>
  <c r="E331" i="7"/>
  <c r="D331" i="7"/>
  <c r="AL64" i="1"/>
  <c r="C331" i="7"/>
  <c r="B331" i="7"/>
  <c r="C3" i="1"/>
  <c r="F3" i="1"/>
  <c r="A4" i="1"/>
  <c r="C4" i="1"/>
  <c r="F4" i="1"/>
  <c r="A5" i="1"/>
  <c r="C5" i="1"/>
  <c r="F5" i="1"/>
  <c r="A6" i="1"/>
  <c r="C6" i="1"/>
  <c r="F6" i="1"/>
  <c r="A7" i="1"/>
  <c r="C7" i="1"/>
  <c r="F7" i="1"/>
  <c r="A8" i="1"/>
  <c r="C8" i="1"/>
  <c r="F8" i="1"/>
  <c r="A9" i="1"/>
  <c r="C9" i="1"/>
  <c r="F9" i="1"/>
  <c r="A10" i="1"/>
  <c r="C10" i="1"/>
  <c r="F10" i="1"/>
  <c r="A11" i="1"/>
  <c r="C11" i="1"/>
  <c r="F11" i="1"/>
  <c r="A12" i="1"/>
  <c r="C12" i="1"/>
  <c r="F12" i="1"/>
  <c r="A13" i="1"/>
  <c r="C13" i="1"/>
  <c r="F13" i="1"/>
  <c r="A14" i="1"/>
  <c r="C14" i="1"/>
  <c r="F14" i="1"/>
  <c r="A15" i="1"/>
  <c r="C15" i="1"/>
  <c r="F15" i="1"/>
  <c r="A16" i="1"/>
  <c r="C16" i="1"/>
  <c r="F16" i="1"/>
  <c r="A17" i="1"/>
  <c r="C17" i="1"/>
  <c r="F17" i="1"/>
  <c r="A18" i="1"/>
  <c r="C18" i="1"/>
  <c r="F18" i="1"/>
  <c r="A19" i="1"/>
  <c r="C19" i="1"/>
  <c r="F19" i="1"/>
  <c r="A20" i="1"/>
  <c r="C20" i="1"/>
  <c r="F20" i="1"/>
  <c r="A21" i="1"/>
  <c r="C21" i="1"/>
  <c r="F21" i="1"/>
  <c r="A22" i="1"/>
  <c r="C22" i="1"/>
  <c r="F22" i="1"/>
  <c r="A23" i="1"/>
  <c r="C23" i="1"/>
  <c r="F23" i="1"/>
  <c r="A24" i="1"/>
  <c r="C24" i="1"/>
  <c r="F24" i="1"/>
  <c r="AA3" i="4"/>
  <c r="G3" i="1"/>
  <c r="H2" i="7"/>
  <c r="G4" i="1"/>
  <c r="H3" i="7"/>
  <c r="G5" i="1"/>
  <c r="H4" i="7"/>
  <c r="G6" i="1"/>
  <c r="H5" i="7"/>
  <c r="G7" i="1"/>
  <c r="H6" i="7"/>
  <c r="G8" i="1"/>
  <c r="H7" i="7"/>
  <c r="G9" i="1"/>
  <c r="H8" i="7"/>
  <c r="G10" i="1"/>
  <c r="H9" i="7"/>
  <c r="G11" i="1"/>
  <c r="H10" i="7"/>
  <c r="G12" i="1"/>
  <c r="H11" i="7"/>
  <c r="G13" i="1"/>
  <c r="H12" i="7"/>
  <c r="G14" i="1"/>
  <c r="H13" i="7"/>
  <c r="G15" i="1"/>
  <c r="H14" i="7"/>
  <c r="G16" i="1"/>
  <c r="H15" i="7"/>
  <c r="G17" i="1"/>
  <c r="H16" i="7"/>
  <c r="G18" i="1"/>
  <c r="H17" i="7"/>
  <c r="G19" i="1"/>
  <c r="H18" i="7"/>
  <c r="G20" i="1"/>
  <c r="H19" i="7"/>
  <c r="G21" i="1"/>
  <c r="H20" i="7"/>
  <c r="G22" i="1"/>
  <c r="H21" i="7"/>
  <c r="G23" i="1"/>
  <c r="H22" i="7"/>
  <c r="G24" i="1"/>
  <c r="H23" i="7"/>
  <c r="A25" i="1"/>
  <c r="C25" i="1"/>
  <c r="F25" i="1"/>
  <c r="G25" i="1"/>
  <c r="H24" i="7"/>
  <c r="A26" i="1"/>
  <c r="C26" i="1"/>
  <c r="F26" i="1"/>
  <c r="G26" i="1"/>
  <c r="H25" i="7"/>
  <c r="A27" i="1"/>
  <c r="C27" i="1"/>
  <c r="F27" i="1"/>
  <c r="G27" i="1"/>
  <c r="H26" i="7"/>
  <c r="A28" i="1"/>
  <c r="C28" i="1"/>
  <c r="F28" i="1"/>
  <c r="G28" i="1"/>
  <c r="H27" i="7"/>
  <c r="A29" i="1"/>
  <c r="C29" i="1"/>
  <c r="F29" i="1"/>
  <c r="G29" i="1"/>
  <c r="H28" i="7"/>
  <c r="A30" i="1"/>
  <c r="C30" i="1"/>
  <c r="F30" i="1"/>
  <c r="G30" i="1"/>
  <c r="H29" i="7"/>
  <c r="A31" i="1"/>
  <c r="C31" i="1"/>
  <c r="F31" i="1"/>
  <c r="G31" i="1"/>
  <c r="H30" i="7"/>
  <c r="A32" i="1"/>
  <c r="C32" i="1"/>
  <c r="F32" i="1"/>
  <c r="G32" i="1"/>
  <c r="H31" i="7"/>
  <c r="C57" i="1"/>
  <c r="F57" i="1"/>
  <c r="A58" i="1"/>
  <c r="C58" i="1"/>
  <c r="F58" i="1"/>
  <c r="A59" i="1"/>
  <c r="C59" i="1"/>
  <c r="F59" i="1"/>
  <c r="A60" i="1"/>
  <c r="C60" i="1"/>
  <c r="F60" i="1"/>
  <c r="A61" i="1"/>
  <c r="C61" i="1"/>
  <c r="F61" i="1"/>
  <c r="A62" i="1"/>
  <c r="C62" i="1"/>
  <c r="F62" i="1"/>
  <c r="A63" i="1"/>
  <c r="C63" i="1"/>
  <c r="F63" i="1"/>
  <c r="A64" i="1"/>
  <c r="C64" i="1"/>
  <c r="F64" i="1"/>
  <c r="A65" i="1"/>
  <c r="C65" i="1"/>
  <c r="F65" i="1"/>
  <c r="A66" i="1"/>
  <c r="C66" i="1"/>
  <c r="F66" i="1"/>
  <c r="A67" i="1"/>
  <c r="C67" i="1"/>
  <c r="F67" i="1"/>
  <c r="AA6" i="4"/>
  <c r="G57" i="1"/>
  <c r="H34" i="7"/>
  <c r="G58" i="1"/>
  <c r="H35" i="7"/>
  <c r="G59" i="1"/>
  <c r="H36" i="7"/>
  <c r="G60" i="1"/>
  <c r="H37" i="7"/>
  <c r="G61" i="1"/>
  <c r="H38" i="7"/>
  <c r="G62" i="1"/>
  <c r="H39" i="7"/>
  <c r="G63" i="1"/>
  <c r="H40" i="7"/>
  <c r="G64" i="1"/>
  <c r="H41" i="7"/>
  <c r="G67" i="1"/>
  <c r="H42" i="7"/>
  <c r="A68" i="1"/>
  <c r="C68" i="1"/>
  <c r="F68" i="1"/>
  <c r="G68" i="1"/>
  <c r="H43" i="7"/>
  <c r="A69" i="1"/>
  <c r="C69" i="1"/>
  <c r="F69" i="1"/>
  <c r="G69" i="1"/>
  <c r="H44" i="7"/>
  <c r="A70" i="1"/>
  <c r="C70" i="1"/>
  <c r="F70" i="1"/>
  <c r="G70" i="1"/>
  <c r="H45" i="7"/>
  <c r="A71" i="1"/>
  <c r="C71" i="1"/>
  <c r="F71" i="1"/>
  <c r="G71" i="1"/>
  <c r="H46" i="7"/>
  <c r="A72" i="1"/>
  <c r="C72" i="1"/>
  <c r="F72" i="1"/>
  <c r="G72" i="1"/>
  <c r="H47" i="7"/>
  <c r="A73" i="1"/>
  <c r="C73" i="1"/>
  <c r="F73" i="1"/>
  <c r="G73" i="1"/>
  <c r="H48" i="7"/>
  <c r="A74" i="1"/>
  <c r="C74" i="1"/>
  <c r="F74" i="1"/>
  <c r="G74" i="1"/>
  <c r="H49" i="7"/>
  <c r="A75" i="1"/>
  <c r="C75" i="1"/>
  <c r="F75" i="1"/>
  <c r="G75" i="1"/>
  <c r="H50" i="7"/>
  <c r="A76" i="1"/>
  <c r="C76" i="1"/>
  <c r="F76" i="1"/>
  <c r="G76" i="1"/>
  <c r="H51" i="7"/>
  <c r="A77" i="1"/>
  <c r="C77" i="1"/>
  <c r="F77" i="1"/>
  <c r="G77" i="1"/>
  <c r="H52" i="7"/>
  <c r="A78" i="1"/>
  <c r="C78" i="1"/>
  <c r="F78" i="1"/>
  <c r="G78" i="1"/>
  <c r="H53" i="7"/>
  <c r="A79" i="1"/>
  <c r="C79" i="1"/>
  <c r="F79" i="1"/>
  <c r="G79" i="1"/>
  <c r="H54" i="7"/>
  <c r="A80" i="1"/>
  <c r="C80" i="1"/>
  <c r="F80" i="1"/>
  <c r="G80" i="1"/>
  <c r="H55" i="7"/>
  <c r="A81" i="1"/>
  <c r="C81" i="1"/>
  <c r="F81" i="1"/>
  <c r="G81" i="1"/>
  <c r="H56" i="7"/>
  <c r="A82" i="1"/>
  <c r="C82" i="1"/>
  <c r="F82" i="1"/>
  <c r="G82" i="1"/>
  <c r="H57" i="7"/>
  <c r="A83" i="1"/>
  <c r="C83" i="1"/>
  <c r="F83" i="1"/>
  <c r="G83" i="1"/>
  <c r="H58" i="7"/>
  <c r="A84" i="1"/>
  <c r="C84" i="1"/>
  <c r="F84" i="1"/>
  <c r="G84" i="1"/>
  <c r="H59" i="7"/>
  <c r="A85" i="1"/>
  <c r="C85" i="1"/>
  <c r="F85" i="1"/>
  <c r="G85" i="1"/>
  <c r="H60" i="7"/>
  <c r="A86" i="1"/>
  <c r="C86" i="1"/>
  <c r="F86" i="1"/>
  <c r="G86" i="1"/>
  <c r="H61" i="7"/>
  <c r="O3" i="1"/>
  <c r="R3" i="1"/>
  <c r="M4" i="1"/>
  <c r="O4" i="1"/>
  <c r="R4" i="1"/>
  <c r="M5" i="1"/>
  <c r="O5" i="1"/>
  <c r="R5" i="1"/>
  <c r="M6" i="1"/>
  <c r="O6" i="1"/>
  <c r="R6" i="1"/>
  <c r="M7" i="1"/>
  <c r="O7" i="1"/>
  <c r="R7" i="1"/>
  <c r="M8" i="1"/>
  <c r="O8" i="1"/>
  <c r="R8" i="1"/>
  <c r="M9" i="1"/>
  <c r="O9" i="1"/>
  <c r="R9" i="1"/>
  <c r="M10" i="1"/>
  <c r="O10" i="1"/>
  <c r="R10" i="1"/>
  <c r="M11" i="1"/>
  <c r="O11" i="1"/>
  <c r="R11" i="1"/>
  <c r="M12" i="1"/>
  <c r="O12" i="1"/>
  <c r="R12" i="1"/>
  <c r="M13" i="1"/>
  <c r="O13" i="1"/>
  <c r="R13" i="1"/>
  <c r="M14" i="1"/>
  <c r="O14" i="1"/>
  <c r="R14" i="1"/>
  <c r="M15" i="1"/>
  <c r="O15" i="1"/>
  <c r="R15" i="1"/>
  <c r="M16" i="1"/>
  <c r="O16" i="1"/>
  <c r="R16" i="1"/>
  <c r="M17" i="1"/>
  <c r="O17" i="1"/>
  <c r="R17" i="1"/>
  <c r="M18" i="1"/>
  <c r="O18" i="1"/>
  <c r="R18" i="1"/>
  <c r="M19" i="1"/>
  <c r="O19" i="1"/>
  <c r="R19" i="1"/>
  <c r="M20" i="1"/>
  <c r="O20" i="1"/>
  <c r="R20" i="1"/>
  <c r="M21" i="1"/>
  <c r="O21" i="1"/>
  <c r="R21" i="1"/>
  <c r="M22" i="1"/>
  <c r="O22" i="1"/>
  <c r="R22" i="1"/>
  <c r="M23" i="1"/>
  <c r="O23" i="1"/>
  <c r="R23" i="1"/>
  <c r="M24" i="1"/>
  <c r="O24" i="1"/>
  <c r="R24" i="1"/>
  <c r="M25" i="1"/>
  <c r="O25" i="1"/>
  <c r="R25" i="1"/>
  <c r="M26" i="1"/>
  <c r="O26" i="1"/>
  <c r="R26" i="1"/>
  <c r="M27" i="1"/>
  <c r="O27" i="1"/>
  <c r="R27" i="1"/>
  <c r="M28" i="1"/>
  <c r="O28" i="1"/>
  <c r="R28" i="1"/>
  <c r="M29" i="1"/>
  <c r="O29" i="1"/>
  <c r="R29" i="1"/>
  <c r="M30" i="1"/>
  <c r="O30" i="1"/>
  <c r="R30" i="1"/>
  <c r="M31" i="1"/>
  <c r="O31" i="1"/>
  <c r="R31" i="1"/>
  <c r="M32" i="1"/>
  <c r="O32" i="1"/>
  <c r="R32" i="1"/>
  <c r="M33" i="1"/>
  <c r="O33" i="1"/>
  <c r="R33" i="1"/>
  <c r="M34" i="1"/>
  <c r="O34" i="1"/>
  <c r="R34" i="1"/>
  <c r="M35" i="1"/>
  <c r="O35" i="1"/>
  <c r="R35" i="1"/>
  <c r="AA4" i="4"/>
  <c r="S3" i="1"/>
  <c r="H72" i="7"/>
  <c r="S4" i="1"/>
  <c r="H73" i="7"/>
  <c r="S5" i="1"/>
  <c r="H74" i="7"/>
  <c r="S6" i="1"/>
  <c r="H75" i="7"/>
  <c r="S7" i="1"/>
  <c r="H76" i="7"/>
  <c r="S8" i="1"/>
  <c r="H77" i="7"/>
  <c r="S9" i="1"/>
  <c r="H78" i="7"/>
  <c r="S10" i="1"/>
  <c r="H79" i="7"/>
  <c r="S11" i="1"/>
  <c r="H80" i="7"/>
  <c r="S12" i="1"/>
  <c r="H81" i="7"/>
  <c r="S13" i="1"/>
  <c r="H82" i="7"/>
  <c r="S14" i="1"/>
  <c r="H83" i="7"/>
  <c r="S15" i="1"/>
  <c r="H84" i="7"/>
  <c r="S16" i="1"/>
  <c r="H85" i="7"/>
  <c r="S17" i="1"/>
  <c r="H86" i="7"/>
  <c r="S18" i="1"/>
  <c r="H87" i="7"/>
  <c r="S19" i="1"/>
  <c r="H88" i="7"/>
  <c r="S20" i="1"/>
  <c r="H89" i="7"/>
  <c r="S21" i="1"/>
  <c r="H90" i="7"/>
  <c r="S22" i="1"/>
  <c r="H91" i="7"/>
  <c r="S23" i="1"/>
  <c r="H92" i="7"/>
  <c r="S24" i="1"/>
  <c r="H93" i="7"/>
  <c r="S25" i="1"/>
  <c r="H94" i="7"/>
  <c r="S26" i="1"/>
  <c r="H95" i="7"/>
  <c r="S27" i="1"/>
  <c r="H96" i="7"/>
  <c r="S28" i="1"/>
  <c r="H97" i="7"/>
  <c r="S29" i="1"/>
  <c r="H98" i="7"/>
  <c r="S30" i="1"/>
  <c r="H99" i="7"/>
  <c r="S31" i="1"/>
  <c r="H100" i="7"/>
  <c r="S32" i="1"/>
  <c r="H101" i="7"/>
  <c r="S33" i="1"/>
  <c r="H102" i="7"/>
  <c r="S34" i="1"/>
  <c r="H103" i="7"/>
  <c r="S35" i="1"/>
  <c r="H104" i="7"/>
  <c r="M36" i="1"/>
  <c r="O36" i="1"/>
  <c r="R36" i="1"/>
  <c r="S36" i="1"/>
  <c r="H105" i="7"/>
  <c r="M37" i="1"/>
  <c r="O37" i="1"/>
  <c r="R37" i="1"/>
  <c r="S37" i="1"/>
  <c r="H106" i="7"/>
  <c r="M38" i="1"/>
  <c r="O38" i="1"/>
  <c r="R38" i="1"/>
  <c r="S38" i="1"/>
  <c r="H107" i="7"/>
  <c r="M39" i="1"/>
  <c r="O39" i="1"/>
  <c r="R39" i="1"/>
  <c r="S39" i="1"/>
  <c r="H108" i="7"/>
  <c r="M40" i="1"/>
  <c r="O40" i="1"/>
  <c r="R40" i="1"/>
  <c r="S40" i="1"/>
  <c r="H109" i="7"/>
  <c r="M41" i="1"/>
  <c r="O41" i="1"/>
  <c r="R41" i="1"/>
  <c r="S41" i="1"/>
  <c r="H110" i="7"/>
  <c r="M42" i="1"/>
  <c r="O42" i="1"/>
  <c r="R42" i="1"/>
  <c r="S42" i="1"/>
  <c r="H111" i="7"/>
  <c r="M43" i="1"/>
  <c r="O43" i="1"/>
  <c r="R43" i="1"/>
  <c r="S43" i="1"/>
  <c r="H112" i="7"/>
  <c r="M44" i="1"/>
  <c r="O44" i="1"/>
  <c r="R44" i="1"/>
  <c r="S44" i="1"/>
  <c r="H113" i="7"/>
  <c r="M45" i="1"/>
  <c r="O45" i="1"/>
  <c r="R45" i="1"/>
  <c r="S45" i="1"/>
  <c r="H114" i="7"/>
  <c r="M46" i="1"/>
  <c r="O46" i="1"/>
  <c r="R46" i="1"/>
  <c r="S46" i="1"/>
  <c r="H115" i="7"/>
  <c r="M47" i="1"/>
  <c r="O47" i="1"/>
  <c r="R47" i="1"/>
  <c r="S47" i="1"/>
  <c r="H116" i="7"/>
  <c r="M48" i="1"/>
  <c r="O48" i="1"/>
  <c r="R48" i="1"/>
  <c r="S48" i="1"/>
  <c r="H117" i="7"/>
  <c r="M49" i="1"/>
  <c r="O49" i="1"/>
  <c r="R49" i="1"/>
  <c r="S49" i="1"/>
  <c r="H118" i="7"/>
  <c r="M50" i="1"/>
  <c r="O50" i="1"/>
  <c r="R50" i="1"/>
  <c r="S50" i="1"/>
  <c r="H119" i="7"/>
  <c r="M51" i="1"/>
  <c r="O51" i="1"/>
  <c r="R51" i="1"/>
  <c r="S51" i="1"/>
  <c r="H120" i="7"/>
  <c r="M52" i="1"/>
  <c r="O52" i="1"/>
  <c r="R52" i="1"/>
  <c r="S52" i="1"/>
  <c r="H121" i="7"/>
  <c r="M53" i="1"/>
  <c r="O53" i="1"/>
  <c r="R53" i="1"/>
  <c r="S53" i="1"/>
  <c r="H122" i="7"/>
  <c r="M54" i="1"/>
  <c r="O54" i="1"/>
  <c r="R54" i="1"/>
  <c r="S54" i="1"/>
  <c r="H123" i="7"/>
  <c r="M55" i="1"/>
  <c r="O55" i="1"/>
  <c r="R55" i="1"/>
  <c r="S55" i="1"/>
  <c r="H124" i="7"/>
  <c r="M56" i="1"/>
  <c r="O56" i="1"/>
  <c r="R56" i="1"/>
  <c r="S56" i="1"/>
  <c r="H125" i="7"/>
  <c r="M57" i="1"/>
  <c r="O57" i="1"/>
  <c r="R57" i="1"/>
  <c r="S57" i="1"/>
  <c r="H126" i="7"/>
  <c r="M58" i="1"/>
  <c r="O58" i="1"/>
  <c r="R58" i="1"/>
  <c r="S58" i="1"/>
  <c r="H127" i="7"/>
  <c r="M59" i="1"/>
  <c r="O59" i="1"/>
  <c r="R59" i="1"/>
  <c r="S59" i="1"/>
  <c r="H128" i="7"/>
  <c r="M60" i="1"/>
  <c r="O60" i="1"/>
  <c r="R60" i="1"/>
  <c r="S60" i="1"/>
  <c r="H129" i="7"/>
  <c r="M61" i="1"/>
  <c r="O61" i="1"/>
  <c r="R61" i="1"/>
  <c r="S61" i="1"/>
  <c r="H130" i="7"/>
  <c r="M62" i="1"/>
  <c r="O62" i="1"/>
  <c r="R62" i="1"/>
  <c r="S62" i="1"/>
  <c r="H131" i="7"/>
  <c r="M63" i="1"/>
  <c r="O63" i="1"/>
  <c r="R63" i="1"/>
  <c r="S63" i="1"/>
  <c r="H132" i="7"/>
  <c r="M64" i="1"/>
  <c r="O64" i="1"/>
  <c r="R64" i="1"/>
  <c r="S64" i="1"/>
  <c r="H133" i="7"/>
  <c r="M65" i="1"/>
  <c r="O65" i="1"/>
  <c r="R65" i="1"/>
  <c r="S65" i="1"/>
  <c r="H134" i="7"/>
  <c r="M66" i="1"/>
  <c r="O66" i="1"/>
  <c r="R66" i="1"/>
  <c r="S66" i="1"/>
  <c r="H135" i="7"/>
  <c r="M67" i="1"/>
  <c r="O67" i="1"/>
  <c r="R67" i="1"/>
  <c r="S67" i="1"/>
  <c r="H136" i="7"/>
  <c r="M68" i="1"/>
  <c r="O68" i="1"/>
  <c r="R68" i="1"/>
  <c r="S68" i="1"/>
  <c r="H137" i="7"/>
  <c r="M69" i="1"/>
  <c r="O69" i="1"/>
  <c r="R69" i="1"/>
  <c r="S69" i="1"/>
  <c r="H138" i="7"/>
  <c r="M70" i="1"/>
  <c r="O70" i="1"/>
  <c r="R70" i="1"/>
  <c r="S70" i="1"/>
  <c r="H139" i="7"/>
  <c r="M71" i="1"/>
  <c r="O71" i="1"/>
  <c r="R71" i="1"/>
  <c r="S71" i="1"/>
  <c r="H140" i="7"/>
  <c r="M72" i="1"/>
  <c r="O72" i="1"/>
  <c r="R72" i="1"/>
  <c r="S72" i="1"/>
  <c r="H141" i="7"/>
  <c r="M73" i="1"/>
  <c r="O73" i="1"/>
  <c r="R73" i="1"/>
  <c r="S73" i="1"/>
  <c r="H142" i="7"/>
  <c r="M74" i="1"/>
  <c r="O74" i="1"/>
  <c r="R74" i="1"/>
  <c r="S74" i="1"/>
  <c r="H143" i="7"/>
  <c r="M75" i="1"/>
  <c r="O75" i="1"/>
  <c r="R75" i="1"/>
  <c r="S75" i="1"/>
  <c r="H144" i="7"/>
  <c r="M76" i="1"/>
  <c r="O76" i="1"/>
  <c r="R76" i="1"/>
  <c r="S76" i="1"/>
  <c r="H145" i="7"/>
  <c r="M77" i="1"/>
  <c r="O77" i="1"/>
  <c r="R77" i="1"/>
  <c r="S77" i="1"/>
  <c r="H146" i="7"/>
  <c r="M78" i="1"/>
  <c r="O78" i="1"/>
  <c r="R78" i="1"/>
  <c r="S78" i="1"/>
  <c r="H147" i="7"/>
  <c r="M79" i="1"/>
  <c r="O79" i="1"/>
  <c r="R79" i="1"/>
  <c r="S79" i="1"/>
  <c r="H148" i="7"/>
  <c r="M80" i="1"/>
  <c r="O80" i="1"/>
  <c r="R80" i="1"/>
  <c r="S80" i="1"/>
  <c r="H149" i="7"/>
  <c r="M81" i="1"/>
  <c r="O81" i="1"/>
  <c r="R81" i="1"/>
  <c r="S81" i="1"/>
  <c r="H150" i="7"/>
  <c r="M82" i="1"/>
  <c r="O82" i="1"/>
  <c r="R82" i="1"/>
  <c r="S82" i="1"/>
  <c r="H151" i="7"/>
  <c r="M83" i="1"/>
  <c r="O83" i="1"/>
  <c r="R83" i="1"/>
  <c r="S83" i="1"/>
  <c r="H152" i="7"/>
  <c r="M84" i="1"/>
  <c r="O84" i="1"/>
  <c r="R84" i="1"/>
  <c r="S84" i="1"/>
  <c r="H153" i="7"/>
  <c r="M85" i="1"/>
  <c r="O85" i="1"/>
  <c r="R85" i="1"/>
  <c r="S85" i="1"/>
  <c r="H154" i="7"/>
  <c r="M86" i="1"/>
  <c r="O86" i="1"/>
  <c r="R86" i="1"/>
  <c r="S86" i="1"/>
  <c r="H155" i="7"/>
  <c r="M87" i="1"/>
  <c r="O87" i="1"/>
  <c r="R87" i="1"/>
  <c r="S87" i="1"/>
  <c r="H156" i="7"/>
  <c r="M88" i="1"/>
  <c r="O88" i="1"/>
  <c r="R88" i="1"/>
  <c r="S88" i="1"/>
  <c r="H157" i="7"/>
  <c r="M89" i="1"/>
  <c r="O89" i="1"/>
  <c r="R89" i="1"/>
  <c r="S89" i="1"/>
  <c r="H158" i="7"/>
  <c r="M90" i="1"/>
  <c r="O90" i="1"/>
  <c r="R90" i="1"/>
  <c r="S90" i="1"/>
  <c r="H159" i="7"/>
  <c r="M91" i="1"/>
  <c r="O91" i="1"/>
  <c r="R91" i="1"/>
  <c r="S91" i="1"/>
  <c r="H160" i="7"/>
  <c r="M92" i="1"/>
  <c r="O92" i="1"/>
  <c r="R92" i="1"/>
  <c r="S92" i="1"/>
  <c r="H161" i="7"/>
  <c r="M93" i="1"/>
  <c r="O93" i="1"/>
  <c r="R93" i="1"/>
  <c r="S93" i="1"/>
  <c r="H162" i="7"/>
  <c r="M94" i="1"/>
  <c r="O94" i="1"/>
  <c r="R94" i="1"/>
  <c r="S94" i="1"/>
  <c r="H163" i="7"/>
  <c r="M95" i="1"/>
  <c r="O95" i="1"/>
  <c r="R95" i="1"/>
  <c r="S95" i="1"/>
  <c r="H164" i="7"/>
  <c r="M96" i="1"/>
  <c r="O96" i="1"/>
  <c r="R96" i="1"/>
  <c r="S96" i="1"/>
  <c r="H165" i="7"/>
  <c r="M97" i="1"/>
  <c r="O97" i="1"/>
  <c r="R97" i="1"/>
  <c r="S97" i="1"/>
  <c r="H166" i="7"/>
  <c r="M98" i="1"/>
  <c r="O98" i="1"/>
  <c r="R98" i="1"/>
  <c r="S98" i="1"/>
  <c r="H167" i="7"/>
  <c r="M99" i="1"/>
  <c r="O99" i="1"/>
  <c r="R99" i="1"/>
  <c r="S99" i="1"/>
  <c r="H168" i="7"/>
  <c r="M100" i="1"/>
  <c r="O100" i="1"/>
  <c r="R100" i="1"/>
  <c r="S100" i="1"/>
  <c r="H169" i="7"/>
  <c r="M101" i="1"/>
  <c r="O101" i="1"/>
  <c r="R101" i="1"/>
  <c r="S101" i="1"/>
  <c r="H170" i="7"/>
  <c r="M102" i="1"/>
  <c r="O102" i="1"/>
  <c r="R102" i="1"/>
  <c r="S102" i="1"/>
  <c r="H171" i="7"/>
  <c r="AA3" i="1"/>
  <c r="AD3" i="1"/>
  <c r="Y4" i="1"/>
  <c r="AA4" i="1"/>
  <c r="AD4" i="1"/>
  <c r="Y5" i="1"/>
  <c r="AA5" i="1"/>
  <c r="AD5" i="1"/>
  <c r="Y6" i="1"/>
  <c r="AA6" i="1"/>
  <c r="AD6" i="1"/>
  <c r="Y7" i="1"/>
  <c r="AA7" i="1"/>
  <c r="AD7" i="1"/>
  <c r="Y8" i="1"/>
  <c r="AA8" i="1"/>
  <c r="AD8" i="1"/>
  <c r="Y9" i="1"/>
  <c r="AA9" i="1"/>
  <c r="AD9" i="1"/>
  <c r="Y10" i="1"/>
  <c r="AA10" i="1"/>
  <c r="AD10" i="1"/>
  <c r="Y11" i="1"/>
  <c r="AA11" i="1"/>
  <c r="AD11" i="1"/>
  <c r="Y12" i="1"/>
  <c r="AA12" i="1"/>
  <c r="AD12" i="1"/>
  <c r="Y13" i="1"/>
  <c r="AA13" i="1"/>
  <c r="AD13" i="1"/>
  <c r="Y14" i="1"/>
  <c r="AA14" i="1"/>
  <c r="AD14" i="1"/>
  <c r="Y15" i="1"/>
  <c r="AA15" i="1"/>
  <c r="AD15" i="1"/>
  <c r="Y16" i="1"/>
  <c r="AA16" i="1"/>
  <c r="AD16" i="1"/>
  <c r="Y17" i="1"/>
  <c r="AA17" i="1"/>
  <c r="AD17" i="1"/>
  <c r="Y18" i="1"/>
  <c r="AA18" i="1"/>
  <c r="AD18" i="1"/>
  <c r="Y19" i="1"/>
  <c r="AA19" i="1"/>
  <c r="AD19" i="1"/>
  <c r="Y20" i="1"/>
  <c r="AA20" i="1"/>
  <c r="AD20" i="1"/>
  <c r="Y21" i="1"/>
  <c r="AA21" i="1"/>
  <c r="AD21" i="1"/>
  <c r="Y22" i="1"/>
  <c r="AA22" i="1"/>
  <c r="AD22" i="1"/>
  <c r="Y23" i="1"/>
  <c r="AA23" i="1"/>
  <c r="AD23" i="1"/>
  <c r="Y24" i="1"/>
  <c r="AA24" i="1"/>
  <c r="AD24" i="1"/>
  <c r="Y25" i="1"/>
  <c r="AA25" i="1"/>
  <c r="AD25" i="1"/>
  <c r="Y26" i="1"/>
  <c r="AA26" i="1"/>
  <c r="AD26" i="1"/>
  <c r="Y27" i="1"/>
  <c r="AA27" i="1"/>
  <c r="AD27" i="1"/>
  <c r="Y28" i="1"/>
  <c r="AA28" i="1"/>
  <c r="AD28" i="1"/>
  <c r="Y29" i="1"/>
  <c r="AA29" i="1"/>
  <c r="AD29" i="1"/>
  <c r="Y30" i="1"/>
  <c r="AA30" i="1"/>
  <c r="AD30" i="1"/>
  <c r="Y31" i="1"/>
  <c r="AA31" i="1"/>
  <c r="AD31" i="1"/>
  <c r="Y32" i="1"/>
  <c r="AA32" i="1"/>
  <c r="AD32" i="1"/>
  <c r="Y33" i="1"/>
  <c r="AA33" i="1"/>
  <c r="AD33" i="1"/>
  <c r="Y34" i="1"/>
  <c r="AA34" i="1"/>
  <c r="AD34" i="1"/>
  <c r="Y35" i="1"/>
  <c r="AA35" i="1"/>
  <c r="AD35" i="1"/>
  <c r="AA5" i="4"/>
  <c r="AE3" i="1"/>
  <c r="H172" i="7"/>
  <c r="AE4" i="1"/>
  <c r="H173" i="7"/>
  <c r="AE5" i="1"/>
  <c r="H174" i="7"/>
  <c r="AE6" i="1"/>
  <c r="H175" i="7"/>
  <c r="AE7" i="1"/>
  <c r="H176" i="7"/>
  <c r="AE8" i="1"/>
  <c r="H177" i="7"/>
  <c r="AE9" i="1"/>
  <c r="H178" i="7"/>
  <c r="AE10" i="1"/>
  <c r="H179" i="7"/>
  <c r="AE11" i="1"/>
  <c r="H180" i="7"/>
  <c r="AE12" i="1"/>
  <c r="H181" i="7"/>
  <c r="AE13" i="1"/>
  <c r="H182" i="7"/>
  <c r="AE14" i="1"/>
  <c r="H183" i="7"/>
  <c r="AE15" i="1"/>
  <c r="H184" i="7"/>
  <c r="AE16" i="1"/>
  <c r="H185" i="7"/>
  <c r="AE17" i="1"/>
  <c r="H186" i="7"/>
  <c r="AE18" i="1"/>
  <c r="H187" i="7"/>
  <c r="AE19" i="1"/>
  <c r="H188" i="7"/>
  <c r="AE20" i="1"/>
  <c r="H189" i="7"/>
  <c r="AE21" i="1"/>
  <c r="H190" i="7"/>
  <c r="AE22" i="1"/>
  <c r="H191" i="7"/>
  <c r="AE23" i="1"/>
  <c r="H192" i="7"/>
  <c r="AE24" i="1"/>
  <c r="H193" i="7"/>
  <c r="AE25" i="1"/>
  <c r="H194" i="7"/>
  <c r="AE26" i="1"/>
  <c r="H195" i="7"/>
  <c r="AE27" i="1"/>
  <c r="H196" i="7"/>
  <c r="AE28" i="1"/>
  <c r="H197" i="7"/>
  <c r="AE29" i="1"/>
  <c r="H198" i="7"/>
  <c r="AE30" i="1"/>
  <c r="H199" i="7"/>
  <c r="AE31" i="1"/>
  <c r="H200" i="7"/>
  <c r="AE32" i="1"/>
  <c r="H201" i="7"/>
  <c r="AE33" i="1"/>
  <c r="H202" i="7"/>
  <c r="AE34" i="1"/>
  <c r="H203" i="7"/>
  <c r="AE35" i="1"/>
  <c r="H204" i="7"/>
  <c r="Y36" i="1"/>
  <c r="AA36" i="1"/>
  <c r="AD36" i="1"/>
  <c r="AE36" i="1"/>
  <c r="H205" i="7"/>
  <c r="Y37" i="1"/>
  <c r="AA37" i="1"/>
  <c r="AD37" i="1"/>
  <c r="AE37" i="1"/>
  <c r="H206" i="7"/>
  <c r="Y38" i="1"/>
  <c r="AA38" i="1"/>
  <c r="AD38" i="1"/>
  <c r="AE38" i="1"/>
  <c r="H207" i="7"/>
  <c r="Y39" i="1"/>
  <c r="AA39" i="1"/>
  <c r="AD39" i="1"/>
  <c r="AE39" i="1"/>
  <c r="H208" i="7"/>
  <c r="Y40" i="1"/>
  <c r="AA40" i="1"/>
  <c r="AD40" i="1"/>
  <c r="AE40" i="1"/>
  <c r="H209" i="7"/>
  <c r="Y41" i="1"/>
  <c r="AA41" i="1"/>
  <c r="AD41" i="1"/>
  <c r="AE41" i="1"/>
  <c r="H210" i="7"/>
  <c r="Y42" i="1"/>
  <c r="AA42" i="1"/>
  <c r="AD42" i="1"/>
  <c r="AE42" i="1"/>
  <c r="H211" i="7"/>
  <c r="Y43" i="1"/>
  <c r="AA43" i="1"/>
  <c r="AD43" i="1"/>
  <c r="AE43" i="1"/>
  <c r="H212" i="7"/>
  <c r="Y44" i="1"/>
  <c r="AA44" i="1"/>
  <c r="AD44" i="1"/>
  <c r="AE44" i="1"/>
  <c r="H213" i="7"/>
  <c r="Y45" i="1"/>
  <c r="AA45" i="1"/>
  <c r="AD45" i="1"/>
  <c r="AE45" i="1"/>
  <c r="H214" i="7"/>
  <c r="Y46" i="1"/>
  <c r="AA46" i="1"/>
  <c r="AD46" i="1"/>
  <c r="AE46" i="1"/>
  <c r="H215" i="7"/>
  <c r="Y47" i="1"/>
  <c r="AA47" i="1"/>
  <c r="AD47" i="1"/>
  <c r="AE47" i="1"/>
  <c r="H216" i="7"/>
  <c r="Y48" i="1"/>
  <c r="AA48" i="1"/>
  <c r="AD48" i="1"/>
  <c r="AE48" i="1"/>
  <c r="H217" i="7"/>
  <c r="Y49" i="1"/>
  <c r="AA49" i="1"/>
  <c r="AD49" i="1"/>
  <c r="AE49" i="1"/>
  <c r="H218" i="7"/>
  <c r="Y50" i="1"/>
  <c r="AA50" i="1"/>
  <c r="AD50" i="1"/>
  <c r="AE50" i="1"/>
  <c r="H219" i="7"/>
  <c r="Y51" i="1"/>
  <c r="AA51" i="1"/>
  <c r="AD51" i="1"/>
  <c r="AE51" i="1"/>
  <c r="H220" i="7"/>
  <c r="Y52" i="1"/>
  <c r="AA52" i="1"/>
  <c r="AD52" i="1"/>
  <c r="AE52" i="1"/>
  <c r="H221" i="7"/>
  <c r="Y53" i="1"/>
  <c r="AA53" i="1"/>
  <c r="AD53" i="1"/>
  <c r="AE53" i="1"/>
  <c r="H222" i="7"/>
  <c r="Y54" i="1"/>
  <c r="AA54" i="1"/>
  <c r="AD54" i="1"/>
  <c r="AE54" i="1"/>
  <c r="H223" i="7"/>
  <c r="Y55" i="1"/>
  <c r="AA55" i="1"/>
  <c r="AD55" i="1"/>
  <c r="AE55" i="1"/>
  <c r="H224" i="7"/>
  <c r="Y56" i="1"/>
  <c r="AA56" i="1"/>
  <c r="AD56" i="1"/>
  <c r="AE56" i="1"/>
  <c r="H225" i="7"/>
  <c r="Y57" i="1"/>
  <c r="AA57" i="1"/>
  <c r="AD57" i="1"/>
  <c r="AE57" i="1"/>
  <c r="H226" i="7"/>
  <c r="Y58" i="1"/>
  <c r="AA58" i="1"/>
  <c r="AD58" i="1"/>
  <c r="AE58" i="1"/>
  <c r="H227" i="7"/>
  <c r="Y59" i="1"/>
  <c r="AA59" i="1"/>
  <c r="AD59" i="1"/>
  <c r="AE59" i="1"/>
  <c r="H228" i="7"/>
  <c r="Y60" i="1"/>
  <c r="AA60" i="1"/>
  <c r="AD60" i="1"/>
  <c r="AE60" i="1"/>
  <c r="H229" i="7"/>
  <c r="Y61" i="1"/>
  <c r="AA61" i="1"/>
  <c r="AD61" i="1"/>
  <c r="AE61" i="1"/>
  <c r="H230" i="7"/>
  <c r="Y62" i="1"/>
  <c r="AA62" i="1"/>
  <c r="AD62" i="1"/>
  <c r="AE62" i="1"/>
  <c r="H231" i="7"/>
  <c r="Y63" i="1"/>
  <c r="AA63" i="1"/>
  <c r="AD63" i="1"/>
  <c r="AE63" i="1"/>
  <c r="H232" i="7"/>
  <c r="Y64" i="1"/>
  <c r="AA64" i="1"/>
  <c r="AD64" i="1"/>
  <c r="AE64" i="1"/>
  <c r="H233" i="7"/>
  <c r="Y65" i="1"/>
  <c r="AA65" i="1"/>
  <c r="AD65" i="1"/>
  <c r="AE65" i="1"/>
  <c r="H234" i="7"/>
  <c r="Y66" i="1"/>
  <c r="AA66" i="1"/>
  <c r="AD66" i="1"/>
  <c r="AE66" i="1"/>
  <c r="H235" i="7"/>
  <c r="Y67" i="1"/>
  <c r="AA67" i="1"/>
  <c r="AD67" i="1"/>
  <c r="AE67" i="1"/>
  <c r="H236" i="7"/>
  <c r="Y68" i="1"/>
  <c r="AA68" i="1"/>
  <c r="AD68" i="1"/>
  <c r="AE68" i="1"/>
  <c r="H237" i="7"/>
  <c r="Y69" i="1"/>
  <c r="AA69" i="1"/>
  <c r="AD69" i="1"/>
  <c r="AE69" i="1"/>
  <c r="H238" i="7"/>
  <c r="Y70" i="1"/>
  <c r="AA70" i="1"/>
  <c r="AD70" i="1"/>
  <c r="AE70" i="1"/>
  <c r="H239" i="7"/>
  <c r="Y71" i="1"/>
  <c r="AA71" i="1"/>
  <c r="AD71" i="1"/>
  <c r="AE71" i="1"/>
  <c r="H240" i="7"/>
  <c r="Y72" i="1"/>
  <c r="AA72" i="1"/>
  <c r="AD72" i="1"/>
  <c r="AE72" i="1"/>
  <c r="H241" i="7"/>
  <c r="Y73" i="1"/>
  <c r="AA73" i="1"/>
  <c r="AD73" i="1"/>
  <c r="AE73" i="1"/>
  <c r="H242" i="7"/>
  <c r="Y74" i="1"/>
  <c r="AA74" i="1"/>
  <c r="AD74" i="1"/>
  <c r="AE74" i="1"/>
  <c r="H243" i="7"/>
  <c r="Y75" i="1"/>
  <c r="AA75" i="1"/>
  <c r="AD75" i="1"/>
  <c r="AE75" i="1"/>
  <c r="H244" i="7"/>
  <c r="Y76" i="1"/>
  <c r="AA76" i="1"/>
  <c r="AD76" i="1"/>
  <c r="AE76" i="1"/>
  <c r="H245" i="7"/>
  <c r="Y77" i="1"/>
  <c r="AA77" i="1"/>
  <c r="AD77" i="1"/>
  <c r="AE77" i="1"/>
  <c r="H246" i="7"/>
  <c r="Y78" i="1"/>
  <c r="AA78" i="1"/>
  <c r="AD78" i="1"/>
  <c r="AE78" i="1"/>
  <c r="H247" i="7"/>
  <c r="Y79" i="1"/>
  <c r="AA79" i="1"/>
  <c r="AD79" i="1"/>
  <c r="AE79" i="1"/>
  <c r="H248" i="7"/>
  <c r="Y80" i="1"/>
  <c r="AA80" i="1"/>
  <c r="AD80" i="1"/>
  <c r="AE80" i="1"/>
  <c r="H249" i="7"/>
  <c r="Y81" i="1"/>
  <c r="AA81" i="1"/>
  <c r="AD81" i="1"/>
  <c r="AE81" i="1"/>
  <c r="H250" i="7"/>
  <c r="Y82" i="1"/>
  <c r="AA82" i="1"/>
  <c r="AD82" i="1"/>
  <c r="AE82" i="1"/>
  <c r="H251" i="7"/>
  <c r="Y83" i="1"/>
  <c r="AA83" i="1"/>
  <c r="AD83" i="1"/>
  <c r="AE83" i="1"/>
  <c r="H252" i="7"/>
  <c r="Y84" i="1"/>
  <c r="AA84" i="1"/>
  <c r="AD84" i="1"/>
  <c r="AE84" i="1"/>
  <c r="H253" i="7"/>
  <c r="Y85" i="1"/>
  <c r="AA85" i="1"/>
  <c r="AD85" i="1"/>
  <c r="AE85" i="1"/>
  <c r="H254" i="7"/>
  <c r="Y86" i="1"/>
  <c r="AA86" i="1"/>
  <c r="AD86" i="1"/>
  <c r="AE86" i="1"/>
  <c r="H255" i="7"/>
  <c r="Y87" i="1"/>
  <c r="AA87" i="1"/>
  <c r="AD87" i="1"/>
  <c r="AE87" i="1"/>
  <c r="H256" i="7"/>
  <c r="Y88" i="1"/>
  <c r="AA88" i="1"/>
  <c r="AD88" i="1"/>
  <c r="AE88" i="1"/>
  <c r="H257" i="7"/>
  <c r="Y89" i="1"/>
  <c r="AA89" i="1"/>
  <c r="AD89" i="1"/>
  <c r="AE89" i="1"/>
  <c r="H258" i="7"/>
  <c r="Y90" i="1"/>
  <c r="AA90" i="1"/>
  <c r="AD90" i="1"/>
  <c r="AE90" i="1"/>
  <c r="H259" i="7"/>
  <c r="Y91" i="1"/>
  <c r="AA91" i="1"/>
  <c r="AD91" i="1"/>
  <c r="AE91" i="1"/>
  <c r="H260" i="7"/>
  <c r="Y92" i="1"/>
  <c r="AA92" i="1"/>
  <c r="AD92" i="1"/>
  <c r="AE92" i="1"/>
  <c r="H261" i="7"/>
  <c r="Y93" i="1"/>
  <c r="AA93" i="1"/>
  <c r="AD93" i="1"/>
  <c r="AE93" i="1"/>
  <c r="H262" i="7"/>
  <c r="Y94" i="1"/>
  <c r="AA94" i="1"/>
  <c r="AD94" i="1"/>
  <c r="AE94" i="1"/>
  <c r="H263" i="7"/>
  <c r="Y95" i="1"/>
  <c r="AA95" i="1"/>
  <c r="AD95" i="1"/>
  <c r="AE95" i="1"/>
  <c r="H264" i="7"/>
  <c r="Y96" i="1"/>
  <c r="AA96" i="1"/>
  <c r="AD96" i="1"/>
  <c r="AE96" i="1"/>
  <c r="H265" i="7"/>
  <c r="Y97" i="1"/>
  <c r="AA97" i="1"/>
  <c r="AD97" i="1"/>
  <c r="AE97" i="1"/>
  <c r="H266" i="7"/>
  <c r="Y98" i="1"/>
  <c r="AA98" i="1"/>
  <c r="AD98" i="1"/>
  <c r="AE98" i="1"/>
  <c r="H267" i="7"/>
  <c r="Y99" i="1"/>
  <c r="AA99" i="1"/>
  <c r="AD99" i="1"/>
  <c r="AE99" i="1"/>
  <c r="H268" i="7"/>
  <c r="Y100" i="1"/>
  <c r="AA100" i="1"/>
  <c r="AD100" i="1"/>
  <c r="AE100" i="1"/>
  <c r="H269" i="7"/>
  <c r="Y101" i="1"/>
  <c r="AA101" i="1"/>
  <c r="AD101" i="1"/>
  <c r="AE101" i="1"/>
  <c r="H270" i="7"/>
  <c r="Y102" i="1"/>
  <c r="AA102" i="1"/>
  <c r="AD102" i="1"/>
  <c r="AE102" i="1"/>
  <c r="H271" i="7"/>
  <c r="AM3" i="1"/>
  <c r="AP3" i="1"/>
  <c r="AK4" i="1"/>
  <c r="AM4" i="1"/>
  <c r="AP4" i="1"/>
  <c r="AK5" i="1"/>
  <c r="AM5" i="1"/>
  <c r="AP5" i="1"/>
  <c r="AK6" i="1"/>
  <c r="AM6" i="1"/>
  <c r="AP6" i="1"/>
  <c r="AK7" i="1"/>
  <c r="AM7" i="1"/>
  <c r="AP7" i="1"/>
  <c r="AK8" i="1"/>
  <c r="AM8" i="1"/>
  <c r="AP8" i="1"/>
  <c r="AK9" i="1"/>
  <c r="AM9" i="1"/>
  <c r="AP9" i="1"/>
  <c r="AK10" i="1"/>
  <c r="AM10" i="1"/>
  <c r="AP10" i="1"/>
  <c r="AK11" i="1"/>
  <c r="AM11" i="1"/>
  <c r="AP11" i="1"/>
  <c r="AK12" i="1"/>
  <c r="AM12" i="1"/>
  <c r="AP12" i="1"/>
  <c r="AK13" i="1"/>
  <c r="AM13" i="1"/>
  <c r="AP13" i="1"/>
  <c r="AA7" i="4"/>
  <c r="AQ3" i="1"/>
  <c r="H272" i="7"/>
  <c r="AQ4" i="1"/>
  <c r="H273" i="7"/>
  <c r="AQ5" i="1"/>
  <c r="H274" i="7"/>
  <c r="AQ6" i="1"/>
  <c r="H275" i="7"/>
  <c r="AQ7" i="1"/>
  <c r="H276" i="7"/>
  <c r="AQ8" i="1"/>
  <c r="H277" i="7"/>
  <c r="AQ9" i="1"/>
  <c r="H278" i="7"/>
  <c r="AQ10" i="1"/>
  <c r="H279" i="7"/>
  <c r="AQ11" i="1"/>
  <c r="H280" i="7"/>
  <c r="AQ12" i="1"/>
  <c r="H281" i="7"/>
  <c r="AQ13" i="1"/>
  <c r="H282" i="7"/>
  <c r="AK14" i="1"/>
  <c r="AM14" i="1"/>
  <c r="AP14" i="1"/>
  <c r="AQ14" i="1"/>
  <c r="H283" i="7"/>
  <c r="AK15" i="1"/>
  <c r="AM15" i="1"/>
  <c r="AP15" i="1"/>
  <c r="AQ15" i="1"/>
  <c r="H284" i="7"/>
  <c r="AK16" i="1"/>
  <c r="AM16" i="1"/>
  <c r="AP16" i="1"/>
  <c r="AQ16" i="1"/>
  <c r="H285" i="7"/>
  <c r="AK17" i="1"/>
  <c r="AM17" i="1"/>
  <c r="AP17" i="1"/>
  <c r="AQ17" i="1"/>
  <c r="H286" i="7"/>
  <c r="AK18" i="1"/>
  <c r="AM18" i="1"/>
  <c r="AP18" i="1"/>
  <c r="AQ18" i="1"/>
  <c r="H287" i="7"/>
  <c r="AK19" i="1"/>
  <c r="AM19" i="1"/>
  <c r="AP19" i="1"/>
  <c r="AQ19" i="1"/>
  <c r="H288" i="7"/>
  <c r="AK20" i="1"/>
  <c r="AM20" i="1"/>
  <c r="AP20" i="1"/>
  <c r="AQ20" i="1"/>
  <c r="H289" i="7"/>
  <c r="AK21" i="1"/>
  <c r="AM21" i="1"/>
  <c r="AP21" i="1"/>
  <c r="AQ21" i="1"/>
  <c r="H290" i="7"/>
  <c r="AK22" i="1"/>
  <c r="AM22" i="1"/>
  <c r="AP22" i="1"/>
  <c r="AQ22" i="1"/>
  <c r="H291" i="7"/>
  <c r="AK23" i="1"/>
  <c r="AM23" i="1"/>
  <c r="AP23" i="1"/>
  <c r="AQ23" i="1"/>
  <c r="H292" i="7"/>
  <c r="AK24" i="1"/>
  <c r="AM24" i="1"/>
  <c r="AP24" i="1"/>
  <c r="AQ24" i="1"/>
  <c r="H293" i="7"/>
  <c r="AK25" i="1"/>
  <c r="AM25" i="1"/>
  <c r="AP25" i="1"/>
  <c r="AQ25" i="1"/>
  <c r="H294" i="7"/>
  <c r="AK26" i="1"/>
  <c r="AM26" i="1"/>
  <c r="AP26" i="1"/>
  <c r="AQ26" i="1"/>
  <c r="H295" i="7"/>
  <c r="AK27" i="1"/>
  <c r="AM27" i="1"/>
  <c r="AP27" i="1"/>
  <c r="AQ27" i="1"/>
  <c r="H296" i="7"/>
  <c r="AK28" i="1"/>
  <c r="AM28" i="1"/>
  <c r="AP28" i="1"/>
  <c r="AQ28" i="1"/>
  <c r="H297" i="7"/>
  <c r="AK29" i="1"/>
  <c r="AM29" i="1"/>
  <c r="AP29" i="1"/>
  <c r="AQ29" i="1"/>
  <c r="H298" i="7"/>
  <c r="AK30" i="1"/>
  <c r="AM30" i="1"/>
  <c r="AP30" i="1"/>
  <c r="AQ30" i="1"/>
  <c r="H299" i="7"/>
  <c r="AK31" i="1"/>
  <c r="AM31" i="1"/>
  <c r="AP31" i="1"/>
  <c r="AQ31" i="1"/>
  <c r="H300" i="7"/>
  <c r="AK32" i="1"/>
  <c r="AM32" i="1"/>
  <c r="AP32" i="1"/>
  <c r="AQ32" i="1"/>
  <c r="H301" i="7"/>
  <c r="AQ35" i="1"/>
  <c r="H302" i="7"/>
  <c r="AQ36" i="1"/>
  <c r="H303" i="7"/>
  <c r="AQ37" i="1"/>
  <c r="H304" i="7"/>
  <c r="AQ38" i="1"/>
  <c r="H305" i="7"/>
  <c r="AQ39" i="1"/>
  <c r="H306" i="7"/>
  <c r="AQ40" i="1"/>
  <c r="H307" i="7"/>
  <c r="AQ41" i="1"/>
  <c r="H308" i="7"/>
  <c r="AQ42" i="1"/>
  <c r="H309" i="7"/>
  <c r="AQ43" i="1"/>
  <c r="H310" i="7"/>
  <c r="AQ44" i="1"/>
  <c r="H311" i="7"/>
  <c r="AQ45" i="1"/>
  <c r="H312" i="7"/>
  <c r="AM46" i="1"/>
  <c r="AP46" i="1"/>
  <c r="AQ46" i="1"/>
  <c r="H313" i="7"/>
  <c r="AM47" i="1"/>
  <c r="AP47" i="1"/>
  <c r="AQ47" i="1"/>
  <c r="H314" i="7"/>
  <c r="AM48" i="1"/>
  <c r="AP48" i="1"/>
  <c r="AQ48" i="1"/>
  <c r="H315" i="7"/>
  <c r="AM49" i="1"/>
  <c r="AP49" i="1"/>
  <c r="AQ49" i="1"/>
  <c r="H316" i="7"/>
  <c r="AM50" i="1"/>
  <c r="AP50" i="1"/>
  <c r="AQ50" i="1"/>
  <c r="H317" i="7"/>
  <c r="AM51" i="1"/>
  <c r="AP51" i="1"/>
  <c r="AQ51" i="1"/>
  <c r="H318" i="7"/>
  <c r="AM52" i="1"/>
  <c r="AP52" i="1"/>
  <c r="AQ52" i="1"/>
  <c r="H319" i="7"/>
  <c r="AM53" i="1"/>
  <c r="AP53" i="1"/>
  <c r="AQ53" i="1"/>
  <c r="H320" i="7"/>
  <c r="AM54" i="1"/>
  <c r="AP54" i="1"/>
  <c r="AQ54" i="1"/>
  <c r="H321" i="7"/>
  <c r="AM55" i="1"/>
  <c r="AP55" i="1"/>
  <c r="AQ55" i="1"/>
  <c r="H322" i="7"/>
  <c r="AM56" i="1"/>
  <c r="AP56" i="1"/>
  <c r="AQ56" i="1"/>
  <c r="H323" i="7"/>
  <c r="AM57" i="1"/>
  <c r="AP57" i="1"/>
  <c r="AQ57" i="1"/>
  <c r="H324" i="7"/>
  <c r="AM58" i="1"/>
  <c r="AP58" i="1"/>
  <c r="AQ58" i="1"/>
  <c r="H325" i="7"/>
  <c r="AM59" i="1"/>
  <c r="AP59" i="1"/>
  <c r="AQ59" i="1"/>
  <c r="H326" i="7"/>
  <c r="AM60" i="1"/>
  <c r="AP60" i="1"/>
  <c r="AQ60" i="1"/>
  <c r="H327" i="7"/>
  <c r="AM61" i="1"/>
  <c r="AP61" i="1"/>
  <c r="AQ61" i="1"/>
  <c r="H328" i="7"/>
  <c r="AM62" i="1"/>
  <c r="AP62" i="1"/>
  <c r="AQ62" i="1"/>
  <c r="H329" i="7"/>
  <c r="AM63" i="1"/>
  <c r="AP63" i="1"/>
  <c r="AQ63" i="1"/>
  <c r="H330"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G330" i="7"/>
  <c r="AN63" i="1"/>
  <c r="AO63" i="1"/>
  <c r="F330" i="7"/>
  <c r="E330" i="7"/>
  <c r="D330" i="7"/>
  <c r="AL63" i="1"/>
  <c r="C330" i="7"/>
  <c r="B330" i="7"/>
  <c r="G329" i="7"/>
  <c r="AN62" i="1"/>
  <c r="AO62" i="1"/>
  <c r="F329" i="7"/>
  <c r="E329" i="7"/>
  <c r="D329" i="7"/>
  <c r="AL62" i="1"/>
  <c r="C329" i="7"/>
  <c r="B329" i="7"/>
  <c r="G328" i="7"/>
  <c r="AN61" i="1"/>
  <c r="AO61" i="1"/>
  <c r="F328" i="7"/>
  <c r="E328" i="7"/>
  <c r="D328" i="7"/>
  <c r="AL61" i="1"/>
  <c r="C328" i="7"/>
  <c r="B328" i="7"/>
  <c r="G327" i="7"/>
  <c r="AN60" i="1"/>
  <c r="AO60" i="1"/>
  <c r="F327" i="7"/>
  <c r="E327" i="7"/>
  <c r="D327" i="7"/>
  <c r="AL60" i="1"/>
  <c r="C327" i="7"/>
  <c r="B327" i="7"/>
  <c r="G326" i="7"/>
  <c r="AN59" i="1"/>
  <c r="AO59" i="1"/>
  <c r="F326" i="7"/>
  <c r="E326" i="7"/>
  <c r="D326" i="7"/>
  <c r="AL59" i="1"/>
  <c r="C326" i="7"/>
  <c r="B326" i="7"/>
  <c r="G325" i="7"/>
  <c r="AN58" i="1"/>
  <c r="AO58" i="1"/>
  <c r="F325" i="7"/>
  <c r="E325" i="7"/>
  <c r="D325" i="7"/>
  <c r="AL58" i="1"/>
  <c r="C325" i="7"/>
  <c r="B325" i="7"/>
  <c r="G324" i="7"/>
  <c r="AN57" i="1"/>
  <c r="AO57" i="1"/>
  <c r="F324" i="7"/>
  <c r="E324" i="7"/>
  <c r="D324" i="7"/>
  <c r="AL57" i="1"/>
  <c r="C324" i="7"/>
  <c r="B324" i="7"/>
  <c r="G323" i="7"/>
  <c r="AN56" i="1"/>
  <c r="AO56" i="1"/>
  <c r="F323" i="7"/>
  <c r="E323" i="7"/>
  <c r="D323" i="7"/>
  <c r="AL56" i="1"/>
  <c r="C323" i="7"/>
  <c r="B323" i="7"/>
  <c r="G322" i="7"/>
  <c r="AN55" i="1"/>
  <c r="AO55" i="1"/>
  <c r="F322" i="7"/>
  <c r="E322" i="7"/>
  <c r="D322" i="7"/>
  <c r="AL55" i="1"/>
  <c r="C322" i="7"/>
  <c r="B322" i="7"/>
  <c r="G321" i="7"/>
  <c r="AN54" i="1"/>
  <c r="AO54" i="1"/>
  <c r="F321" i="7"/>
  <c r="E321" i="7"/>
  <c r="D321" i="7"/>
  <c r="AL54" i="1"/>
  <c r="C321" i="7"/>
  <c r="B321" i="7"/>
  <c r="G320" i="7"/>
  <c r="AN53" i="1"/>
  <c r="AO53" i="1"/>
  <c r="F320" i="7"/>
  <c r="E320" i="7"/>
  <c r="D320" i="7"/>
  <c r="AL53" i="1"/>
  <c r="C320" i="7"/>
  <c r="B320" i="7"/>
  <c r="G319" i="7"/>
  <c r="AN52" i="1"/>
  <c r="AO52" i="1"/>
  <c r="F319" i="7"/>
  <c r="E319" i="7"/>
  <c r="D319" i="7"/>
  <c r="AL52" i="1"/>
  <c r="C319" i="7"/>
  <c r="B319" i="7"/>
  <c r="G318" i="7"/>
  <c r="AN51" i="1"/>
  <c r="AO51" i="1"/>
  <c r="F318" i="7"/>
  <c r="E318" i="7"/>
  <c r="D318" i="7"/>
  <c r="AL51" i="1"/>
  <c r="C318" i="7"/>
  <c r="B318" i="7"/>
  <c r="G317" i="7"/>
  <c r="AN50" i="1"/>
  <c r="AO50" i="1"/>
  <c r="F317" i="7"/>
  <c r="E317" i="7"/>
  <c r="D317" i="7"/>
  <c r="AL50" i="1"/>
  <c r="C317" i="7"/>
  <c r="B317" i="7"/>
  <c r="G316" i="7"/>
  <c r="AN49" i="1"/>
  <c r="AO49" i="1"/>
  <c r="F316" i="7"/>
  <c r="E316" i="7"/>
  <c r="D316" i="7"/>
  <c r="AL49" i="1"/>
  <c r="C316" i="7"/>
  <c r="B316" i="7"/>
  <c r="G315" i="7"/>
  <c r="AN48" i="1"/>
  <c r="AO48" i="1"/>
  <c r="F315" i="7"/>
  <c r="E315" i="7"/>
  <c r="D315" i="7"/>
  <c r="AL48" i="1"/>
  <c r="C315" i="7"/>
  <c r="B315" i="7"/>
  <c r="G314" i="7"/>
  <c r="AN47" i="1"/>
  <c r="AO47" i="1"/>
  <c r="F314" i="7"/>
  <c r="E314" i="7"/>
  <c r="D314" i="7"/>
  <c r="AL47" i="1"/>
  <c r="C314" i="7"/>
  <c r="B314" i="7"/>
  <c r="G313" i="7"/>
  <c r="AN46" i="1"/>
  <c r="AO46" i="1"/>
  <c r="F313" i="7"/>
  <c r="E313" i="7"/>
  <c r="D313" i="7"/>
  <c r="AL46" i="1"/>
  <c r="C313" i="7"/>
  <c r="B313" i="7"/>
  <c r="G312" i="7"/>
  <c r="AN45" i="1"/>
  <c r="AO45" i="1"/>
  <c r="F312" i="7"/>
  <c r="E312" i="7"/>
  <c r="D312" i="7"/>
  <c r="AL45" i="1"/>
  <c r="C312" i="7"/>
  <c r="B312" i="7"/>
  <c r="G311" i="7"/>
  <c r="AN44" i="1"/>
  <c r="AO44" i="1"/>
  <c r="F311" i="7"/>
  <c r="E311" i="7"/>
  <c r="D311" i="7"/>
  <c r="AL44" i="1"/>
  <c r="C311" i="7"/>
  <c r="B311" i="7"/>
  <c r="G310" i="7"/>
  <c r="AN43" i="1"/>
  <c r="AO43" i="1"/>
  <c r="F310" i="7"/>
  <c r="E310" i="7"/>
  <c r="D310" i="7"/>
  <c r="AL43" i="1"/>
  <c r="C310" i="7"/>
  <c r="B310" i="7"/>
  <c r="G309" i="7"/>
  <c r="AN42" i="1"/>
  <c r="AO42" i="1"/>
  <c r="F309" i="7"/>
  <c r="E309" i="7"/>
  <c r="D309" i="7"/>
  <c r="AL42" i="1"/>
  <c r="C309" i="7"/>
  <c r="B309" i="7"/>
  <c r="G308" i="7"/>
  <c r="AN41" i="1"/>
  <c r="AO41" i="1"/>
  <c r="F308" i="7"/>
  <c r="E308" i="7"/>
  <c r="D308" i="7"/>
  <c r="AL41" i="1"/>
  <c r="C308" i="7"/>
  <c r="B308" i="7"/>
  <c r="G307" i="7"/>
  <c r="AN40" i="1"/>
  <c r="AO40" i="1"/>
  <c r="F307" i="7"/>
  <c r="E307" i="7"/>
  <c r="D307" i="7"/>
  <c r="AL40" i="1"/>
  <c r="C307" i="7"/>
  <c r="B307" i="7"/>
  <c r="G306" i="7"/>
  <c r="AN39" i="1"/>
  <c r="AO39" i="1"/>
  <c r="F306" i="7"/>
  <c r="E306" i="7"/>
  <c r="D306" i="7"/>
  <c r="AL39" i="1"/>
  <c r="C306" i="7"/>
  <c r="B306" i="7"/>
  <c r="G305" i="7"/>
  <c r="AN38" i="1"/>
  <c r="AO38" i="1"/>
  <c r="F305" i="7"/>
  <c r="E305" i="7"/>
  <c r="D305" i="7"/>
  <c r="AL38" i="1"/>
  <c r="C305" i="7"/>
  <c r="B305" i="7"/>
  <c r="G304" i="7"/>
  <c r="AN37" i="1"/>
  <c r="AO37" i="1"/>
  <c r="F304" i="7"/>
  <c r="E304" i="7"/>
  <c r="D304" i="7"/>
  <c r="AL37" i="1"/>
  <c r="C304" i="7"/>
  <c r="B304" i="7"/>
  <c r="G303" i="7"/>
  <c r="AN36" i="1"/>
  <c r="AO36" i="1"/>
  <c r="F303" i="7"/>
  <c r="E303" i="7"/>
  <c r="D303" i="7"/>
  <c r="AL36" i="1"/>
  <c r="C303" i="7"/>
  <c r="B303" i="7"/>
  <c r="G302" i="7"/>
  <c r="AN35" i="1"/>
  <c r="AO35" i="1"/>
  <c r="F302" i="7"/>
  <c r="E302" i="7"/>
  <c r="D302" i="7"/>
  <c r="AL35" i="1"/>
  <c r="C302" i="7"/>
  <c r="B302" i="7"/>
  <c r="G301" i="7"/>
  <c r="AN32" i="1"/>
  <c r="AO32" i="1"/>
  <c r="F301" i="7"/>
  <c r="E301" i="7"/>
  <c r="D301" i="7"/>
  <c r="AL32" i="1"/>
  <c r="C301" i="7"/>
  <c r="B301" i="7"/>
  <c r="G300" i="7"/>
  <c r="AN31" i="1"/>
  <c r="AO31" i="1"/>
  <c r="F300" i="7"/>
  <c r="E300" i="7"/>
  <c r="D300" i="7"/>
  <c r="AL31" i="1"/>
  <c r="C300" i="7"/>
  <c r="B300" i="7"/>
  <c r="G299" i="7"/>
  <c r="AN30" i="1"/>
  <c r="AO30" i="1"/>
  <c r="F299" i="7"/>
  <c r="E299" i="7"/>
  <c r="D299" i="7"/>
  <c r="AL30" i="1"/>
  <c r="C299" i="7"/>
  <c r="B299" i="7"/>
  <c r="G298" i="7"/>
  <c r="AN29" i="1"/>
  <c r="AO29" i="1"/>
  <c r="F298" i="7"/>
  <c r="E298" i="7"/>
  <c r="D298" i="7"/>
  <c r="AL29" i="1"/>
  <c r="C298" i="7"/>
  <c r="B298" i="7"/>
  <c r="G297" i="7"/>
  <c r="AN28" i="1"/>
  <c r="AO28" i="1"/>
  <c r="F297" i="7"/>
  <c r="E297" i="7"/>
  <c r="D297" i="7"/>
  <c r="AL28" i="1"/>
  <c r="C297" i="7"/>
  <c r="B297" i="7"/>
  <c r="G296" i="7"/>
  <c r="AN27" i="1"/>
  <c r="AO27" i="1"/>
  <c r="F296" i="7"/>
  <c r="E296" i="7"/>
  <c r="D296" i="7"/>
  <c r="AL27" i="1"/>
  <c r="C296" i="7"/>
  <c r="B296" i="7"/>
  <c r="G295" i="7"/>
  <c r="AN26" i="1"/>
  <c r="AO26" i="1"/>
  <c r="F295" i="7"/>
  <c r="E295" i="7"/>
  <c r="D295" i="7"/>
  <c r="AL26" i="1"/>
  <c r="C295" i="7"/>
  <c r="B295" i="7"/>
  <c r="G294" i="7"/>
  <c r="AN25" i="1"/>
  <c r="AO25" i="1"/>
  <c r="F294" i="7"/>
  <c r="E294" i="7"/>
  <c r="D294" i="7"/>
  <c r="AL25" i="1"/>
  <c r="C294" i="7"/>
  <c r="B294" i="7"/>
  <c r="G293" i="7"/>
  <c r="AN24" i="1"/>
  <c r="AO24" i="1"/>
  <c r="F293" i="7"/>
  <c r="E293" i="7"/>
  <c r="D293" i="7"/>
  <c r="AL24" i="1"/>
  <c r="C293" i="7"/>
  <c r="B293" i="7"/>
  <c r="G292" i="7"/>
  <c r="AN23" i="1"/>
  <c r="AO23" i="1"/>
  <c r="F292" i="7"/>
  <c r="E292" i="7"/>
  <c r="D292" i="7"/>
  <c r="AL23" i="1"/>
  <c r="C292" i="7"/>
  <c r="B292" i="7"/>
  <c r="G291" i="7"/>
  <c r="AN22" i="1"/>
  <c r="AO22" i="1"/>
  <c r="F291" i="7"/>
  <c r="E291" i="7"/>
  <c r="D291" i="7"/>
  <c r="AL22" i="1"/>
  <c r="C291" i="7"/>
  <c r="B291" i="7"/>
  <c r="G290" i="7"/>
  <c r="AN21" i="1"/>
  <c r="AO21" i="1"/>
  <c r="F290" i="7"/>
  <c r="E290" i="7"/>
  <c r="D290" i="7"/>
  <c r="AL21" i="1"/>
  <c r="C290" i="7"/>
  <c r="B290" i="7"/>
  <c r="G289" i="7"/>
  <c r="AN20" i="1"/>
  <c r="AO20" i="1"/>
  <c r="F289" i="7"/>
  <c r="E289" i="7"/>
  <c r="D289" i="7"/>
  <c r="AL20" i="1"/>
  <c r="C289" i="7"/>
  <c r="B289" i="7"/>
  <c r="G288" i="7"/>
  <c r="AN19" i="1"/>
  <c r="AO19" i="1"/>
  <c r="F288" i="7"/>
  <c r="E288" i="7"/>
  <c r="D288" i="7"/>
  <c r="AL19" i="1"/>
  <c r="C288" i="7"/>
  <c r="B288" i="7"/>
  <c r="G287" i="7"/>
  <c r="AN18" i="1"/>
  <c r="AO18" i="1"/>
  <c r="F287" i="7"/>
  <c r="E287" i="7"/>
  <c r="D287" i="7"/>
  <c r="AL18" i="1"/>
  <c r="C287" i="7"/>
  <c r="B287" i="7"/>
  <c r="G286" i="7"/>
  <c r="AN17" i="1"/>
  <c r="AO17" i="1"/>
  <c r="F286" i="7"/>
  <c r="E286" i="7"/>
  <c r="D286" i="7"/>
  <c r="AL17" i="1"/>
  <c r="C286" i="7"/>
  <c r="B286" i="7"/>
  <c r="G285" i="7"/>
  <c r="AN16" i="1"/>
  <c r="AO16" i="1"/>
  <c r="F285" i="7"/>
  <c r="E285" i="7"/>
  <c r="D285" i="7"/>
  <c r="AL16" i="1"/>
  <c r="C285" i="7"/>
  <c r="B285" i="7"/>
  <c r="G284" i="7"/>
  <c r="AN15" i="1"/>
  <c r="AO15" i="1"/>
  <c r="F284" i="7"/>
  <c r="E284" i="7"/>
  <c r="D284" i="7"/>
  <c r="AL15" i="1"/>
  <c r="C284" i="7"/>
  <c r="B284" i="7"/>
  <c r="G283" i="7"/>
  <c r="AN14" i="1"/>
  <c r="AO14" i="1"/>
  <c r="F283" i="7"/>
  <c r="E283" i="7"/>
  <c r="D283" i="7"/>
  <c r="AL14" i="1"/>
  <c r="C283" i="7"/>
  <c r="B283" i="7"/>
  <c r="G282" i="7"/>
  <c r="AN13" i="1"/>
  <c r="AO13" i="1"/>
  <c r="F282" i="7"/>
  <c r="E282" i="7"/>
  <c r="D282" i="7"/>
  <c r="AL13" i="1"/>
  <c r="C282" i="7"/>
  <c r="B282" i="7"/>
  <c r="G281" i="7"/>
  <c r="AN12" i="1"/>
  <c r="AO12" i="1"/>
  <c r="F281" i="7"/>
  <c r="E281" i="7"/>
  <c r="D281" i="7"/>
  <c r="AL12" i="1"/>
  <c r="C281" i="7"/>
  <c r="B281" i="7"/>
  <c r="G280" i="7"/>
  <c r="AN11" i="1"/>
  <c r="AO11" i="1"/>
  <c r="F280" i="7"/>
  <c r="E280" i="7"/>
  <c r="D280" i="7"/>
  <c r="AL11" i="1"/>
  <c r="C280" i="7"/>
  <c r="B280" i="7"/>
  <c r="G279" i="7"/>
  <c r="AN10" i="1"/>
  <c r="AO10" i="1"/>
  <c r="F279" i="7"/>
  <c r="E279" i="7"/>
  <c r="D279" i="7"/>
  <c r="AL10" i="1"/>
  <c r="C279" i="7"/>
  <c r="B279" i="7"/>
  <c r="G278" i="7"/>
  <c r="AN9" i="1"/>
  <c r="AO9" i="1"/>
  <c r="F278" i="7"/>
  <c r="E278" i="7"/>
  <c r="D278" i="7"/>
  <c r="AL9" i="1"/>
  <c r="C278" i="7"/>
  <c r="B278" i="7"/>
  <c r="G277" i="7"/>
  <c r="AN8" i="1"/>
  <c r="AO8" i="1"/>
  <c r="F277" i="7"/>
  <c r="E277" i="7"/>
  <c r="D277" i="7"/>
  <c r="AL8" i="1"/>
  <c r="C277" i="7"/>
  <c r="B277" i="7"/>
  <c r="G276" i="7"/>
  <c r="AN7" i="1"/>
  <c r="AO7" i="1"/>
  <c r="F276" i="7"/>
  <c r="E276" i="7"/>
  <c r="D276" i="7"/>
  <c r="AL7" i="1"/>
  <c r="C276" i="7"/>
  <c r="B276" i="7"/>
  <c r="G275" i="7"/>
  <c r="AN6" i="1"/>
  <c r="AO6" i="1"/>
  <c r="F275" i="7"/>
  <c r="E275" i="7"/>
  <c r="D275" i="7"/>
  <c r="AL6" i="1"/>
  <c r="C275" i="7"/>
  <c r="B275" i="7"/>
  <c r="G274" i="7"/>
  <c r="AN5" i="1"/>
  <c r="AO5" i="1"/>
  <c r="F274" i="7"/>
  <c r="E274" i="7"/>
  <c r="D274" i="7"/>
  <c r="AL5" i="1"/>
  <c r="C274" i="7"/>
  <c r="B274" i="7"/>
  <c r="G273" i="7"/>
  <c r="AN4" i="1"/>
  <c r="AO4" i="1"/>
  <c r="F273" i="7"/>
  <c r="E273" i="7"/>
  <c r="D273" i="7"/>
  <c r="AL4" i="1"/>
  <c r="C273" i="7"/>
  <c r="B273" i="7"/>
  <c r="G272" i="7"/>
  <c r="AN3" i="1"/>
  <c r="AO3" i="1"/>
  <c r="F272" i="7"/>
  <c r="E272" i="7"/>
  <c r="D272" i="7"/>
  <c r="AL3" i="1"/>
  <c r="C272" i="7"/>
  <c r="B272" i="7"/>
  <c r="G271" i="7"/>
  <c r="AB102" i="1"/>
  <c r="AC102" i="1"/>
  <c r="F271" i="7"/>
  <c r="E271" i="7"/>
  <c r="D271" i="7"/>
  <c r="Z102" i="1"/>
  <c r="C271" i="7"/>
  <c r="B271" i="7"/>
  <c r="G270" i="7"/>
  <c r="AB101" i="1"/>
  <c r="AC101" i="1"/>
  <c r="F270" i="7"/>
  <c r="E270" i="7"/>
  <c r="D270" i="7"/>
  <c r="Z101" i="1"/>
  <c r="C270" i="7"/>
  <c r="B270" i="7"/>
  <c r="G269" i="7"/>
  <c r="AB100" i="1"/>
  <c r="AC100" i="1"/>
  <c r="F269" i="7"/>
  <c r="E269" i="7"/>
  <c r="D269" i="7"/>
  <c r="Z100" i="1"/>
  <c r="C269" i="7"/>
  <c r="B269" i="7"/>
  <c r="G268" i="7"/>
  <c r="AB99" i="1"/>
  <c r="AC99" i="1"/>
  <c r="F268" i="7"/>
  <c r="E268" i="7"/>
  <c r="D268" i="7"/>
  <c r="Z99" i="1"/>
  <c r="C268" i="7"/>
  <c r="B268" i="7"/>
  <c r="G267" i="7"/>
  <c r="AB98" i="1"/>
  <c r="AC98" i="1"/>
  <c r="F267" i="7"/>
  <c r="E267" i="7"/>
  <c r="D267" i="7"/>
  <c r="Z98" i="1"/>
  <c r="C267" i="7"/>
  <c r="B267" i="7"/>
  <c r="G266" i="7"/>
  <c r="AB97" i="1"/>
  <c r="AC97" i="1"/>
  <c r="F266" i="7"/>
  <c r="E266" i="7"/>
  <c r="D266" i="7"/>
  <c r="Z97" i="1"/>
  <c r="C266" i="7"/>
  <c r="B266" i="7"/>
  <c r="G265" i="7"/>
  <c r="AB96" i="1"/>
  <c r="AC96" i="1"/>
  <c r="F265" i="7"/>
  <c r="E265" i="7"/>
  <c r="D265" i="7"/>
  <c r="Z96" i="1"/>
  <c r="C265" i="7"/>
  <c r="B265" i="7"/>
  <c r="G264" i="7"/>
  <c r="AB95" i="1"/>
  <c r="AC95" i="1"/>
  <c r="F264" i="7"/>
  <c r="E264" i="7"/>
  <c r="D264" i="7"/>
  <c r="Z95" i="1"/>
  <c r="C264" i="7"/>
  <c r="B264" i="7"/>
  <c r="G263" i="7"/>
  <c r="AB94" i="1"/>
  <c r="AC94" i="1"/>
  <c r="F263" i="7"/>
  <c r="E263" i="7"/>
  <c r="D263" i="7"/>
  <c r="Z94" i="1"/>
  <c r="C263" i="7"/>
  <c r="B263" i="7"/>
  <c r="G262" i="7"/>
  <c r="AB93" i="1"/>
  <c r="AC93" i="1"/>
  <c r="F262" i="7"/>
  <c r="E262" i="7"/>
  <c r="D262" i="7"/>
  <c r="Z93" i="1"/>
  <c r="C262" i="7"/>
  <c r="B262" i="7"/>
  <c r="G261" i="7"/>
  <c r="AB92" i="1"/>
  <c r="AC92" i="1"/>
  <c r="F261" i="7"/>
  <c r="E261" i="7"/>
  <c r="D261" i="7"/>
  <c r="Z92" i="1"/>
  <c r="C261" i="7"/>
  <c r="B261" i="7"/>
  <c r="G260" i="7"/>
  <c r="AB91" i="1"/>
  <c r="AC91" i="1"/>
  <c r="F260" i="7"/>
  <c r="E260" i="7"/>
  <c r="D260" i="7"/>
  <c r="Z91" i="1"/>
  <c r="C260" i="7"/>
  <c r="B260" i="7"/>
  <c r="G259" i="7"/>
  <c r="AB90" i="1"/>
  <c r="AC90" i="1"/>
  <c r="F259" i="7"/>
  <c r="E259" i="7"/>
  <c r="D259" i="7"/>
  <c r="Z90" i="1"/>
  <c r="C259" i="7"/>
  <c r="B259" i="7"/>
  <c r="G258" i="7"/>
  <c r="AB89" i="1"/>
  <c r="AC89" i="1"/>
  <c r="F258" i="7"/>
  <c r="E258" i="7"/>
  <c r="D258" i="7"/>
  <c r="Z89" i="1"/>
  <c r="C258" i="7"/>
  <c r="B258" i="7"/>
  <c r="G257" i="7"/>
  <c r="AB88" i="1"/>
  <c r="AC88" i="1"/>
  <c r="F257" i="7"/>
  <c r="E257" i="7"/>
  <c r="D257" i="7"/>
  <c r="Z88" i="1"/>
  <c r="C257" i="7"/>
  <c r="B257" i="7"/>
  <c r="G256" i="7"/>
  <c r="AB87" i="1"/>
  <c r="AC87" i="1"/>
  <c r="F256" i="7"/>
  <c r="E256" i="7"/>
  <c r="D256" i="7"/>
  <c r="Z87" i="1"/>
  <c r="C256" i="7"/>
  <c r="B256" i="7"/>
  <c r="G255" i="7"/>
  <c r="AB86" i="1"/>
  <c r="AC86" i="1"/>
  <c r="F255" i="7"/>
  <c r="E255" i="7"/>
  <c r="D255" i="7"/>
  <c r="Z86" i="1"/>
  <c r="C255" i="7"/>
  <c r="B255" i="7"/>
  <c r="G254" i="7"/>
  <c r="AB85" i="1"/>
  <c r="AC85" i="1"/>
  <c r="F254" i="7"/>
  <c r="E254" i="7"/>
  <c r="D254" i="7"/>
  <c r="Z85" i="1"/>
  <c r="C254" i="7"/>
  <c r="B254" i="7"/>
  <c r="G253" i="7"/>
  <c r="AB84" i="1"/>
  <c r="AC84" i="1"/>
  <c r="F253" i="7"/>
  <c r="E253" i="7"/>
  <c r="D253" i="7"/>
  <c r="Z84" i="1"/>
  <c r="C253" i="7"/>
  <c r="B253" i="7"/>
  <c r="G252" i="7"/>
  <c r="AB83" i="1"/>
  <c r="AC83" i="1"/>
  <c r="F252" i="7"/>
  <c r="E252" i="7"/>
  <c r="D252" i="7"/>
  <c r="Z83" i="1"/>
  <c r="C252" i="7"/>
  <c r="B252" i="7"/>
  <c r="G251" i="7"/>
  <c r="AB82" i="1"/>
  <c r="AC82" i="1"/>
  <c r="F251" i="7"/>
  <c r="E251" i="7"/>
  <c r="D251" i="7"/>
  <c r="Z82" i="1"/>
  <c r="C251" i="7"/>
  <c r="B251" i="7"/>
  <c r="G250" i="7"/>
  <c r="AB81" i="1"/>
  <c r="AC81" i="1"/>
  <c r="F250" i="7"/>
  <c r="E250" i="7"/>
  <c r="D250" i="7"/>
  <c r="Z81" i="1"/>
  <c r="C250" i="7"/>
  <c r="B250" i="7"/>
  <c r="G249" i="7"/>
  <c r="AB80" i="1"/>
  <c r="AC80" i="1"/>
  <c r="F249" i="7"/>
  <c r="E249" i="7"/>
  <c r="D249" i="7"/>
  <c r="Z80" i="1"/>
  <c r="C249" i="7"/>
  <c r="B249" i="7"/>
  <c r="G248" i="7"/>
  <c r="AB79" i="1"/>
  <c r="AC79" i="1"/>
  <c r="F248" i="7"/>
  <c r="E248" i="7"/>
  <c r="D248" i="7"/>
  <c r="Z79" i="1"/>
  <c r="C248" i="7"/>
  <c r="B248" i="7"/>
  <c r="G247" i="7"/>
  <c r="AB78" i="1"/>
  <c r="AC78" i="1"/>
  <c r="F247" i="7"/>
  <c r="E247" i="7"/>
  <c r="D247" i="7"/>
  <c r="Z78" i="1"/>
  <c r="C247" i="7"/>
  <c r="B247" i="7"/>
  <c r="G246" i="7"/>
  <c r="AB77" i="1"/>
  <c r="AC77" i="1"/>
  <c r="F246" i="7"/>
  <c r="E246" i="7"/>
  <c r="D246" i="7"/>
  <c r="Z77" i="1"/>
  <c r="C246" i="7"/>
  <c r="B246" i="7"/>
  <c r="G245" i="7"/>
  <c r="AB76" i="1"/>
  <c r="AC76" i="1"/>
  <c r="F245" i="7"/>
  <c r="E245" i="7"/>
  <c r="D245" i="7"/>
  <c r="Z76" i="1"/>
  <c r="C245" i="7"/>
  <c r="B245" i="7"/>
  <c r="G244" i="7"/>
  <c r="AB75" i="1"/>
  <c r="AC75" i="1"/>
  <c r="F244" i="7"/>
  <c r="E244" i="7"/>
  <c r="D244" i="7"/>
  <c r="Z75" i="1"/>
  <c r="C244" i="7"/>
  <c r="B244" i="7"/>
  <c r="G243" i="7"/>
  <c r="AB74" i="1"/>
  <c r="AC74" i="1"/>
  <c r="F243" i="7"/>
  <c r="E243" i="7"/>
  <c r="D243" i="7"/>
  <c r="Z74" i="1"/>
  <c r="C243" i="7"/>
  <c r="B243" i="7"/>
  <c r="G242" i="7"/>
  <c r="AB73" i="1"/>
  <c r="AC73" i="1"/>
  <c r="F242" i="7"/>
  <c r="E242" i="7"/>
  <c r="D242" i="7"/>
  <c r="Z73" i="1"/>
  <c r="C242" i="7"/>
  <c r="B242" i="7"/>
  <c r="G241" i="7"/>
  <c r="AB72" i="1"/>
  <c r="AC72" i="1"/>
  <c r="F241" i="7"/>
  <c r="E241" i="7"/>
  <c r="D241" i="7"/>
  <c r="Z72" i="1"/>
  <c r="C241" i="7"/>
  <c r="B241" i="7"/>
  <c r="G240" i="7"/>
  <c r="AB71" i="1"/>
  <c r="AC71" i="1"/>
  <c r="F240" i="7"/>
  <c r="E240" i="7"/>
  <c r="D240" i="7"/>
  <c r="Z71" i="1"/>
  <c r="C240" i="7"/>
  <c r="B240" i="7"/>
  <c r="G239" i="7"/>
  <c r="AB70" i="1"/>
  <c r="AC70" i="1"/>
  <c r="F239" i="7"/>
  <c r="E239" i="7"/>
  <c r="D239" i="7"/>
  <c r="Z70" i="1"/>
  <c r="C239" i="7"/>
  <c r="B239" i="7"/>
  <c r="G238" i="7"/>
  <c r="AB69" i="1"/>
  <c r="AC69" i="1"/>
  <c r="F238" i="7"/>
  <c r="E238" i="7"/>
  <c r="D238" i="7"/>
  <c r="Z69" i="1"/>
  <c r="C238" i="7"/>
  <c r="B238" i="7"/>
  <c r="G237" i="7"/>
  <c r="AB68" i="1"/>
  <c r="AC68" i="1"/>
  <c r="F237" i="7"/>
  <c r="E237" i="7"/>
  <c r="D237" i="7"/>
  <c r="Z68" i="1"/>
  <c r="C237" i="7"/>
  <c r="B237" i="7"/>
  <c r="G236" i="7"/>
  <c r="AB67" i="1"/>
  <c r="AC67" i="1"/>
  <c r="F236" i="7"/>
  <c r="E236" i="7"/>
  <c r="D236" i="7"/>
  <c r="Z67" i="1"/>
  <c r="C236" i="7"/>
  <c r="B236" i="7"/>
  <c r="G235" i="7"/>
  <c r="AB66" i="1"/>
  <c r="AC66" i="1"/>
  <c r="F235" i="7"/>
  <c r="E235" i="7"/>
  <c r="D235" i="7"/>
  <c r="Z66" i="1"/>
  <c r="C235" i="7"/>
  <c r="B235" i="7"/>
  <c r="G234" i="7"/>
  <c r="AB65" i="1"/>
  <c r="AC65" i="1"/>
  <c r="F234" i="7"/>
  <c r="E234" i="7"/>
  <c r="D234" i="7"/>
  <c r="Z65" i="1"/>
  <c r="C234" i="7"/>
  <c r="B234" i="7"/>
  <c r="G233" i="7"/>
  <c r="AB64" i="1"/>
  <c r="AC64" i="1"/>
  <c r="F233" i="7"/>
  <c r="E233" i="7"/>
  <c r="D233" i="7"/>
  <c r="Z64" i="1"/>
  <c r="C233" i="7"/>
  <c r="B233" i="7"/>
  <c r="G232" i="7"/>
  <c r="AB63" i="1"/>
  <c r="AC63" i="1"/>
  <c r="F232" i="7"/>
  <c r="E232" i="7"/>
  <c r="D232" i="7"/>
  <c r="Z63" i="1"/>
  <c r="C232" i="7"/>
  <c r="B232" i="7"/>
  <c r="G231" i="7"/>
  <c r="AB62" i="1"/>
  <c r="AC62" i="1"/>
  <c r="F231" i="7"/>
  <c r="E231" i="7"/>
  <c r="D231" i="7"/>
  <c r="Z62" i="1"/>
  <c r="C231" i="7"/>
  <c r="B231" i="7"/>
  <c r="G230" i="7"/>
  <c r="AB61" i="1"/>
  <c r="AC61" i="1"/>
  <c r="F230" i="7"/>
  <c r="E230" i="7"/>
  <c r="D230" i="7"/>
  <c r="Z61" i="1"/>
  <c r="C230" i="7"/>
  <c r="B230" i="7"/>
  <c r="G229" i="7"/>
  <c r="AB60" i="1"/>
  <c r="AC60" i="1"/>
  <c r="F229" i="7"/>
  <c r="E229" i="7"/>
  <c r="D229" i="7"/>
  <c r="Z60" i="1"/>
  <c r="C229" i="7"/>
  <c r="B229" i="7"/>
  <c r="G228" i="7"/>
  <c r="AB59" i="1"/>
  <c r="AC59" i="1"/>
  <c r="F228" i="7"/>
  <c r="E228" i="7"/>
  <c r="D228" i="7"/>
  <c r="Z59" i="1"/>
  <c r="C228" i="7"/>
  <c r="B228" i="7"/>
  <c r="G227" i="7"/>
  <c r="AB58" i="1"/>
  <c r="AC58" i="1"/>
  <c r="F227" i="7"/>
  <c r="E227" i="7"/>
  <c r="D227" i="7"/>
  <c r="Z58" i="1"/>
  <c r="C227" i="7"/>
  <c r="B227" i="7"/>
  <c r="G226" i="7"/>
  <c r="AB57" i="1"/>
  <c r="AC57" i="1"/>
  <c r="F226" i="7"/>
  <c r="E226" i="7"/>
  <c r="D226" i="7"/>
  <c r="Z57" i="1"/>
  <c r="C226" i="7"/>
  <c r="B226" i="7"/>
  <c r="G225" i="7"/>
  <c r="AB56" i="1"/>
  <c r="AC56" i="1"/>
  <c r="F225" i="7"/>
  <c r="E225" i="7"/>
  <c r="D225" i="7"/>
  <c r="Z56" i="1"/>
  <c r="C225" i="7"/>
  <c r="B225" i="7"/>
  <c r="G224" i="7"/>
  <c r="AB55" i="1"/>
  <c r="AC55" i="1"/>
  <c r="F224" i="7"/>
  <c r="E224" i="7"/>
  <c r="D224" i="7"/>
  <c r="Z55" i="1"/>
  <c r="C224" i="7"/>
  <c r="B224" i="7"/>
  <c r="G223" i="7"/>
  <c r="AB54" i="1"/>
  <c r="AC54" i="1"/>
  <c r="F223" i="7"/>
  <c r="E223" i="7"/>
  <c r="D223" i="7"/>
  <c r="Z54" i="1"/>
  <c r="C223" i="7"/>
  <c r="B223" i="7"/>
  <c r="G222" i="7"/>
  <c r="AB53" i="1"/>
  <c r="AC53" i="1"/>
  <c r="F222" i="7"/>
  <c r="E222" i="7"/>
  <c r="D222" i="7"/>
  <c r="Z53" i="1"/>
  <c r="C222" i="7"/>
  <c r="B222" i="7"/>
  <c r="G221" i="7"/>
  <c r="AB52" i="1"/>
  <c r="AC52" i="1"/>
  <c r="F221" i="7"/>
  <c r="E221" i="7"/>
  <c r="D221" i="7"/>
  <c r="Z52" i="1"/>
  <c r="C221" i="7"/>
  <c r="B221" i="7"/>
  <c r="G220" i="7"/>
  <c r="AB51" i="1"/>
  <c r="AC51" i="1"/>
  <c r="F220" i="7"/>
  <c r="E220" i="7"/>
  <c r="D220" i="7"/>
  <c r="Z51" i="1"/>
  <c r="C220" i="7"/>
  <c r="B220" i="7"/>
  <c r="G219" i="7"/>
  <c r="AB50" i="1"/>
  <c r="AC50" i="1"/>
  <c r="F219" i="7"/>
  <c r="E219" i="7"/>
  <c r="D219" i="7"/>
  <c r="Z50" i="1"/>
  <c r="C219" i="7"/>
  <c r="B219" i="7"/>
  <c r="G218" i="7"/>
  <c r="AB49" i="1"/>
  <c r="AC49" i="1"/>
  <c r="F218" i="7"/>
  <c r="E218" i="7"/>
  <c r="D218" i="7"/>
  <c r="Z49" i="1"/>
  <c r="C218" i="7"/>
  <c r="B218" i="7"/>
  <c r="G217" i="7"/>
  <c r="AB48" i="1"/>
  <c r="AC48" i="1"/>
  <c r="F217" i="7"/>
  <c r="E217" i="7"/>
  <c r="D217" i="7"/>
  <c r="Z48" i="1"/>
  <c r="C217" i="7"/>
  <c r="B217" i="7"/>
  <c r="G216" i="7"/>
  <c r="AB47" i="1"/>
  <c r="AC47" i="1"/>
  <c r="F216" i="7"/>
  <c r="E216" i="7"/>
  <c r="D216" i="7"/>
  <c r="Z47" i="1"/>
  <c r="C216" i="7"/>
  <c r="B216" i="7"/>
  <c r="G215" i="7"/>
  <c r="AB46" i="1"/>
  <c r="AC46" i="1"/>
  <c r="F215" i="7"/>
  <c r="E215" i="7"/>
  <c r="D215" i="7"/>
  <c r="Z46" i="1"/>
  <c r="C215" i="7"/>
  <c r="B215" i="7"/>
  <c r="G214" i="7"/>
  <c r="AB45" i="1"/>
  <c r="AC45" i="1"/>
  <c r="F214" i="7"/>
  <c r="E214" i="7"/>
  <c r="D214" i="7"/>
  <c r="Z45" i="1"/>
  <c r="C214" i="7"/>
  <c r="B214" i="7"/>
  <c r="G213" i="7"/>
  <c r="AB44" i="1"/>
  <c r="AC44" i="1"/>
  <c r="F213" i="7"/>
  <c r="E213" i="7"/>
  <c r="D213" i="7"/>
  <c r="Z44" i="1"/>
  <c r="C213" i="7"/>
  <c r="B213" i="7"/>
  <c r="G212" i="7"/>
  <c r="AB43" i="1"/>
  <c r="AC43" i="1"/>
  <c r="F212" i="7"/>
  <c r="E212" i="7"/>
  <c r="D212" i="7"/>
  <c r="Z43" i="1"/>
  <c r="C212" i="7"/>
  <c r="B212" i="7"/>
  <c r="G211" i="7"/>
  <c r="AB42" i="1"/>
  <c r="AC42" i="1"/>
  <c r="F211" i="7"/>
  <c r="E211" i="7"/>
  <c r="D211" i="7"/>
  <c r="Z42" i="1"/>
  <c r="C211" i="7"/>
  <c r="B211" i="7"/>
  <c r="G210" i="7"/>
  <c r="AB41" i="1"/>
  <c r="AC41" i="1"/>
  <c r="F210" i="7"/>
  <c r="E210" i="7"/>
  <c r="D210" i="7"/>
  <c r="Z41" i="1"/>
  <c r="C210" i="7"/>
  <c r="B210" i="7"/>
  <c r="G209" i="7"/>
  <c r="AB40" i="1"/>
  <c r="AC40" i="1"/>
  <c r="F209" i="7"/>
  <c r="E209" i="7"/>
  <c r="D209" i="7"/>
  <c r="Z40" i="1"/>
  <c r="C209" i="7"/>
  <c r="B209" i="7"/>
  <c r="G208" i="7"/>
  <c r="AB39" i="1"/>
  <c r="AC39" i="1"/>
  <c r="F208" i="7"/>
  <c r="E208" i="7"/>
  <c r="D208" i="7"/>
  <c r="Z39" i="1"/>
  <c r="C208" i="7"/>
  <c r="B208" i="7"/>
  <c r="G207" i="7"/>
  <c r="AB38" i="1"/>
  <c r="AC38" i="1"/>
  <c r="F207" i="7"/>
  <c r="E207" i="7"/>
  <c r="D207" i="7"/>
  <c r="Z38" i="1"/>
  <c r="C207" i="7"/>
  <c r="B207" i="7"/>
  <c r="G206" i="7"/>
  <c r="AB37" i="1"/>
  <c r="AC37" i="1"/>
  <c r="F206" i="7"/>
  <c r="E206" i="7"/>
  <c r="D206" i="7"/>
  <c r="Z37" i="1"/>
  <c r="C206" i="7"/>
  <c r="B206" i="7"/>
  <c r="G205" i="7"/>
  <c r="AB36" i="1"/>
  <c r="AC36" i="1"/>
  <c r="F205" i="7"/>
  <c r="E205" i="7"/>
  <c r="D205" i="7"/>
  <c r="Z36" i="1"/>
  <c r="C205" i="7"/>
  <c r="B205" i="7"/>
  <c r="G204" i="7"/>
  <c r="AB35" i="1"/>
  <c r="AC35" i="1"/>
  <c r="F204" i="7"/>
  <c r="E204" i="7"/>
  <c r="D204" i="7"/>
  <c r="Z35" i="1"/>
  <c r="C204" i="7"/>
  <c r="B204" i="7"/>
  <c r="G203" i="7"/>
  <c r="AB34" i="1"/>
  <c r="AC34" i="1"/>
  <c r="F203" i="7"/>
  <c r="E203" i="7"/>
  <c r="D203" i="7"/>
  <c r="Z34" i="1"/>
  <c r="C203" i="7"/>
  <c r="B203" i="7"/>
  <c r="G202" i="7"/>
  <c r="AB33" i="1"/>
  <c r="AC33" i="1"/>
  <c r="F202" i="7"/>
  <c r="E202" i="7"/>
  <c r="D202" i="7"/>
  <c r="Z33" i="1"/>
  <c r="C202" i="7"/>
  <c r="B202" i="7"/>
  <c r="G201" i="7"/>
  <c r="AB32" i="1"/>
  <c r="AC32" i="1"/>
  <c r="F201" i="7"/>
  <c r="E201" i="7"/>
  <c r="D201" i="7"/>
  <c r="Z32" i="1"/>
  <c r="C201" i="7"/>
  <c r="B201" i="7"/>
  <c r="G200" i="7"/>
  <c r="AB31" i="1"/>
  <c r="AC31" i="1"/>
  <c r="F200" i="7"/>
  <c r="E200" i="7"/>
  <c r="D200" i="7"/>
  <c r="Z31" i="1"/>
  <c r="C200" i="7"/>
  <c r="B200" i="7"/>
  <c r="G199" i="7"/>
  <c r="AB30" i="1"/>
  <c r="AC30" i="1"/>
  <c r="F199" i="7"/>
  <c r="E199" i="7"/>
  <c r="D199" i="7"/>
  <c r="Z30" i="1"/>
  <c r="C199" i="7"/>
  <c r="B199" i="7"/>
  <c r="G198" i="7"/>
  <c r="AB29" i="1"/>
  <c r="AC29" i="1"/>
  <c r="F198" i="7"/>
  <c r="E198" i="7"/>
  <c r="D198" i="7"/>
  <c r="Z29" i="1"/>
  <c r="C198" i="7"/>
  <c r="B198" i="7"/>
  <c r="G197" i="7"/>
  <c r="AB28" i="1"/>
  <c r="AC28" i="1"/>
  <c r="F197" i="7"/>
  <c r="E197" i="7"/>
  <c r="D197" i="7"/>
  <c r="Z28" i="1"/>
  <c r="C197" i="7"/>
  <c r="B197" i="7"/>
  <c r="G196" i="7"/>
  <c r="AB27" i="1"/>
  <c r="AC27" i="1"/>
  <c r="F196" i="7"/>
  <c r="E196" i="7"/>
  <c r="D196" i="7"/>
  <c r="Z27" i="1"/>
  <c r="C196" i="7"/>
  <c r="B196" i="7"/>
  <c r="G195" i="7"/>
  <c r="AB26" i="1"/>
  <c r="AC26" i="1"/>
  <c r="F195" i="7"/>
  <c r="E195" i="7"/>
  <c r="D195" i="7"/>
  <c r="Z26" i="1"/>
  <c r="C195" i="7"/>
  <c r="B195" i="7"/>
  <c r="G194" i="7"/>
  <c r="AB25" i="1"/>
  <c r="AC25" i="1"/>
  <c r="F194" i="7"/>
  <c r="E194" i="7"/>
  <c r="D194" i="7"/>
  <c r="Z25" i="1"/>
  <c r="C194" i="7"/>
  <c r="B194" i="7"/>
  <c r="G193" i="7"/>
  <c r="AB24" i="1"/>
  <c r="AC24" i="1"/>
  <c r="F193" i="7"/>
  <c r="E193" i="7"/>
  <c r="D193" i="7"/>
  <c r="Z24" i="1"/>
  <c r="C193" i="7"/>
  <c r="B193" i="7"/>
  <c r="G192" i="7"/>
  <c r="AB23" i="1"/>
  <c r="AC23" i="1"/>
  <c r="F192" i="7"/>
  <c r="E192" i="7"/>
  <c r="D192" i="7"/>
  <c r="Z23" i="1"/>
  <c r="C192" i="7"/>
  <c r="B192" i="7"/>
  <c r="G191" i="7"/>
  <c r="AB22" i="1"/>
  <c r="AC22" i="1"/>
  <c r="F191" i="7"/>
  <c r="E191" i="7"/>
  <c r="D191" i="7"/>
  <c r="Z22" i="1"/>
  <c r="C191" i="7"/>
  <c r="B191" i="7"/>
  <c r="G190" i="7"/>
  <c r="AB21" i="1"/>
  <c r="AC21" i="1"/>
  <c r="F190" i="7"/>
  <c r="E190" i="7"/>
  <c r="D190" i="7"/>
  <c r="Z21" i="1"/>
  <c r="C190" i="7"/>
  <c r="B190" i="7"/>
  <c r="G189" i="7"/>
  <c r="AB20" i="1"/>
  <c r="AC20" i="1"/>
  <c r="F189" i="7"/>
  <c r="E189" i="7"/>
  <c r="D189" i="7"/>
  <c r="Z20" i="1"/>
  <c r="C189" i="7"/>
  <c r="B189" i="7"/>
  <c r="G188" i="7"/>
  <c r="AB19" i="1"/>
  <c r="AC19" i="1"/>
  <c r="F188" i="7"/>
  <c r="E188" i="7"/>
  <c r="D188" i="7"/>
  <c r="Z19" i="1"/>
  <c r="C188" i="7"/>
  <c r="B188" i="7"/>
  <c r="G187" i="7"/>
  <c r="AB18" i="1"/>
  <c r="AC18" i="1"/>
  <c r="F187" i="7"/>
  <c r="E187" i="7"/>
  <c r="D187" i="7"/>
  <c r="Z18" i="1"/>
  <c r="C187" i="7"/>
  <c r="B187" i="7"/>
  <c r="G186" i="7"/>
  <c r="AB17" i="1"/>
  <c r="AC17" i="1"/>
  <c r="F186" i="7"/>
  <c r="E186" i="7"/>
  <c r="D186" i="7"/>
  <c r="Z17" i="1"/>
  <c r="C186" i="7"/>
  <c r="B186" i="7"/>
  <c r="G185" i="7"/>
  <c r="AB16" i="1"/>
  <c r="AC16" i="1"/>
  <c r="F185" i="7"/>
  <c r="E185" i="7"/>
  <c r="D185" i="7"/>
  <c r="Z16" i="1"/>
  <c r="C185" i="7"/>
  <c r="B185" i="7"/>
  <c r="G184" i="7"/>
  <c r="AB15" i="1"/>
  <c r="AC15" i="1"/>
  <c r="F184" i="7"/>
  <c r="E184" i="7"/>
  <c r="D184" i="7"/>
  <c r="Z15" i="1"/>
  <c r="C184" i="7"/>
  <c r="B184" i="7"/>
  <c r="G183" i="7"/>
  <c r="AB14" i="1"/>
  <c r="AC14" i="1"/>
  <c r="F183" i="7"/>
  <c r="E183" i="7"/>
  <c r="D183" i="7"/>
  <c r="Z14" i="1"/>
  <c r="C183" i="7"/>
  <c r="B183" i="7"/>
  <c r="G182" i="7"/>
  <c r="AB13" i="1"/>
  <c r="AC13" i="1"/>
  <c r="F182" i="7"/>
  <c r="E182" i="7"/>
  <c r="D182" i="7"/>
  <c r="Z13" i="1"/>
  <c r="C182" i="7"/>
  <c r="B182" i="7"/>
  <c r="G181" i="7"/>
  <c r="AB12" i="1"/>
  <c r="AC12" i="1"/>
  <c r="F181" i="7"/>
  <c r="E181" i="7"/>
  <c r="D181" i="7"/>
  <c r="Z12" i="1"/>
  <c r="C181" i="7"/>
  <c r="B181" i="7"/>
  <c r="G180" i="7"/>
  <c r="AB11" i="1"/>
  <c r="AC11" i="1"/>
  <c r="F180" i="7"/>
  <c r="E180" i="7"/>
  <c r="D180" i="7"/>
  <c r="Z11" i="1"/>
  <c r="C180" i="7"/>
  <c r="B180" i="7"/>
  <c r="G179" i="7"/>
  <c r="AB10" i="1"/>
  <c r="AC10" i="1"/>
  <c r="F179" i="7"/>
  <c r="E179" i="7"/>
  <c r="D179" i="7"/>
  <c r="Z10" i="1"/>
  <c r="C179" i="7"/>
  <c r="B179" i="7"/>
  <c r="G178" i="7"/>
  <c r="AB9" i="1"/>
  <c r="AC9" i="1"/>
  <c r="F178" i="7"/>
  <c r="E178" i="7"/>
  <c r="D178" i="7"/>
  <c r="Z9" i="1"/>
  <c r="C178" i="7"/>
  <c r="B178" i="7"/>
  <c r="G177" i="7"/>
  <c r="AB8" i="1"/>
  <c r="AC8" i="1"/>
  <c r="F177" i="7"/>
  <c r="E177" i="7"/>
  <c r="D177" i="7"/>
  <c r="Z8" i="1"/>
  <c r="C177" i="7"/>
  <c r="B177" i="7"/>
  <c r="G176" i="7"/>
  <c r="AB7" i="1"/>
  <c r="AC7" i="1"/>
  <c r="F176" i="7"/>
  <c r="E176" i="7"/>
  <c r="D176" i="7"/>
  <c r="Z7" i="1"/>
  <c r="C176" i="7"/>
  <c r="B176" i="7"/>
  <c r="G175" i="7"/>
  <c r="AB6" i="1"/>
  <c r="AC6" i="1"/>
  <c r="F175" i="7"/>
  <c r="E175" i="7"/>
  <c r="D175" i="7"/>
  <c r="Z6" i="1"/>
  <c r="C175" i="7"/>
  <c r="B175" i="7"/>
  <c r="G174" i="7"/>
  <c r="AB5" i="1"/>
  <c r="AC5" i="1"/>
  <c r="F174" i="7"/>
  <c r="E174" i="7"/>
  <c r="D174" i="7"/>
  <c r="Z5" i="1"/>
  <c r="C174" i="7"/>
  <c r="B174" i="7"/>
  <c r="G173" i="7"/>
  <c r="AB4" i="1"/>
  <c r="AC4" i="1"/>
  <c r="F173" i="7"/>
  <c r="E173" i="7"/>
  <c r="D173" i="7"/>
  <c r="Z4" i="1"/>
  <c r="C173" i="7"/>
  <c r="B173" i="7"/>
  <c r="G172" i="7"/>
  <c r="AB3" i="1"/>
  <c r="AC3" i="1"/>
  <c r="F172" i="7"/>
  <c r="E172" i="7"/>
  <c r="D172" i="7"/>
  <c r="Z3" i="1"/>
  <c r="C172" i="7"/>
  <c r="B172" i="7"/>
  <c r="G171" i="7"/>
  <c r="P102" i="1"/>
  <c r="Q102" i="1"/>
  <c r="F171" i="7"/>
  <c r="E171" i="7"/>
  <c r="D171" i="7"/>
  <c r="N102" i="1"/>
  <c r="C171" i="7"/>
  <c r="B171" i="7"/>
  <c r="G170" i="7"/>
  <c r="P101" i="1"/>
  <c r="Q101" i="1"/>
  <c r="F170" i="7"/>
  <c r="E170" i="7"/>
  <c r="D170" i="7"/>
  <c r="N101" i="1"/>
  <c r="C170" i="7"/>
  <c r="B170" i="7"/>
  <c r="G169" i="7"/>
  <c r="P100" i="1"/>
  <c r="Q100" i="1"/>
  <c r="F169" i="7"/>
  <c r="E169" i="7"/>
  <c r="D169" i="7"/>
  <c r="N100" i="1"/>
  <c r="C169" i="7"/>
  <c r="B169" i="7"/>
  <c r="G168" i="7"/>
  <c r="P99" i="1"/>
  <c r="Q99" i="1"/>
  <c r="F168" i="7"/>
  <c r="E168" i="7"/>
  <c r="D168" i="7"/>
  <c r="N99" i="1"/>
  <c r="C168" i="7"/>
  <c r="B168" i="7"/>
  <c r="G167" i="7"/>
  <c r="P98" i="1"/>
  <c r="Q98" i="1"/>
  <c r="F167" i="7"/>
  <c r="E167" i="7"/>
  <c r="D167" i="7"/>
  <c r="N98" i="1"/>
  <c r="C167" i="7"/>
  <c r="B167" i="7"/>
  <c r="G166" i="7"/>
  <c r="P97" i="1"/>
  <c r="Q97" i="1"/>
  <c r="F166" i="7"/>
  <c r="E166" i="7"/>
  <c r="D166" i="7"/>
  <c r="N97" i="1"/>
  <c r="C166" i="7"/>
  <c r="B166" i="7"/>
  <c r="G165" i="7"/>
  <c r="P96" i="1"/>
  <c r="Q96" i="1"/>
  <c r="F165" i="7"/>
  <c r="E165" i="7"/>
  <c r="D165" i="7"/>
  <c r="N96" i="1"/>
  <c r="C165" i="7"/>
  <c r="B165" i="7"/>
  <c r="G164" i="7"/>
  <c r="P95" i="1"/>
  <c r="Q95" i="1"/>
  <c r="F164" i="7"/>
  <c r="E164" i="7"/>
  <c r="D164" i="7"/>
  <c r="N95" i="1"/>
  <c r="C164" i="7"/>
  <c r="B164" i="7"/>
  <c r="G163" i="7"/>
  <c r="P94" i="1"/>
  <c r="Q94" i="1"/>
  <c r="F163" i="7"/>
  <c r="E163" i="7"/>
  <c r="D163" i="7"/>
  <c r="N94" i="1"/>
  <c r="C163" i="7"/>
  <c r="B163" i="7"/>
  <c r="G162" i="7"/>
  <c r="P93" i="1"/>
  <c r="Q93" i="1"/>
  <c r="F162" i="7"/>
  <c r="E162" i="7"/>
  <c r="D162" i="7"/>
  <c r="N93" i="1"/>
  <c r="C162" i="7"/>
  <c r="B162" i="7"/>
  <c r="G161" i="7"/>
  <c r="P92" i="1"/>
  <c r="Q92" i="1"/>
  <c r="F161" i="7"/>
  <c r="E161" i="7"/>
  <c r="D161" i="7"/>
  <c r="N92" i="1"/>
  <c r="C161" i="7"/>
  <c r="B161" i="7"/>
  <c r="G160" i="7"/>
  <c r="P91" i="1"/>
  <c r="Q91" i="1"/>
  <c r="F160" i="7"/>
  <c r="E160" i="7"/>
  <c r="D160" i="7"/>
  <c r="N91" i="1"/>
  <c r="C160" i="7"/>
  <c r="B160" i="7"/>
  <c r="G159" i="7"/>
  <c r="P90" i="1"/>
  <c r="Q90" i="1"/>
  <c r="F159" i="7"/>
  <c r="E159" i="7"/>
  <c r="D159" i="7"/>
  <c r="N90" i="1"/>
  <c r="C159" i="7"/>
  <c r="B159" i="7"/>
  <c r="G158" i="7"/>
  <c r="P89" i="1"/>
  <c r="Q89" i="1"/>
  <c r="F158" i="7"/>
  <c r="E158" i="7"/>
  <c r="D158" i="7"/>
  <c r="N89" i="1"/>
  <c r="C158" i="7"/>
  <c r="B158" i="7"/>
  <c r="G157" i="7"/>
  <c r="P88" i="1"/>
  <c r="Q88" i="1"/>
  <c r="F157" i="7"/>
  <c r="E157" i="7"/>
  <c r="D157" i="7"/>
  <c r="N88" i="1"/>
  <c r="C157" i="7"/>
  <c r="B157" i="7"/>
  <c r="G156" i="7"/>
  <c r="P87" i="1"/>
  <c r="Q87" i="1"/>
  <c r="F156" i="7"/>
  <c r="E156" i="7"/>
  <c r="D156" i="7"/>
  <c r="N87" i="1"/>
  <c r="C156" i="7"/>
  <c r="B156" i="7"/>
  <c r="G155" i="7"/>
  <c r="P86" i="1"/>
  <c r="Q86" i="1"/>
  <c r="F155" i="7"/>
  <c r="E155" i="7"/>
  <c r="D155" i="7"/>
  <c r="N86" i="1"/>
  <c r="C155" i="7"/>
  <c r="B155" i="7"/>
  <c r="G154" i="7"/>
  <c r="P85" i="1"/>
  <c r="Q85" i="1"/>
  <c r="F154" i="7"/>
  <c r="E154" i="7"/>
  <c r="D154" i="7"/>
  <c r="N85" i="1"/>
  <c r="C154" i="7"/>
  <c r="B154" i="7"/>
  <c r="G153" i="7"/>
  <c r="P84" i="1"/>
  <c r="Q84" i="1"/>
  <c r="F153" i="7"/>
  <c r="E153" i="7"/>
  <c r="D153" i="7"/>
  <c r="N84" i="1"/>
  <c r="C153" i="7"/>
  <c r="B153" i="7"/>
  <c r="G152" i="7"/>
  <c r="P83" i="1"/>
  <c r="Q83" i="1"/>
  <c r="F152" i="7"/>
  <c r="E152" i="7"/>
  <c r="D152" i="7"/>
  <c r="N83" i="1"/>
  <c r="C152" i="7"/>
  <c r="B152" i="7"/>
  <c r="G151" i="7"/>
  <c r="P82" i="1"/>
  <c r="Q82" i="1"/>
  <c r="F151" i="7"/>
  <c r="E151" i="7"/>
  <c r="D151" i="7"/>
  <c r="N82" i="1"/>
  <c r="C151" i="7"/>
  <c r="B151" i="7"/>
  <c r="G150" i="7"/>
  <c r="P81" i="1"/>
  <c r="Q81" i="1"/>
  <c r="F150" i="7"/>
  <c r="E150" i="7"/>
  <c r="D150" i="7"/>
  <c r="N81" i="1"/>
  <c r="C150" i="7"/>
  <c r="B150" i="7"/>
  <c r="G149" i="7"/>
  <c r="P80" i="1"/>
  <c r="Q80" i="1"/>
  <c r="F149" i="7"/>
  <c r="E149" i="7"/>
  <c r="D149" i="7"/>
  <c r="N80" i="1"/>
  <c r="C149" i="7"/>
  <c r="B149" i="7"/>
  <c r="G148" i="7"/>
  <c r="P79" i="1"/>
  <c r="Q79" i="1"/>
  <c r="F148" i="7"/>
  <c r="E148" i="7"/>
  <c r="D148" i="7"/>
  <c r="N79" i="1"/>
  <c r="C148" i="7"/>
  <c r="B148" i="7"/>
  <c r="G147" i="7"/>
  <c r="P78" i="1"/>
  <c r="Q78" i="1"/>
  <c r="F147" i="7"/>
  <c r="E147" i="7"/>
  <c r="D147" i="7"/>
  <c r="N78" i="1"/>
  <c r="C147" i="7"/>
  <c r="B147" i="7"/>
  <c r="G146" i="7"/>
  <c r="P77" i="1"/>
  <c r="Q77" i="1"/>
  <c r="F146" i="7"/>
  <c r="E146" i="7"/>
  <c r="D146" i="7"/>
  <c r="N77" i="1"/>
  <c r="C146" i="7"/>
  <c r="B146" i="7"/>
  <c r="G145" i="7"/>
  <c r="P76" i="1"/>
  <c r="Q76" i="1"/>
  <c r="F145" i="7"/>
  <c r="E145" i="7"/>
  <c r="D145" i="7"/>
  <c r="N76" i="1"/>
  <c r="C145" i="7"/>
  <c r="B145" i="7"/>
  <c r="G144" i="7"/>
  <c r="P75" i="1"/>
  <c r="Q75" i="1"/>
  <c r="F144" i="7"/>
  <c r="E144" i="7"/>
  <c r="D144" i="7"/>
  <c r="N75" i="1"/>
  <c r="C144" i="7"/>
  <c r="B144" i="7"/>
  <c r="G143" i="7"/>
  <c r="P74" i="1"/>
  <c r="Q74" i="1"/>
  <c r="F143" i="7"/>
  <c r="E143" i="7"/>
  <c r="D143" i="7"/>
  <c r="N74" i="1"/>
  <c r="C143" i="7"/>
  <c r="B143" i="7"/>
  <c r="G142" i="7"/>
  <c r="P73" i="1"/>
  <c r="Q73" i="1"/>
  <c r="F142" i="7"/>
  <c r="E142" i="7"/>
  <c r="D142" i="7"/>
  <c r="N73" i="1"/>
  <c r="C142" i="7"/>
  <c r="B142" i="7"/>
  <c r="G141" i="7"/>
  <c r="P72" i="1"/>
  <c r="Q72" i="1"/>
  <c r="F141" i="7"/>
  <c r="E141" i="7"/>
  <c r="D141" i="7"/>
  <c r="N72" i="1"/>
  <c r="C141" i="7"/>
  <c r="B141" i="7"/>
  <c r="G140" i="7"/>
  <c r="P71" i="1"/>
  <c r="Q71" i="1"/>
  <c r="F140" i="7"/>
  <c r="E140" i="7"/>
  <c r="D140" i="7"/>
  <c r="N71" i="1"/>
  <c r="C140" i="7"/>
  <c r="B140" i="7"/>
  <c r="G139" i="7"/>
  <c r="P70" i="1"/>
  <c r="Q70" i="1"/>
  <c r="F139" i="7"/>
  <c r="E139" i="7"/>
  <c r="D139" i="7"/>
  <c r="N70" i="1"/>
  <c r="C139" i="7"/>
  <c r="B139" i="7"/>
  <c r="G138" i="7"/>
  <c r="P69" i="1"/>
  <c r="Q69" i="1"/>
  <c r="F138" i="7"/>
  <c r="E138" i="7"/>
  <c r="D138" i="7"/>
  <c r="N69" i="1"/>
  <c r="C138" i="7"/>
  <c r="B138" i="7"/>
  <c r="G137" i="7"/>
  <c r="P68" i="1"/>
  <c r="Q68" i="1"/>
  <c r="F137" i="7"/>
  <c r="E137" i="7"/>
  <c r="D137" i="7"/>
  <c r="N68" i="1"/>
  <c r="C137" i="7"/>
  <c r="B137" i="7"/>
  <c r="G136" i="7"/>
  <c r="P67" i="1"/>
  <c r="Q67" i="1"/>
  <c r="F136" i="7"/>
  <c r="E136" i="7"/>
  <c r="D136" i="7"/>
  <c r="N67" i="1"/>
  <c r="C136" i="7"/>
  <c r="B136" i="7"/>
  <c r="G135" i="7"/>
  <c r="P66" i="1"/>
  <c r="Q66" i="1"/>
  <c r="F135" i="7"/>
  <c r="E135" i="7"/>
  <c r="D135" i="7"/>
  <c r="N66" i="1"/>
  <c r="C135" i="7"/>
  <c r="B135" i="7"/>
  <c r="G134" i="7"/>
  <c r="P65" i="1"/>
  <c r="Q65" i="1"/>
  <c r="F134" i="7"/>
  <c r="E134" i="7"/>
  <c r="D134" i="7"/>
  <c r="N65" i="1"/>
  <c r="C134" i="7"/>
  <c r="B134" i="7"/>
  <c r="G133" i="7"/>
  <c r="P64" i="1"/>
  <c r="Q64" i="1"/>
  <c r="F133" i="7"/>
  <c r="E133" i="7"/>
  <c r="D133" i="7"/>
  <c r="N64" i="1"/>
  <c r="C133" i="7"/>
  <c r="B133" i="7"/>
  <c r="G132" i="7"/>
  <c r="P63" i="1"/>
  <c r="Q63" i="1"/>
  <c r="F132" i="7"/>
  <c r="E132" i="7"/>
  <c r="D132" i="7"/>
  <c r="N63" i="1"/>
  <c r="C132" i="7"/>
  <c r="B132" i="7"/>
  <c r="G131" i="7"/>
  <c r="P62" i="1"/>
  <c r="Q62" i="1"/>
  <c r="F131" i="7"/>
  <c r="E131" i="7"/>
  <c r="D131" i="7"/>
  <c r="N62" i="1"/>
  <c r="C131" i="7"/>
  <c r="B131" i="7"/>
  <c r="G130" i="7"/>
  <c r="P61" i="1"/>
  <c r="Q61" i="1"/>
  <c r="F130" i="7"/>
  <c r="E130" i="7"/>
  <c r="D130" i="7"/>
  <c r="N61" i="1"/>
  <c r="C130" i="7"/>
  <c r="B130" i="7"/>
  <c r="G129" i="7"/>
  <c r="P60" i="1"/>
  <c r="Q60" i="1"/>
  <c r="F129" i="7"/>
  <c r="E129" i="7"/>
  <c r="D129" i="7"/>
  <c r="N60" i="1"/>
  <c r="C129" i="7"/>
  <c r="B129" i="7"/>
  <c r="G128" i="7"/>
  <c r="P59" i="1"/>
  <c r="Q59" i="1"/>
  <c r="F128" i="7"/>
  <c r="E128" i="7"/>
  <c r="D128" i="7"/>
  <c r="N59" i="1"/>
  <c r="C128" i="7"/>
  <c r="B128" i="7"/>
  <c r="G127" i="7"/>
  <c r="P58" i="1"/>
  <c r="Q58" i="1"/>
  <c r="F127" i="7"/>
  <c r="E127" i="7"/>
  <c r="D127" i="7"/>
  <c r="N58" i="1"/>
  <c r="C127" i="7"/>
  <c r="B127" i="7"/>
  <c r="G126" i="7"/>
  <c r="P57" i="1"/>
  <c r="Q57" i="1"/>
  <c r="F126" i="7"/>
  <c r="E126" i="7"/>
  <c r="D126" i="7"/>
  <c r="N57" i="1"/>
  <c r="C126" i="7"/>
  <c r="B126" i="7"/>
  <c r="G125" i="7"/>
  <c r="P56" i="1"/>
  <c r="Q56" i="1"/>
  <c r="F125" i="7"/>
  <c r="E125" i="7"/>
  <c r="D125" i="7"/>
  <c r="N56" i="1"/>
  <c r="C125" i="7"/>
  <c r="B125" i="7"/>
  <c r="G124" i="7"/>
  <c r="P55" i="1"/>
  <c r="Q55" i="1"/>
  <c r="F124" i="7"/>
  <c r="E124" i="7"/>
  <c r="D124" i="7"/>
  <c r="N55" i="1"/>
  <c r="C124" i="7"/>
  <c r="B124" i="7"/>
  <c r="G123" i="7"/>
  <c r="P54" i="1"/>
  <c r="Q54" i="1"/>
  <c r="F123" i="7"/>
  <c r="E123" i="7"/>
  <c r="D123" i="7"/>
  <c r="N54" i="1"/>
  <c r="C123" i="7"/>
  <c r="B123" i="7"/>
  <c r="G122" i="7"/>
  <c r="P53" i="1"/>
  <c r="Q53" i="1"/>
  <c r="F122" i="7"/>
  <c r="E122" i="7"/>
  <c r="D122" i="7"/>
  <c r="N53" i="1"/>
  <c r="C122" i="7"/>
  <c r="B122" i="7"/>
  <c r="G121" i="7"/>
  <c r="P52" i="1"/>
  <c r="Q52" i="1"/>
  <c r="F121" i="7"/>
  <c r="E121" i="7"/>
  <c r="D121" i="7"/>
  <c r="N52" i="1"/>
  <c r="C121" i="7"/>
  <c r="B121" i="7"/>
  <c r="G120" i="7"/>
  <c r="P51" i="1"/>
  <c r="Q51" i="1"/>
  <c r="F120" i="7"/>
  <c r="E120" i="7"/>
  <c r="D120" i="7"/>
  <c r="N51" i="1"/>
  <c r="C120" i="7"/>
  <c r="B120" i="7"/>
  <c r="G119" i="7"/>
  <c r="P50" i="1"/>
  <c r="Q50" i="1"/>
  <c r="F119" i="7"/>
  <c r="E119" i="7"/>
  <c r="D119" i="7"/>
  <c r="N50" i="1"/>
  <c r="C119" i="7"/>
  <c r="B119" i="7"/>
  <c r="G118" i="7"/>
  <c r="P49" i="1"/>
  <c r="Q49" i="1"/>
  <c r="F118" i="7"/>
  <c r="E118" i="7"/>
  <c r="D118" i="7"/>
  <c r="N49" i="1"/>
  <c r="C118" i="7"/>
  <c r="B118" i="7"/>
  <c r="G117" i="7"/>
  <c r="P48" i="1"/>
  <c r="Q48" i="1"/>
  <c r="F117" i="7"/>
  <c r="E117" i="7"/>
  <c r="D117" i="7"/>
  <c r="N48" i="1"/>
  <c r="C117" i="7"/>
  <c r="B117" i="7"/>
  <c r="G116" i="7"/>
  <c r="P47" i="1"/>
  <c r="Q47" i="1"/>
  <c r="F116" i="7"/>
  <c r="E116" i="7"/>
  <c r="D116" i="7"/>
  <c r="N47" i="1"/>
  <c r="C116" i="7"/>
  <c r="B116" i="7"/>
  <c r="G115" i="7"/>
  <c r="P46" i="1"/>
  <c r="Q46" i="1"/>
  <c r="F115" i="7"/>
  <c r="E115" i="7"/>
  <c r="D115" i="7"/>
  <c r="N46" i="1"/>
  <c r="C115" i="7"/>
  <c r="B115" i="7"/>
  <c r="G114" i="7"/>
  <c r="P45" i="1"/>
  <c r="Q45" i="1"/>
  <c r="F114" i="7"/>
  <c r="E114" i="7"/>
  <c r="D114" i="7"/>
  <c r="N45" i="1"/>
  <c r="C114" i="7"/>
  <c r="B114" i="7"/>
  <c r="G113" i="7"/>
  <c r="P44" i="1"/>
  <c r="Q44" i="1"/>
  <c r="F113" i="7"/>
  <c r="E113" i="7"/>
  <c r="D113" i="7"/>
  <c r="N44" i="1"/>
  <c r="C113" i="7"/>
  <c r="B113" i="7"/>
  <c r="G112" i="7"/>
  <c r="P43" i="1"/>
  <c r="Q43" i="1"/>
  <c r="F112" i="7"/>
  <c r="E112" i="7"/>
  <c r="D112" i="7"/>
  <c r="N43" i="1"/>
  <c r="C112" i="7"/>
  <c r="B112" i="7"/>
  <c r="G111" i="7"/>
  <c r="P42" i="1"/>
  <c r="Q42" i="1"/>
  <c r="F111" i="7"/>
  <c r="E111" i="7"/>
  <c r="D111" i="7"/>
  <c r="N42" i="1"/>
  <c r="C111" i="7"/>
  <c r="B111" i="7"/>
  <c r="G110" i="7"/>
  <c r="P41" i="1"/>
  <c r="Q41" i="1"/>
  <c r="F110" i="7"/>
  <c r="E110" i="7"/>
  <c r="D110" i="7"/>
  <c r="N41" i="1"/>
  <c r="C110" i="7"/>
  <c r="B110" i="7"/>
  <c r="G109" i="7"/>
  <c r="P40" i="1"/>
  <c r="Q40" i="1"/>
  <c r="F109" i="7"/>
  <c r="E109" i="7"/>
  <c r="D109" i="7"/>
  <c r="N40" i="1"/>
  <c r="C109" i="7"/>
  <c r="B109" i="7"/>
  <c r="G108" i="7"/>
  <c r="P39" i="1"/>
  <c r="Q39" i="1"/>
  <c r="F108" i="7"/>
  <c r="E108" i="7"/>
  <c r="D108" i="7"/>
  <c r="N39" i="1"/>
  <c r="C108" i="7"/>
  <c r="B108" i="7"/>
  <c r="G107" i="7"/>
  <c r="P38" i="1"/>
  <c r="Q38" i="1"/>
  <c r="F107" i="7"/>
  <c r="E107" i="7"/>
  <c r="D107" i="7"/>
  <c r="N38" i="1"/>
  <c r="C107" i="7"/>
  <c r="B107" i="7"/>
  <c r="G106" i="7"/>
  <c r="P37" i="1"/>
  <c r="Q37" i="1"/>
  <c r="F106" i="7"/>
  <c r="E106" i="7"/>
  <c r="D106" i="7"/>
  <c r="N37" i="1"/>
  <c r="C106" i="7"/>
  <c r="B106" i="7"/>
  <c r="G105" i="7"/>
  <c r="P36" i="1"/>
  <c r="Q36" i="1"/>
  <c r="F105" i="7"/>
  <c r="E105" i="7"/>
  <c r="D105" i="7"/>
  <c r="N36" i="1"/>
  <c r="C105" i="7"/>
  <c r="B105" i="7"/>
  <c r="G104" i="7"/>
  <c r="P35" i="1"/>
  <c r="Q35" i="1"/>
  <c r="F104" i="7"/>
  <c r="E104" i="7"/>
  <c r="D104" i="7"/>
  <c r="N35" i="1"/>
  <c r="C104" i="7"/>
  <c r="B104" i="7"/>
  <c r="G103" i="7"/>
  <c r="P34" i="1"/>
  <c r="Q34" i="1"/>
  <c r="F103" i="7"/>
  <c r="E103" i="7"/>
  <c r="D103" i="7"/>
  <c r="N34" i="1"/>
  <c r="C103" i="7"/>
  <c r="B103" i="7"/>
  <c r="G102" i="7"/>
  <c r="P33" i="1"/>
  <c r="Q33" i="1"/>
  <c r="F102" i="7"/>
  <c r="E102" i="7"/>
  <c r="D102" i="7"/>
  <c r="N33" i="1"/>
  <c r="C102" i="7"/>
  <c r="B102" i="7"/>
  <c r="G101" i="7"/>
  <c r="P32" i="1"/>
  <c r="Q32" i="1"/>
  <c r="F101" i="7"/>
  <c r="E101" i="7"/>
  <c r="D101" i="7"/>
  <c r="N32" i="1"/>
  <c r="C101" i="7"/>
  <c r="B101" i="7"/>
  <c r="G100" i="7"/>
  <c r="P31" i="1"/>
  <c r="Q31" i="1"/>
  <c r="F100" i="7"/>
  <c r="E100" i="7"/>
  <c r="D100" i="7"/>
  <c r="N31" i="1"/>
  <c r="C100" i="7"/>
  <c r="B100" i="7"/>
  <c r="G99" i="7"/>
  <c r="P30" i="1"/>
  <c r="Q30" i="1"/>
  <c r="F99" i="7"/>
  <c r="E99" i="7"/>
  <c r="D99" i="7"/>
  <c r="N30" i="1"/>
  <c r="C99" i="7"/>
  <c r="B99" i="7"/>
  <c r="G98" i="7"/>
  <c r="P29" i="1"/>
  <c r="Q29" i="1"/>
  <c r="F98" i="7"/>
  <c r="E98" i="7"/>
  <c r="D98" i="7"/>
  <c r="N29" i="1"/>
  <c r="C98" i="7"/>
  <c r="B98" i="7"/>
  <c r="G97" i="7"/>
  <c r="P28" i="1"/>
  <c r="Q28" i="1"/>
  <c r="F97" i="7"/>
  <c r="E97" i="7"/>
  <c r="D97" i="7"/>
  <c r="N28" i="1"/>
  <c r="C97" i="7"/>
  <c r="B97" i="7"/>
  <c r="G96" i="7"/>
  <c r="P27" i="1"/>
  <c r="Q27" i="1"/>
  <c r="F96" i="7"/>
  <c r="E96" i="7"/>
  <c r="D96" i="7"/>
  <c r="N27" i="1"/>
  <c r="C96" i="7"/>
  <c r="B96" i="7"/>
  <c r="G95" i="7"/>
  <c r="P26" i="1"/>
  <c r="Q26" i="1"/>
  <c r="F95" i="7"/>
  <c r="E95" i="7"/>
  <c r="D95" i="7"/>
  <c r="N26" i="1"/>
  <c r="C95" i="7"/>
  <c r="B95" i="7"/>
  <c r="G94" i="7"/>
  <c r="P25" i="1"/>
  <c r="Q25" i="1"/>
  <c r="F94" i="7"/>
  <c r="E94" i="7"/>
  <c r="D94" i="7"/>
  <c r="N25" i="1"/>
  <c r="C94" i="7"/>
  <c r="B94" i="7"/>
  <c r="G93" i="7"/>
  <c r="P24" i="1"/>
  <c r="Q24" i="1"/>
  <c r="F93" i="7"/>
  <c r="E93" i="7"/>
  <c r="D93" i="7"/>
  <c r="N24" i="1"/>
  <c r="C93" i="7"/>
  <c r="B93" i="7"/>
  <c r="G92" i="7"/>
  <c r="P23" i="1"/>
  <c r="Q23" i="1"/>
  <c r="F92" i="7"/>
  <c r="E92" i="7"/>
  <c r="D92" i="7"/>
  <c r="N23" i="1"/>
  <c r="C92" i="7"/>
  <c r="B92" i="7"/>
  <c r="G91" i="7"/>
  <c r="P22" i="1"/>
  <c r="Q22" i="1"/>
  <c r="F91" i="7"/>
  <c r="E91" i="7"/>
  <c r="D91" i="7"/>
  <c r="N22" i="1"/>
  <c r="C91" i="7"/>
  <c r="B91" i="7"/>
  <c r="G90" i="7"/>
  <c r="P21" i="1"/>
  <c r="Q21" i="1"/>
  <c r="F90" i="7"/>
  <c r="E90" i="7"/>
  <c r="D90" i="7"/>
  <c r="N21" i="1"/>
  <c r="C90" i="7"/>
  <c r="B90" i="7"/>
  <c r="G89" i="7"/>
  <c r="P20" i="1"/>
  <c r="Q20" i="1"/>
  <c r="F89" i="7"/>
  <c r="E89" i="7"/>
  <c r="D89" i="7"/>
  <c r="N20" i="1"/>
  <c r="C89" i="7"/>
  <c r="B89" i="7"/>
  <c r="G88" i="7"/>
  <c r="P19" i="1"/>
  <c r="Q19" i="1"/>
  <c r="F88" i="7"/>
  <c r="E88" i="7"/>
  <c r="D88" i="7"/>
  <c r="N19" i="1"/>
  <c r="C88" i="7"/>
  <c r="B88" i="7"/>
  <c r="G87" i="7"/>
  <c r="P18" i="1"/>
  <c r="Q18" i="1"/>
  <c r="F87" i="7"/>
  <c r="E87" i="7"/>
  <c r="D87" i="7"/>
  <c r="N18" i="1"/>
  <c r="C87" i="7"/>
  <c r="B87" i="7"/>
  <c r="G86" i="7"/>
  <c r="P17" i="1"/>
  <c r="Q17" i="1"/>
  <c r="F86" i="7"/>
  <c r="E86" i="7"/>
  <c r="D86" i="7"/>
  <c r="N17" i="1"/>
  <c r="C86" i="7"/>
  <c r="B86" i="7"/>
  <c r="G85" i="7"/>
  <c r="P16" i="1"/>
  <c r="Q16" i="1"/>
  <c r="F85" i="7"/>
  <c r="E85" i="7"/>
  <c r="D85" i="7"/>
  <c r="N16" i="1"/>
  <c r="C85" i="7"/>
  <c r="B85" i="7"/>
  <c r="G84" i="7"/>
  <c r="P15" i="1"/>
  <c r="Q15" i="1"/>
  <c r="F84" i="7"/>
  <c r="E84" i="7"/>
  <c r="D84" i="7"/>
  <c r="N15" i="1"/>
  <c r="C84" i="7"/>
  <c r="B84" i="7"/>
  <c r="G83" i="7"/>
  <c r="P14" i="1"/>
  <c r="Q14" i="1"/>
  <c r="F83" i="7"/>
  <c r="E83" i="7"/>
  <c r="D83" i="7"/>
  <c r="N14" i="1"/>
  <c r="C83" i="7"/>
  <c r="B83" i="7"/>
  <c r="G82" i="7"/>
  <c r="P13" i="1"/>
  <c r="Q13" i="1"/>
  <c r="F82" i="7"/>
  <c r="E82" i="7"/>
  <c r="D82" i="7"/>
  <c r="N13" i="1"/>
  <c r="C82" i="7"/>
  <c r="B82" i="7"/>
  <c r="AC3" i="7"/>
  <c r="AC4" i="7"/>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C72" i="7"/>
  <c r="AC73" i="7"/>
  <c r="AC74" i="7"/>
  <c r="AC75" i="7"/>
  <c r="AC76" i="7"/>
  <c r="AC77" i="7"/>
  <c r="AC78" i="7"/>
  <c r="AC79" i="7"/>
  <c r="AC80" i="7"/>
  <c r="AC81" i="7"/>
  <c r="AK81" i="7"/>
  <c r="AJ81" i="7"/>
  <c r="AI81" i="7"/>
  <c r="AH81" i="7"/>
  <c r="AG81" i="7"/>
  <c r="AF81" i="7"/>
  <c r="AE81" i="7"/>
  <c r="AD81"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AB81" i="7"/>
  <c r="AA81" i="7"/>
  <c r="Z81" i="7"/>
  <c r="Y81" i="7"/>
  <c r="X81" i="7"/>
  <c r="W81" i="7"/>
  <c r="V81" i="7"/>
  <c r="U8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S81" i="7"/>
  <c r="R81" i="7"/>
  <c r="Q81" i="7"/>
  <c r="P81" i="7"/>
  <c r="O81" i="7"/>
  <c r="N81" i="7"/>
  <c r="M81" i="7"/>
  <c r="L81" i="7"/>
  <c r="G81" i="7"/>
  <c r="P12" i="1"/>
  <c r="Q12" i="1"/>
  <c r="F81" i="7"/>
  <c r="E81" i="7"/>
  <c r="D81" i="7"/>
  <c r="N12" i="1"/>
  <c r="C81" i="7"/>
  <c r="B81" i="7"/>
  <c r="AK80" i="7"/>
  <c r="AJ80" i="7"/>
  <c r="AI80" i="7"/>
  <c r="AH80" i="7"/>
  <c r="AG80" i="7"/>
  <c r="AF80" i="7"/>
  <c r="AE80" i="7"/>
  <c r="AD80" i="7"/>
  <c r="G48" i="7"/>
  <c r="AB80" i="7"/>
  <c r="AA80" i="7"/>
  <c r="D73" i="1"/>
  <c r="E73" i="1"/>
  <c r="F48" i="7"/>
  <c r="Z80" i="7"/>
  <c r="E48" i="7"/>
  <c r="Y80" i="7"/>
  <c r="D48" i="7"/>
  <c r="X80" i="7"/>
  <c r="B73" i="1"/>
  <c r="C48" i="7"/>
  <c r="W80" i="7"/>
  <c r="B48" i="7"/>
  <c r="V80" i="7"/>
  <c r="U80" i="7"/>
  <c r="G16" i="7"/>
  <c r="S80" i="7"/>
  <c r="R80" i="7"/>
  <c r="D17" i="1"/>
  <c r="E17" i="1"/>
  <c r="F16" i="7"/>
  <c r="Q80" i="7"/>
  <c r="E16" i="7"/>
  <c r="P80" i="7"/>
  <c r="D16" i="7"/>
  <c r="O80" i="7"/>
  <c r="B17" i="1"/>
  <c r="C16" i="7"/>
  <c r="N80" i="7"/>
  <c r="B16" i="7"/>
  <c r="M80" i="7"/>
  <c r="L80" i="7"/>
  <c r="G80" i="7"/>
  <c r="P11" i="1"/>
  <c r="Q11" i="1"/>
  <c r="F80" i="7"/>
  <c r="E80" i="7"/>
  <c r="D80" i="7"/>
  <c r="N11" i="1"/>
  <c r="C80" i="7"/>
  <c r="B80" i="7"/>
  <c r="AK79" i="7"/>
  <c r="AJ79" i="7"/>
  <c r="AI79" i="7"/>
  <c r="AH79" i="7"/>
  <c r="AG79" i="7"/>
  <c r="AF79" i="7"/>
  <c r="AE79" i="7"/>
  <c r="AD79" i="7"/>
  <c r="AB79" i="7"/>
  <c r="AA79" i="7"/>
  <c r="Z79" i="7"/>
  <c r="Y79" i="7"/>
  <c r="X79" i="7"/>
  <c r="W79" i="7"/>
  <c r="V79" i="7"/>
  <c r="U79" i="7"/>
  <c r="G40" i="7"/>
  <c r="S79" i="7"/>
  <c r="R79" i="7"/>
  <c r="D63" i="1"/>
  <c r="E63" i="1"/>
  <c r="F40" i="7"/>
  <c r="Q79" i="7"/>
  <c r="E40" i="7"/>
  <c r="P79" i="7"/>
  <c r="D40" i="7"/>
  <c r="O79" i="7"/>
  <c r="B63" i="1"/>
  <c r="C40" i="7"/>
  <c r="N79" i="7"/>
  <c r="B40" i="7"/>
  <c r="M79" i="7"/>
  <c r="L79" i="7"/>
  <c r="G79" i="7"/>
  <c r="P10" i="1"/>
  <c r="Q10" i="1"/>
  <c r="F79" i="7"/>
  <c r="E79" i="7"/>
  <c r="D79" i="7"/>
  <c r="N10" i="1"/>
  <c r="C79" i="7"/>
  <c r="B79" i="7"/>
  <c r="AK78" i="7"/>
  <c r="AJ78" i="7"/>
  <c r="AI78" i="7"/>
  <c r="AH78" i="7"/>
  <c r="AG78" i="7"/>
  <c r="AF78" i="7"/>
  <c r="AE78" i="7"/>
  <c r="AD78" i="7"/>
  <c r="AB78" i="7"/>
  <c r="AA78" i="7"/>
  <c r="Z78" i="7"/>
  <c r="Y78" i="7"/>
  <c r="X78" i="7"/>
  <c r="W78" i="7"/>
  <c r="V78" i="7"/>
  <c r="U78" i="7"/>
  <c r="G15" i="7"/>
  <c r="S78" i="7"/>
  <c r="R78" i="7"/>
  <c r="D16" i="1"/>
  <c r="E16" i="1"/>
  <c r="F15" i="7"/>
  <c r="Q78" i="7"/>
  <c r="E15" i="7"/>
  <c r="P78" i="7"/>
  <c r="D15" i="7"/>
  <c r="O78" i="7"/>
  <c r="B16" i="1"/>
  <c r="C15" i="7"/>
  <c r="N78" i="7"/>
  <c r="B15" i="7"/>
  <c r="M78" i="7"/>
  <c r="L78" i="7"/>
  <c r="G78" i="7"/>
  <c r="P9" i="1"/>
  <c r="Q9" i="1"/>
  <c r="F78" i="7"/>
  <c r="E78" i="7"/>
  <c r="D78" i="7"/>
  <c r="N9" i="1"/>
  <c r="C78" i="7"/>
  <c r="B78" i="7"/>
  <c r="AK77" i="7"/>
  <c r="AJ77" i="7"/>
  <c r="AI77" i="7"/>
  <c r="AH77" i="7"/>
  <c r="AG77" i="7"/>
  <c r="AF77" i="7"/>
  <c r="AE77" i="7"/>
  <c r="AD77" i="7"/>
  <c r="AB77" i="7"/>
  <c r="AA77" i="7"/>
  <c r="Z77" i="7"/>
  <c r="Y77" i="7"/>
  <c r="X77" i="7"/>
  <c r="W77" i="7"/>
  <c r="V77" i="7"/>
  <c r="U77" i="7"/>
  <c r="S77" i="7"/>
  <c r="R77" i="7"/>
  <c r="Q77" i="7"/>
  <c r="P77" i="7"/>
  <c r="O77" i="7"/>
  <c r="N77" i="7"/>
  <c r="M77" i="7"/>
  <c r="L77" i="7"/>
  <c r="G77" i="7"/>
  <c r="P8" i="1"/>
  <c r="Q8" i="1"/>
  <c r="F77" i="7"/>
  <c r="E77" i="7"/>
  <c r="D77" i="7"/>
  <c r="N8" i="1"/>
  <c r="C77" i="7"/>
  <c r="B77" i="7"/>
  <c r="AK76" i="7"/>
  <c r="AJ76" i="7"/>
  <c r="AI76" i="7"/>
  <c r="AH76" i="7"/>
  <c r="AG76" i="7"/>
  <c r="AF76" i="7"/>
  <c r="AE76" i="7"/>
  <c r="AD76" i="7"/>
  <c r="G21" i="7"/>
  <c r="AB76" i="7"/>
  <c r="AA76" i="7"/>
  <c r="D22" i="1"/>
  <c r="E22" i="1"/>
  <c r="F21" i="7"/>
  <c r="Z76" i="7"/>
  <c r="E21" i="7"/>
  <c r="Y76" i="7"/>
  <c r="D21" i="7"/>
  <c r="X76" i="7"/>
  <c r="B22" i="1"/>
  <c r="C21" i="7"/>
  <c r="W76" i="7"/>
  <c r="B21" i="7"/>
  <c r="V76" i="7"/>
  <c r="U76" i="7"/>
  <c r="S76" i="7"/>
  <c r="R76" i="7"/>
  <c r="Q76" i="7"/>
  <c r="P76" i="7"/>
  <c r="O76" i="7"/>
  <c r="N76" i="7"/>
  <c r="M76" i="7"/>
  <c r="L76" i="7"/>
  <c r="G76" i="7"/>
  <c r="P7" i="1"/>
  <c r="Q7" i="1"/>
  <c r="F76" i="7"/>
  <c r="E76" i="7"/>
  <c r="D76" i="7"/>
  <c r="N7" i="1"/>
  <c r="C76" i="7"/>
  <c r="B76" i="7"/>
  <c r="G28" i="7"/>
  <c r="AK75" i="7"/>
  <c r="AJ75" i="7"/>
  <c r="D29" i="1"/>
  <c r="E29" i="1"/>
  <c r="F28" i="7"/>
  <c r="AI75" i="7"/>
  <c r="E28" i="7"/>
  <c r="AH75" i="7"/>
  <c r="D28" i="7"/>
  <c r="AG75" i="7"/>
  <c r="B29" i="1"/>
  <c r="C28" i="7"/>
  <c r="AF75" i="7"/>
  <c r="B28" i="7"/>
  <c r="AE75" i="7"/>
  <c r="AD75" i="7"/>
  <c r="AB75" i="7"/>
  <c r="AA75" i="7"/>
  <c r="Z75" i="7"/>
  <c r="Y75" i="7"/>
  <c r="X75" i="7"/>
  <c r="W75" i="7"/>
  <c r="V75" i="7"/>
  <c r="U75" i="7"/>
  <c r="S75" i="7"/>
  <c r="R75" i="7"/>
  <c r="Q75" i="7"/>
  <c r="P75" i="7"/>
  <c r="O75" i="7"/>
  <c r="N75" i="7"/>
  <c r="M75" i="7"/>
  <c r="L75" i="7"/>
  <c r="G75" i="7"/>
  <c r="P6" i="1"/>
  <c r="Q6" i="1"/>
  <c r="F75" i="7"/>
  <c r="E75" i="7"/>
  <c r="D75" i="7"/>
  <c r="N6" i="1"/>
  <c r="C75" i="7"/>
  <c r="B75" i="7"/>
  <c r="AK74" i="7"/>
  <c r="AJ74" i="7"/>
  <c r="AI74" i="7"/>
  <c r="AH74" i="7"/>
  <c r="AG74" i="7"/>
  <c r="AF74" i="7"/>
  <c r="AE74" i="7"/>
  <c r="AD74" i="7"/>
  <c r="G20" i="7"/>
  <c r="AB74" i="7"/>
  <c r="AA74" i="7"/>
  <c r="D21" i="1"/>
  <c r="E21" i="1"/>
  <c r="F20" i="7"/>
  <c r="Z74" i="7"/>
  <c r="E20" i="7"/>
  <c r="Y74" i="7"/>
  <c r="D20" i="7"/>
  <c r="X74" i="7"/>
  <c r="B21" i="1"/>
  <c r="C20" i="7"/>
  <c r="W74" i="7"/>
  <c r="B20" i="7"/>
  <c r="V74" i="7"/>
  <c r="U74" i="7"/>
  <c r="S74" i="7"/>
  <c r="R74" i="7"/>
  <c r="Q74" i="7"/>
  <c r="P74" i="7"/>
  <c r="O74" i="7"/>
  <c r="N74" i="7"/>
  <c r="M74" i="7"/>
  <c r="L74" i="7"/>
  <c r="G74" i="7"/>
  <c r="P5" i="1"/>
  <c r="Q5" i="1"/>
  <c r="F74" i="7"/>
  <c r="E74" i="7"/>
  <c r="D74" i="7"/>
  <c r="N5" i="1"/>
  <c r="C74" i="7"/>
  <c r="B74" i="7"/>
  <c r="AK73" i="7"/>
  <c r="AJ73" i="7"/>
  <c r="AI73" i="7"/>
  <c r="AH73" i="7"/>
  <c r="AG73" i="7"/>
  <c r="AF73" i="7"/>
  <c r="AE73" i="7"/>
  <c r="AD73" i="7"/>
  <c r="AB73" i="7"/>
  <c r="AA73" i="7"/>
  <c r="Z73" i="7"/>
  <c r="Y73" i="7"/>
  <c r="X73" i="7"/>
  <c r="W73" i="7"/>
  <c r="V73" i="7"/>
  <c r="U73" i="7"/>
  <c r="S73" i="7"/>
  <c r="R73" i="7"/>
  <c r="Q73" i="7"/>
  <c r="P73" i="7"/>
  <c r="O73" i="7"/>
  <c r="N73" i="7"/>
  <c r="M73" i="7"/>
  <c r="L73" i="7"/>
  <c r="G73" i="7"/>
  <c r="P4" i="1"/>
  <c r="Q4" i="1"/>
  <c r="F73" i="7"/>
  <c r="E73" i="7"/>
  <c r="D73" i="7"/>
  <c r="N4" i="1"/>
  <c r="C73" i="7"/>
  <c r="B73" i="7"/>
  <c r="AK72" i="7"/>
  <c r="AJ72" i="7"/>
  <c r="AI72" i="7"/>
  <c r="AH72" i="7"/>
  <c r="AG72" i="7"/>
  <c r="AF72" i="7"/>
  <c r="AE72" i="7"/>
  <c r="AD72" i="7"/>
  <c r="AB72" i="7"/>
  <c r="AA72" i="7"/>
  <c r="Z72" i="7"/>
  <c r="Y72" i="7"/>
  <c r="X72" i="7"/>
  <c r="W72" i="7"/>
  <c r="V72" i="7"/>
  <c r="U72" i="7"/>
  <c r="S72" i="7"/>
  <c r="R72" i="7"/>
  <c r="Q72" i="7"/>
  <c r="P72" i="7"/>
  <c r="O72" i="7"/>
  <c r="N72" i="7"/>
  <c r="M72" i="7"/>
  <c r="L72" i="7"/>
  <c r="G72" i="7"/>
  <c r="P3" i="1"/>
  <c r="Q3" i="1"/>
  <c r="F72" i="7"/>
  <c r="E72" i="7"/>
  <c r="D72" i="7"/>
  <c r="N3" i="1"/>
  <c r="C72" i="7"/>
  <c r="B72" i="7"/>
  <c r="AK71" i="7"/>
  <c r="AJ71" i="7"/>
  <c r="AI71" i="7"/>
  <c r="AH71" i="7"/>
  <c r="AG71" i="7"/>
  <c r="AF71" i="7"/>
  <c r="AE71" i="7"/>
  <c r="AD71" i="7"/>
  <c r="AB71" i="7"/>
  <c r="AA71" i="7"/>
  <c r="Z71" i="7"/>
  <c r="Y71" i="7"/>
  <c r="X71" i="7"/>
  <c r="W71" i="7"/>
  <c r="V71" i="7"/>
  <c r="U71" i="7"/>
  <c r="G14" i="7"/>
  <c r="S71" i="7"/>
  <c r="R71" i="7"/>
  <c r="D15" i="1"/>
  <c r="E15" i="1"/>
  <c r="F14" i="7"/>
  <c r="Q71" i="7"/>
  <c r="E14" i="7"/>
  <c r="P71" i="7"/>
  <c r="D14" i="7"/>
  <c r="O71" i="7"/>
  <c r="B15" i="1"/>
  <c r="C14" i="7"/>
  <c r="N71" i="7"/>
  <c r="B14" i="7"/>
  <c r="M71" i="7"/>
  <c r="L71" i="7"/>
  <c r="AK70" i="7"/>
  <c r="AJ70" i="7"/>
  <c r="AI70" i="7"/>
  <c r="AH70" i="7"/>
  <c r="AG70" i="7"/>
  <c r="AF70" i="7"/>
  <c r="AE70" i="7"/>
  <c r="AD70" i="7"/>
  <c r="G19" i="7"/>
  <c r="AB70" i="7"/>
  <c r="AA70" i="7"/>
  <c r="D20" i="1"/>
  <c r="E20" i="1"/>
  <c r="F19" i="7"/>
  <c r="Z70" i="7"/>
  <c r="E19" i="7"/>
  <c r="Y70" i="7"/>
  <c r="D19" i="7"/>
  <c r="X70" i="7"/>
  <c r="B20" i="1"/>
  <c r="C19" i="7"/>
  <c r="W70" i="7"/>
  <c r="B19" i="7"/>
  <c r="V70" i="7"/>
  <c r="U70" i="7"/>
  <c r="S70" i="7"/>
  <c r="R70" i="7"/>
  <c r="Q70" i="7"/>
  <c r="P70" i="7"/>
  <c r="O70" i="7"/>
  <c r="N70" i="7"/>
  <c r="M70" i="7"/>
  <c r="L70" i="7"/>
  <c r="AK69" i="7"/>
  <c r="AJ69" i="7"/>
  <c r="AI69" i="7"/>
  <c r="AH69" i="7"/>
  <c r="AG69" i="7"/>
  <c r="AF69" i="7"/>
  <c r="AE69" i="7"/>
  <c r="AD69" i="7"/>
  <c r="G47" i="7"/>
  <c r="AB69" i="7"/>
  <c r="AA69" i="7"/>
  <c r="D72" i="1"/>
  <c r="E72" i="1"/>
  <c r="F47" i="7"/>
  <c r="Z69" i="7"/>
  <c r="E47" i="7"/>
  <c r="Y69" i="7"/>
  <c r="D47" i="7"/>
  <c r="X69" i="7"/>
  <c r="B72" i="1"/>
  <c r="C47" i="7"/>
  <c r="W69" i="7"/>
  <c r="B47" i="7"/>
  <c r="V69" i="7"/>
  <c r="U69" i="7"/>
  <c r="G39" i="7"/>
  <c r="S69" i="7"/>
  <c r="R69" i="7"/>
  <c r="D62" i="1"/>
  <c r="E62" i="1"/>
  <c r="F39" i="7"/>
  <c r="Q69" i="7"/>
  <c r="E39" i="7"/>
  <c r="P69" i="7"/>
  <c r="D39" i="7"/>
  <c r="O69" i="7"/>
  <c r="B62" i="1"/>
  <c r="C39" i="7"/>
  <c r="N69" i="7"/>
  <c r="B39" i="7"/>
  <c r="M69" i="7"/>
  <c r="L69" i="7"/>
  <c r="G27" i="7"/>
  <c r="AK68" i="7"/>
  <c r="AJ68" i="7"/>
  <c r="D28" i="1"/>
  <c r="E28" i="1"/>
  <c r="F27" i="7"/>
  <c r="AI68" i="7"/>
  <c r="E27" i="7"/>
  <c r="AH68" i="7"/>
  <c r="D27" i="7"/>
  <c r="AG68" i="7"/>
  <c r="B28" i="1"/>
  <c r="C27" i="7"/>
  <c r="AF68" i="7"/>
  <c r="B27" i="7"/>
  <c r="AE68" i="7"/>
  <c r="AD68" i="7"/>
  <c r="AB68" i="7"/>
  <c r="AA68" i="7"/>
  <c r="Z68" i="7"/>
  <c r="Y68" i="7"/>
  <c r="X68" i="7"/>
  <c r="W68" i="7"/>
  <c r="V68" i="7"/>
  <c r="U68" i="7"/>
  <c r="S68" i="7"/>
  <c r="R68" i="7"/>
  <c r="Q68" i="7"/>
  <c r="P68" i="7"/>
  <c r="O68" i="7"/>
  <c r="N68" i="7"/>
  <c r="M68" i="7"/>
  <c r="L68" i="7"/>
  <c r="AK67" i="7"/>
  <c r="AJ67" i="7"/>
  <c r="AI67" i="7"/>
  <c r="AH67" i="7"/>
  <c r="AG67" i="7"/>
  <c r="AF67" i="7"/>
  <c r="AE67" i="7"/>
  <c r="AD67" i="7"/>
  <c r="AB67" i="7"/>
  <c r="AA67" i="7"/>
  <c r="Z67" i="7"/>
  <c r="Y67" i="7"/>
  <c r="X67" i="7"/>
  <c r="W67" i="7"/>
  <c r="V67" i="7"/>
  <c r="U67" i="7"/>
  <c r="S67" i="7"/>
  <c r="R67" i="7"/>
  <c r="Q67" i="7"/>
  <c r="P67" i="7"/>
  <c r="O67" i="7"/>
  <c r="N67" i="7"/>
  <c r="M67" i="7"/>
  <c r="L67" i="7"/>
  <c r="AK66" i="7"/>
  <c r="AJ66" i="7"/>
  <c r="AI66" i="7"/>
  <c r="AH66" i="7"/>
  <c r="AG66" i="7"/>
  <c r="AF66" i="7"/>
  <c r="AE66" i="7"/>
  <c r="AD66" i="7"/>
  <c r="AB66" i="7"/>
  <c r="AA66" i="7"/>
  <c r="Z66" i="7"/>
  <c r="Y66" i="7"/>
  <c r="X66" i="7"/>
  <c r="W66" i="7"/>
  <c r="V66" i="7"/>
  <c r="U66" i="7"/>
  <c r="S66" i="7"/>
  <c r="R66" i="7"/>
  <c r="Q66" i="7"/>
  <c r="P66" i="7"/>
  <c r="O66" i="7"/>
  <c r="N66" i="7"/>
  <c r="M66" i="7"/>
  <c r="L66" i="7"/>
  <c r="AK65" i="7"/>
  <c r="AJ65" i="7"/>
  <c r="AI65" i="7"/>
  <c r="AH65" i="7"/>
  <c r="AG65" i="7"/>
  <c r="AF65" i="7"/>
  <c r="AE65" i="7"/>
  <c r="AD65" i="7"/>
  <c r="AB65" i="7"/>
  <c r="AA65" i="7"/>
  <c r="Z65" i="7"/>
  <c r="Y65" i="7"/>
  <c r="X65" i="7"/>
  <c r="W65" i="7"/>
  <c r="V65" i="7"/>
  <c r="U65" i="7"/>
  <c r="S65" i="7"/>
  <c r="R65" i="7"/>
  <c r="Q65" i="7"/>
  <c r="P65" i="7"/>
  <c r="O65" i="7"/>
  <c r="N65" i="7"/>
  <c r="M65" i="7"/>
  <c r="L65" i="7"/>
  <c r="AK64" i="7"/>
  <c r="AJ64" i="7"/>
  <c r="AI64" i="7"/>
  <c r="AH64" i="7"/>
  <c r="AG64" i="7"/>
  <c r="AF64" i="7"/>
  <c r="AE64" i="7"/>
  <c r="AD64" i="7"/>
  <c r="G46" i="7"/>
  <c r="AB64" i="7"/>
  <c r="AA64" i="7"/>
  <c r="D71" i="1"/>
  <c r="E71" i="1"/>
  <c r="F46" i="7"/>
  <c r="Z64" i="7"/>
  <c r="E46" i="7"/>
  <c r="Y64" i="7"/>
  <c r="D46" i="7"/>
  <c r="X64" i="7"/>
  <c r="B71" i="1"/>
  <c r="C46" i="7"/>
  <c r="W64" i="7"/>
  <c r="B46" i="7"/>
  <c r="V64" i="7"/>
  <c r="U64" i="7"/>
  <c r="S64" i="7"/>
  <c r="R64" i="7"/>
  <c r="Q64" i="7"/>
  <c r="P64" i="7"/>
  <c r="O64" i="7"/>
  <c r="N64" i="7"/>
  <c r="M64" i="7"/>
  <c r="L64" i="7"/>
  <c r="AK63" i="7"/>
  <c r="AJ63" i="7"/>
  <c r="AI63" i="7"/>
  <c r="AH63" i="7"/>
  <c r="AG63" i="7"/>
  <c r="AF63" i="7"/>
  <c r="AE63" i="7"/>
  <c r="AD63" i="7"/>
  <c r="AB63" i="7"/>
  <c r="AA63" i="7"/>
  <c r="Z63" i="7"/>
  <c r="Y63" i="7"/>
  <c r="X63" i="7"/>
  <c r="W63" i="7"/>
  <c r="V63" i="7"/>
  <c r="U63" i="7"/>
  <c r="S63" i="7"/>
  <c r="R63" i="7"/>
  <c r="Q63" i="7"/>
  <c r="P63" i="7"/>
  <c r="O63" i="7"/>
  <c r="N63" i="7"/>
  <c r="M63" i="7"/>
  <c r="L63" i="7"/>
  <c r="AK62" i="7"/>
  <c r="AJ62" i="7"/>
  <c r="AI62" i="7"/>
  <c r="AH62" i="7"/>
  <c r="AG62" i="7"/>
  <c r="AF62" i="7"/>
  <c r="AE62" i="7"/>
  <c r="AD62" i="7"/>
  <c r="AB62" i="7"/>
  <c r="AA62" i="7"/>
  <c r="Z62" i="7"/>
  <c r="Y62" i="7"/>
  <c r="X62" i="7"/>
  <c r="W62" i="7"/>
  <c r="V62" i="7"/>
  <c r="U62" i="7"/>
  <c r="S62" i="7"/>
  <c r="R62" i="7"/>
  <c r="Q62" i="7"/>
  <c r="P62" i="7"/>
  <c r="O62" i="7"/>
  <c r="N62" i="7"/>
  <c r="M62" i="7"/>
  <c r="L62" i="7"/>
  <c r="AK61" i="7"/>
  <c r="AJ61" i="7"/>
  <c r="AI61" i="7"/>
  <c r="AH61" i="7"/>
  <c r="AG61" i="7"/>
  <c r="AF61" i="7"/>
  <c r="AE61" i="7"/>
  <c r="AD61" i="7"/>
  <c r="AB61" i="7"/>
  <c r="AA61" i="7"/>
  <c r="Z61" i="7"/>
  <c r="Y61" i="7"/>
  <c r="X61" i="7"/>
  <c r="W61" i="7"/>
  <c r="V61" i="7"/>
  <c r="U61" i="7"/>
  <c r="G38" i="7"/>
  <c r="S61" i="7"/>
  <c r="R61" i="7"/>
  <c r="D61" i="1"/>
  <c r="E61" i="1"/>
  <c r="F38" i="7"/>
  <c r="Q61" i="7"/>
  <c r="E38" i="7"/>
  <c r="P61" i="7"/>
  <c r="D38" i="7"/>
  <c r="O61" i="7"/>
  <c r="B61" i="1"/>
  <c r="C38" i="7"/>
  <c r="N61" i="7"/>
  <c r="B38" i="7"/>
  <c r="M61" i="7"/>
  <c r="L61" i="7"/>
  <c r="G61" i="7"/>
  <c r="D86" i="1"/>
  <c r="E86" i="1"/>
  <c r="F61" i="7"/>
  <c r="E61" i="7"/>
  <c r="D61" i="7"/>
  <c r="B86" i="1"/>
  <c r="C61" i="7"/>
  <c r="B61" i="7"/>
  <c r="AK60" i="7"/>
  <c r="AJ60" i="7"/>
  <c r="AI60" i="7"/>
  <c r="AH60" i="7"/>
  <c r="AG60" i="7"/>
  <c r="AF60" i="7"/>
  <c r="AE60" i="7"/>
  <c r="AD60" i="7"/>
  <c r="G45" i="7"/>
  <c r="AB60" i="7"/>
  <c r="AA60" i="7"/>
  <c r="D70" i="1"/>
  <c r="E70" i="1"/>
  <c r="F45" i="7"/>
  <c r="Z60" i="7"/>
  <c r="E45" i="7"/>
  <c r="Y60" i="7"/>
  <c r="D45" i="7"/>
  <c r="X60" i="7"/>
  <c r="B70" i="1"/>
  <c r="C45" i="7"/>
  <c r="W60" i="7"/>
  <c r="B45" i="7"/>
  <c r="V60" i="7"/>
  <c r="U60" i="7"/>
  <c r="S60" i="7"/>
  <c r="R60" i="7"/>
  <c r="Q60" i="7"/>
  <c r="P60" i="7"/>
  <c r="O60" i="7"/>
  <c r="N60" i="7"/>
  <c r="M60" i="7"/>
  <c r="L60" i="7"/>
  <c r="G60" i="7"/>
  <c r="D85" i="1"/>
  <c r="E85" i="1"/>
  <c r="F60" i="7"/>
  <c r="E60" i="7"/>
  <c r="D60" i="7"/>
  <c r="B85" i="1"/>
  <c r="C60" i="7"/>
  <c r="B60" i="7"/>
  <c r="AK59" i="7"/>
  <c r="AJ59" i="7"/>
  <c r="AI59" i="7"/>
  <c r="AH59" i="7"/>
  <c r="AG59" i="7"/>
  <c r="AF59" i="7"/>
  <c r="AE59" i="7"/>
  <c r="AD59" i="7"/>
  <c r="G44" i="7"/>
  <c r="AB59" i="7"/>
  <c r="AA59" i="7"/>
  <c r="D69" i="1"/>
  <c r="E69" i="1"/>
  <c r="F44" i="7"/>
  <c r="Z59" i="7"/>
  <c r="E44" i="7"/>
  <c r="Y59" i="7"/>
  <c r="D44" i="7"/>
  <c r="X59" i="7"/>
  <c r="B69" i="1"/>
  <c r="C44" i="7"/>
  <c r="W59" i="7"/>
  <c r="B44" i="7"/>
  <c r="V59" i="7"/>
  <c r="U59" i="7"/>
  <c r="S59" i="7"/>
  <c r="R59" i="7"/>
  <c r="Q59" i="7"/>
  <c r="P59" i="7"/>
  <c r="O59" i="7"/>
  <c r="N59" i="7"/>
  <c r="M59" i="7"/>
  <c r="L59" i="7"/>
  <c r="G59" i="7"/>
  <c r="D84" i="1"/>
  <c r="E84" i="1"/>
  <c r="F59" i="7"/>
  <c r="E59" i="7"/>
  <c r="D59" i="7"/>
  <c r="B84" i="1"/>
  <c r="C59" i="7"/>
  <c r="B59" i="7"/>
  <c r="AK58" i="7"/>
  <c r="AJ58" i="7"/>
  <c r="AI58" i="7"/>
  <c r="AH58" i="7"/>
  <c r="AG58" i="7"/>
  <c r="AF58" i="7"/>
  <c r="AE58" i="7"/>
  <c r="AD58" i="7"/>
  <c r="AB58" i="7"/>
  <c r="AA58" i="7"/>
  <c r="Z58" i="7"/>
  <c r="Y58" i="7"/>
  <c r="X58" i="7"/>
  <c r="W58" i="7"/>
  <c r="V58" i="7"/>
  <c r="U58" i="7"/>
  <c r="G13" i="7"/>
  <c r="S58" i="7"/>
  <c r="R58" i="7"/>
  <c r="D14" i="1"/>
  <c r="E14" i="1"/>
  <c r="F13" i="7"/>
  <c r="Q58" i="7"/>
  <c r="E13" i="7"/>
  <c r="P58" i="7"/>
  <c r="D13" i="7"/>
  <c r="O58" i="7"/>
  <c r="B14" i="1"/>
  <c r="C13" i="7"/>
  <c r="N58" i="7"/>
  <c r="B13" i="7"/>
  <c r="M58" i="7"/>
  <c r="L58" i="7"/>
  <c r="G58" i="7"/>
  <c r="D83" i="1"/>
  <c r="E83" i="1"/>
  <c r="F58" i="7"/>
  <c r="E58" i="7"/>
  <c r="D58" i="7"/>
  <c r="B83" i="1"/>
  <c r="C58" i="7"/>
  <c r="B58" i="7"/>
  <c r="AK57" i="7"/>
  <c r="AJ57" i="7"/>
  <c r="AI57" i="7"/>
  <c r="AH57" i="7"/>
  <c r="AG57" i="7"/>
  <c r="AF57" i="7"/>
  <c r="AE57" i="7"/>
  <c r="AD57" i="7"/>
  <c r="AB57" i="7"/>
  <c r="AA57" i="7"/>
  <c r="Z57" i="7"/>
  <c r="Y57" i="7"/>
  <c r="X57" i="7"/>
  <c r="W57" i="7"/>
  <c r="V57" i="7"/>
  <c r="U57" i="7"/>
  <c r="G12" i="7"/>
  <c r="S57" i="7"/>
  <c r="R57" i="7"/>
  <c r="D13" i="1"/>
  <c r="E13" i="1"/>
  <c r="F12" i="7"/>
  <c r="Q57" i="7"/>
  <c r="E12" i="7"/>
  <c r="P57" i="7"/>
  <c r="D12" i="7"/>
  <c r="O57" i="7"/>
  <c r="B13" i="1"/>
  <c r="C12" i="7"/>
  <c r="N57" i="7"/>
  <c r="B12" i="7"/>
  <c r="M57" i="7"/>
  <c r="L57" i="7"/>
  <c r="G57" i="7"/>
  <c r="D82" i="1"/>
  <c r="E82" i="1"/>
  <c r="F57" i="7"/>
  <c r="E57" i="7"/>
  <c r="D57" i="7"/>
  <c r="B82" i="1"/>
  <c r="C57" i="7"/>
  <c r="B57" i="7"/>
  <c r="AK56" i="7"/>
  <c r="AJ56" i="7"/>
  <c r="AI56" i="7"/>
  <c r="AH56" i="7"/>
  <c r="AG56" i="7"/>
  <c r="AF56" i="7"/>
  <c r="AE56" i="7"/>
  <c r="AD56" i="7"/>
  <c r="AB56" i="7"/>
  <c r="AA56" i="7"/>
  <c r="Z56" i="7"/>
  <c r="Y56" i="7"/>
  <c r="X56" i="7"/>
  <c r="W56" i="7"/>
  <c r="V56" i="7"/>
  <c r="U56" i="7"/>
  <c r="S56" i="7"/>
  <c r="R56" i="7"/>
  <c r="Q56" i="7"/>
  <c r="P56" i="7"/>
  <c r="O56" i="7"/>
  <c r="N56" i="7"/>
  <c r="M56" i="7"/>
  <c r="L56" i="7"/>
  <c r="G56" i="7"/>
  <c r="D81" i="1"/>
  <c r="E81" i="1"/>
  <c r="F56" i="7"/>
  <c r="E56" i="7"/>
  <c r="D56" i="7"/>
  <c r="B81" i="1"/>
  <c r="C56" i="7"/>
  <c r="B56" i="7"/>
  <c r="AK55" i="7"/>
  <c r="AJ55" i="7"/>
  <c r="AI55" i="7"/>
  <c r="AH55" i="7"/>
  <c r="AG55" i="7"/>
  <c r="AF55" i="7"/>
  <c r="AE55" i="7"/>
  <c r="AD55" i="7"/>
  <c r="AB55" i="7"/>
  <c r="AA55" i="7"/>
  <c r="Z55" i="7"/>
  <c r="Y55" i="7"/>
  <c r="X55" i="7"/>
  <c r="W55" i="7"/>
  <c r="V55" i="7"/>
  <c r="U55" i="7"/>
  <c r="S55" i="7"/>
  <c r="R55" i="7"/>
  <c r="Q55" i="7"/>
  <c r="P55" i="7"/>
  <c r="O55" i="7"/>
  <c r="N55" i="7"/>
  <c r="M55" i="7"/>
  <c r="L55" i="7"/>
  <c r="G55" i="7"/>
  <c r="D80" i="1"/>
  <c r="E80" i="1"/>
  <c r="F55" i="7"/>
  <c r="E55" i="7"/>
  <c r="D55" i="7"/>
  <c r="B80" i="1"/>
  <c r="C55" i="7"/>
  <c r="B55" i="7"/>
  <c r="AK54" i="7"/>
  <c r="AJ54" i="7"/>
  <c r="AI54" i="7"/>
  <c r="AH54" i="7"/>
  <c r="AG54" i="7"/>
  <c r="AF54" i="7"/>
  <c r="AE54" i="7"/>
  <c r="AD54" i="7"/>
  <c r="G43" i="7"/>
  <c r="AB54" i="7"/>
  <c r="AA54" i="7"/>
  <c r="D68" i="1"/>
  <c r="E68" i="1"/>
  <c r="F43" i="7"/>
  <c r="Z54" i="7"/>
  <c r="E43" i="7"/>
  <c r="Y54" i="7"/>
  <c r="D43" i="7"/>
  <c r="X54" i="7"/>
  <c r="B68" i="1"/>
  <c r="C43" i="7"/>
  <c r="W54" i="7"/>
  <c r="B43" i="7"/>
  <c r="V54" i="7"/>
  <c r="U54" i="7"/>
  <c r="G11" i="7"/>
  <c r="S54" i="7"/>
  <c r="R54" i="7"/>
  <c r="D12" i="1"/>
  <c r="E12" i="1"/>
  <c r="F11" i="7"/>
  <c r="Q54" i="7"/>
  <c r="E11" i="7"/>
  <c r="P54" i="7"/>
  <c r="D11" i="7"/>
  <c r="O54" i="7"/>
  <c r="B12" i="1"/>
  <c r="C11" i="7"/>
  <c r="N54" i="7"/>
  <c r="B11" i="7"/>
  <c r="M54" i="7"/>
  <c r="L54" i="7"/>
  <c r="G54" i="7"/>
  <c r="D79" i="1"/>
  <c r="E79" i="1"/>
  <c r="F54" i="7"/>
  <c r="E54" i="7"/>
  <c r="D54" i="7"/>
  <c r="B79" i="1"/>
  <c r="C54" i="7"/>
  <c r="B54" i="7"/>
  <c r="G26" i="7"/>
  <c r="AK53" i="7"/>
  <c r="AJ53" i="7"/>
  <c r="D27" i="1"/>
  <c r="E27" i="1"/>
  <c r="F26" i="7"/>
  <c r="AI53" i="7"/>
  <c r="E26" i="7"/>
  <c r="AH53" i="7"/>
  <c r="D26" i="7"/>
  <c r="AG53" i="7"/>
  <c r="B27" i="1"/>
  <c r="C26" i="7"/>
  <c r="AF53" i="7"/>
  <c r="B26" i="7"/>
  <c r="AE53" i="7"/>
  <c r="AD53" i="7"/>
  <c r="AB53" i="7"/>
  <c r="AA53" i="7"/>
  <c r="Z53" i="7"/>
  <c r="Y53" i="7"/>
  <c r="X53" i="7"/>
  <c r="W53" i="7"/>
  <c r="V53" i="7"/>
  <c r="U53" i="7"/>
  <c r="S53" i="7"/>
  <c r="R53" i="7"/>
  <c r="Q53" i="7"/>
  <c r="P53" i="7"/>
  <c r="O53" i="7"/>
  <c r="N53" i="7"/>
  <c r="M53" i="7"/>
  <c r="L53" i="7"/>
  <c r="G53" i="7"/>
  <c r="D78" i="1"/>
  <c r="E78" i="1"/>
  <c r="F53" i="7"/>
  <c r="E53" i="7"/>
  <c r="D53" i="7"/>
  <c r="B78" i="1"/>
  <c r="C53" i="7"/>
  <c r="B53" i="7"/>
  <c r="AK52" i="7"/>
  <c r="AJ52" i="7"/>
  <c r="AI52" i="7"/>
  <c r="AH52" i="7"/>
  <c r="AG52" i="7"/>
  <c r="AF52" i="7"/>
  <c r="AE52" i="7"/>
  <c r="AD52" i="7"/>
  <c r="AB52" i="7"/>
  <c r="AA52" i="7"/>
  <c r="Z52" i="7"/>
  <c r="Y52" i="7"/>
  <c r="X52" i="7"/>
  <c r="W52" i="7"/>
  <c r="V52" i="7"/>
  <c r="U52" i="7"/>
  <c r="S52" i="7"/>
  <c r="R52" i="7"/>
  <c r="Q52" i="7"/>
  <c r="P52" i="7"/>
  <c r="O52" i="7"/>
  <c r="N52" i="7"/>
  <c r="M52" i="7"/>
  <c r="L52" i="7"/>
  <c r="G52" i="7"/>
  <c r="D77" i="1"/>
  <c r="E77" i="1"/>
  <c r="F52" i="7"/>
  <c r="E52" i="7"/>
  <c r="D52" i="7"/>
  <c r="B77" i="1"/>
  <c r="C52" i="7"/>
  <c r="B52" i="7"/>
  <c r="AK51" i="7"/>
  <c r="AJ51" i="7"/>
  <c r="AI51" i="7"/>
  <c r="AH51" i="7"/>
  <c r="AG51" i="7"/>
  <c r="AF51" i="7"/>
  <c r="AE51" i="7"/>
  <c r="AD51" i="7"/>
  <c r="AB51" i="7"/>
  <c r="AA51" i="7"/>
  <c r="Z51" i="7"/>
  <c r="Y51" i="7"/>
  <c r="X51" i="7"/>
  <c r="W51" i="7"/>
  <c r="V51" i="7"/>
  <c r="U51" i="7"/>
  <c r="S51" i="7"/>
  <c r="R51" i="7"/>
  <c r="Q51" i="7"/>
  <c r="P51" i="7"/>
  <c r="O51" i="7"/>
  <c r="N51" i="7"/>
  <c r="M51" i="7"/>
  <c r="L51" i="7"/>
  <c r="G51" i="7"/>
  <c r="D76" i="1"/>
  <c r="E76" i="1"/>
  <c r="F51" i="7"/>
  <c r="E51" i="7"/>
  <c r="D51" i="7"/>
  <c r="B76" i="1"/>
  <c r="C51" i="7"/>
  <c r="B51" i="7"/>
  <c r="AK50" i="7"/>
  <c r="AJ50" i="7"/>
  <c r="AI50" i="7"/>
  <c r="AH50" i="7"/>
  <c r="AG50" i="7"/>
  <c r="AF50" i="7"/>
  <c r="AE50" i="7"/>
  <c r="AD50" i="7"/>
  <c r="AB50" i="7"/>
  <c r="AA50" i="7"/>
  <c r="Z50" i="7"/>
  <c r="Y50" i="7"/>
  <c r="X50" i="7"/>
  <c r="W50" i="7"/>
  <c r="V50" i="7"/>
  <c r="U50" i="7"/>
  <c r="S50" i="7"/>
  <c r="R50" i="7"/>
  <c r="Q50" i="7"/>
  <c r="P50" i="7"/>
  <c r="O50" i="7"/>
  <c r="N50" i="7"/>
  <c r="M50" i="7"/>
  <c r="L50" i="7"/>
  <c r="G50" i="7"/>
  <c r="D75" i="1"/>
  <c r="E75" i="1"/>
  <c r="F50" i="7"/>
  <c r="E50" i="7"/>
  <c r="D50" i="7"/>
  <c r="B75" i="1"/>
  <c r="C50" i="7"/>
  <c r="B50" i="7"/>
  <c r="AK49" i="7"/>
  <c r="AJ49" i="7"/>
  <c r="AI49" i="7"/>
  <c r="AH49" i="7"/>
  <c r="AG49" i="7"/>
  <c r="AF49" i="7"/>
  <c r="AE49" i="7"/>
  <c r="AD49" i="7"/>
  <c r="AB49" i="7"/>
  <c r="AA49" i="7"/>
  <c r="Z49" i="7"/>
  <c r="Y49" i="7"/>
  <c r="X49" i="7"/>
  <c r="W49" i="7"/>
  <c r="V49" i="7"/>
  <c r="U49" i="7"/>
  <c r="S49" i="7"/>
  <c r="R49" i="7"/>
  <c r="Q49" i="7"/>
  <c r="P49" i="7"/>
  <c r="O49" i="7"/>
  <c r="N49" i="7"/>
  <c r="M49" i="7"/>
  <c r="L49" i="7"/>
  <c r="G49" i="7"/>
  <c r="D74" i="1"/>
  <c r="E74" i="1"/>
  <c r="F49" i="7"/>
  <c r="E49" i="7"/>
  <c r="D49" i="7"/>
  <c r="B74" i="1"/>
  <c r="C49" i="7"/>
  <c r="B49" i="7"/>
  <c r="AK48" i="7"/>
  <c r="AJ48" i="7"/>
  <c r="AI48" i="7"/>
  <c r="AH48" i="7"/>
  <c r="AG48" i="7"/>
  <c r="AF48" i="7"/>
  <c r="AE48" i="7"/>
  <c r="AD48" i="7"/>
  <c r="G18" i="7"/>
  <c r="AB48" i="7"/>
  <c r="AA48" i="7"/>
  <c r="D19" i="1"/>
  <c r="E19" i="1"/>
  <c r="F18" i="7"/>
  <c r="Z48" i="7"/>
  <c r="E18" i="7"/>
  <c r="Y48" i="7"/>
  <c r="D18" i="7"/>
  <c r="X48" i="7"/>
  <c r="B19" i="1"/>
  <c r="C18" i="7"/>
  <c r="W48" i="7"/>
  <c r="B18" i="7"/>
  <c r="V48" i="7"/>
  <c r="U48" i="7"/>
  <c r="S48" i="7"/>
  <c r="R48" i="7"/>
  <c r="Q48" i="7"/>
  <c r="P48" i="7"/>
  <c r="O48" i="7"/>
  <c r="N48" i="7"/>
  <c r="M48" i="7"/>
  <c r="L48" i="7"/>
  <c r="AK47" i="7"/>
  <c r="AJ47" i="7"/>
  <c r="AI47" i="7"/>
  <c r="AH47" i="7"/>
  <c r="AG47" i="7"/>
  <c r="AF47" i="7"/>
  <c r="AE47" i="7"/>
  <c r="AD47" i="7"/>
  <c r="G42" i="7"/>
  <c r="AB47" i="7"/>
  <c r="AA47" i="7"/>
  <c r="D67" i="1"/>
  <c r="E67" i="1"/>
  <c r="F42" i="7"/>
  <c r="Z47" i="7"/>
  <c r="E42" i="7"/>
  <c r="Y47" i="7"/>
  <c r="D42" i="7"/>
  <c r="X47" i="7"/>
  <c r="B67" i="1"/>
  <c r="C42" i="7"/>
  <c r="W47" i="7"/>
  <c r="B42" i="7"/>
  <c r="V47" i="7"/>
  <c r="U47" i="7"/>
  <c r="G37" i="7"/>
  <c r="S47" i="7"/>
  <c r="R47" i="7"/>
  <c r="D60" i="1"/>
  <c r="E60" i="1"/>
  <c r="F37" i="7"/>
  <c r="Q47" i="7"/>
  <c r="E37" i="7"/>
  <c r="P47" i="7"/>
  <c r="D37" i="7"/>
  <c r="O47" i="7"/>
  <c r="B60" i="1"/>
  <c r="C37" i="7"/>
  <c r="N47" i="7"/>
  <c r="B37" i="7"/>
  <c r="M47" i="7"/>
  <c r="L47" i="7"/>
  <c r="AK46" i="7"/>
  <c r="AJ46" i="7"/>
  <c r="AI46" i="7"/>
  <c r="AH46" i="7"/>
  <c r="AG46" i="7"/>
  <c r="AF46" i="7"/>
  <c r="AE46" i="7"/>
  <c r="AD46" i="7"/>
  <c r="AB46" i="7"/>
  <c r="AA46" i="7"/>
  <c r="Z46" i="7"/>
  <c r="Y46" i="7"/>
  <c r="X46" i="7"/>
  <c r="W46" i="7"/>
  <c r="V46" i="7"/>
  <c r="U46" i="7"/>
  <c r="S46" i="7"/>
  <c r="R46" i="7"/>
  <c r="Q46" i="7"/>
  <c r="P46" i="7"/>
  <c r="O46" i="7"/>
  <c r="N46" i="7"/>
  <c r="M46" i="7"/>
  <c r="L46" i="7"/>
  <c r="AK45" i="7"/>
  <c r="AJ45" i="7"/>
  <c r="AI45" i="7"/>
  <c r="AH45" i="7"/>
  <c r="AG45" i="7"/>
  <c r="AF45" i="7"/>
  <c r="AE45" i="7"/>
  <c r="AD45" i="7"/>
  <c r="AB45" i="7"/>
  <c r="AA45" i="7"/>
  <c r="Z45" i="7"/>
  <c r="Y45" i="7"/>
  <c r="X45" i="7"/>
  <c r="W45" i="7"/>
  <c r="V45" i="7"/>
  <c r="U45" i="7"/>
  <c r="S45" i="7"/>
  <c r="R45" i="7"/>
  <c r="Q45" i="7"/>
  <c r="P45" i="7"/>
  <c r="O45" i="7"/>
  <c r="N45" i="7"/>
  <c r="M45" i="7"/>
  <c r="L45" i="7"/>
  <c r="AK44" i="7"/>
  <c r="AJ44" i="7"/>
  <c r="AI44" i="7"/>
  <c r="AH44" i="7"/>
  <c r="AG44" i="7"/>
  <c r="AF44" i="7"/>
  <c r="AE44" i="7"/>
  <c r="AD44" i="7"/>
  <c r="AB44" i="7"/>
  <c r="AA44" i="7"/>
  <c r="Z44" i="7"/>
  <c r="Y44" i="7"/>
  <c r="X44" i="7"/>
  <c r="W44" i="7"/>
  <c r="V44" i="7"/>
  <c r="U44" i="7"/>
  <c r="S44" i="7"/>
  <c r="R44" i="7"/>
  <c r="Q44" i="7"/>
  <c r="P44" i="7"/>
  <c r="O44" i="7"/>
  <c r="N44" i="7"/>
  <c r="M44" i="7"/>
  <c r="L44" i="7"/>
  <c r="AK43" i="7"/>
  <c r="AJ43" i="7"/>
  <c r="AI43" i="7"/>
  <c r="AH43" i="7"/>
  <c r="AG43" i="7"/>
  <c r="AF43" i="7"/>
  <c r="AE43" i="7"/>
  <c r="AD43" i="7"/>
  <c r="AB43" i="7"/>
  <c r="AA43" i="7"/>
  <c r="Z43" i="7"/>
  <c r="Y43" i="7"/>
  <c r="X43" i="7"/>
  <c r="W43" i="7"/>
  <c r="V43" i="7"/>
  <c r="U43" i="7"/>
  <c r="S43" i="7"/>
  <c r="R43" i="7"/>
  <c r="Q43" i="7"/>
  <c r="P43" i="7"/>
  <c r="O43" i="7"/>
  <c r="N43" i="7"/>
  <c r="M43" i="7"/>
  <c r="L43" i="7"/>
  <c r="AK42" i="7"/>
  <c r="AJ42" i="7"/>
  <c r="AI42" i="7"/>
  <c r="AH42" i="7"/>
  <c r="AG42" i="7"/>
  <c r="AF42" i="7"/>
  <c r="AE42" i="7"/>
  <c r="AD42" i="7"/>
  <c r="AB42" i="7"/>
  <c r="AA42" i="7"/>
  <c r="Z42" i="7"/>
  <c r="Y42" i="7"/>
  <c r="X42" i="7"/>
  <c r="W42" i="7"/>
  <c r="V42" i="7"/>
  <c r="U42" i="7"/>
  <c r="G10" i="7"/>
  <c r="S42" i="7"/>
  <c r="R42" i="7"/>
  <c r="D11" i="1"/>
  <c r="E11" i="1"/>
  <c r="F10" i="7"/>
  <c r="Q42" i="7"/>
  <c r="E10" i="7"/>
  <c r="P42" i="7"/>
  <c r="D10" i="7"/>
  <c r="O42" i="7"/>
  <c r="B11" i="1"/>
  <c r="C10" i="7"/>
  <c r="N42" i="7"/>
  <c r="B10" i="7"/>
  <c r="M42" i="7"/>
  <c r="L42" i="7"/>
  <c r="AK41" i="7"/>
  <c r="AJ41" i="7"/>
  <c r="AI41" i="7"/>
  <c r="AH41" i="7"/>
  <c r="AG41" i="7"/>
  <c r="AF41" i="7"/>
  <c r="AE41" i="7"/>
  <c r="AD41" i="7"/>
  <c r="AB41" i="7"/>
  <c r="AA41" i="7"/>
  <c r="Z41" i="7"/>
  <c r="Y41" i="7"/>
  <c r="X41" i="7"/>
  <c r="W41" i="7"/>
  <c r="V41" i="7"/>
  <c r="U41" i="7"/>
  <c r="S41" i="7"/>
  <c r="R41" i="7"/>
  <c r="Q41" i="7"/>
  <c r="P41" i="7"/>
  <c r="O41" i="7"/>
  <c r="N41" i="7"/>
  <c r="M41" i="7"/>
  <c r="L41" i="7"/>
  <c r="G41" i="7"/>
  <c r="D64" i="1"/>
  <c r="E64" i="1"/>
  <c r="F41" i="7"/>
  <c r="E41" i="7"/>
  <c r="D41" i="7"/>
  <c r="B64" i="1"/>
  <c r="C41" i="7"/>
  <c r="B41" i="7"/>
  <c r="AK40" i="7"/>
  <c r="AJ40" i="7"/>
  <c r="AI40" i="7"/>
  <c r="AH40" i="7"/>
  <c r="AG40" i="7"/>
  <c r="AF40" i="7"/>
  <c r="AE40" i="7"/>
  <c r="AD40" i="7"/>
  <c r="AB40" i="7"/>
  <c r="AA40" i="7"/>
  <c r="Z40" i="7"/>
  <c r="Y40" i="7"/>
  <c r="X40" i="7"/>
  <c r="W40" i="7"/>
  <c r="V40" i="7"/>
  <c r="U40" i="7"/>
  <c r="G9" i="7"/>
  <c r="S40" i="7"/>
  <c r="R40" i="7"/>
  <c r="D10" i="1"/>
  <c r="E10" i="1"/>
  <c r="F9" i="7"/>
  <c r="Q40" i="7"/>
  <c r="E9" i="7"/>
  <c r="P40" i="7"/>
  <c r="D9" i="7"/>
  <c r="O40" i="7"/>
  <c r="B10" i="1"/>
  <c r="C9" i="7"/>
  <c r="N40" i="7"/>
  <c r="B9" i="7"/>
  <c r="M40" i="7"/>
  <c r="L40" i="7"/>
  <c r="G25" i="7"/>
  <c r="AK39" i="7"/>
  <c r="AJ39" i="7"/>
  <c r="D26" i="1"/>
  <c r="E26" i="1"/>
  <c r="F25" i="7"/>
  <c r="AI39" i="7"/>
  <c r="E25" i="7"/>
  <c r="AH39" i="7"/>
  <c r="D25" i="7"/>
  <c r="AG39" i="7"/>
  <c r="B26" i="1"/>
  <c r="C25" i="7"/>
  <c r="AF39" i="7"/>
  <c r="B25" i="7"/>
  <c r="AE39" i="7"/>
  <c r="AD39" i="7"/>
  <c r="AB39" i="7"/>
  <c r="AA39" i="7"/>
  <c r="Z39" i="7"/>
  <c r="Y39" i="7"/>
  <c r="X39" i="7"/>
  <c r="W39" i="7"/>
  <c r="V39" i="7"/>
  <c r="U39" i="7"/>
  <c r="G8" i="7"/>
  <c r="S39" i="7"/>
  <c r="R39" i="7"/>
  <c r="D9" i="1"/>
  <c r="E9" i="1"/>
  <c r="F8" i="7"/>
  <c r="Q39" i="7"/>
  <c r="E8" i="7"/>
  <c r="P39" i="7"/>
  <c r="D8" i="7"/>
  <c r="O39" i="7"/>
  <c r="B9" i="1"/>
  <c r="C8" i="7"/>
  <c r="N39" i="7"/>
  <c r="B8" i="7"/>
  <c r="M39" i="7"/>
  <c r="L39" i="7"/>
  <c r="AK38" i="7"/>
  <c r="AJ38" i="7"/>
  <c r="AI38" i="7"/>
  <c r="AH38" i="7"/>
  <c r="AG38" i="7"/>
  <c r="AF38" i="7"/>
  <c r="AE38" i="7"/>
  <c r="AD38" i="7"/>
  <c r="AB38" i="7"/>
  <c r="AA38" i="7"/>
  <c r="Z38" i="7"/>
  <c r="Y38" i="7"/>
  <c r="X38" i="7"/>
  <c r="W38" i="7"/>
  <c r="V38" i="7"/>
  <c r="U38" i="7"/>
  <c r="S38" i="7"/>
  <c r="R38" i="7"/>
  <c r="Q38" i="7"/>
  <c r="P38" i="7"/>
  <c r="O38" i="7"/>
  <c r="N38" i="7"/>
  <c r="M38" i="7"/>
  <c r="L38" i="7"/>
  <c r="AK37" i="7"/>
  <c r="AJ37" i="7"/>
  <c r="AI37" i="7"/>
  <c r="AH37" i="7"/>
  <c r="AG37" i="7"/>
  <c r="AF37" i="7"/>
  <c r="AE37" i="7"/>
  <c r="AD37" i="7"/>
  <c r="AB37" i="7"/>
  <c r="AA37" i="7"/>
  <c r="Z37" i="7"/>
  <c r="Y37" i="7"/>
  <c r="X37" i="7"/>
  <c r="W37" i="7"/>
  <c r="V37" i="7"/>
  <c r="U37" i="7"/>
  <c r="S37" i="7"/>
  <c r="R37" i="7"/>
  <c r="Q37" i="7"/>
  <c r="P37" i="7"/>
  <c r="O37" i="7"/>
  <c r="N37" i="7"/>
  <c r="M37" i="7"/>
  <c r="L37" i="7"/>
  <c r="AK36" i="7"/>
  <c r="AJ36" i="7"/>
  <c r="AI36" i="7"/>
  <c r="AH36" i="7"/>
  <c r="AG36" i="7"/>
  <c r="AF36" i="7"/>
  <c r="AE36" i="7"/>
  <c r="AD36" i="7"/>
  <c r="AB36" i="7"/>
  <c r="AA36" i="7"/>
  <c r="Z36" i="7"/>
  <c r="Y36" i="7"/>
  <c r="X36" i="7"/>
  <c r="W36" i="7"/>
  <c r="V36" i="7"/>
  <c r="U36" i="7"/>
  <c r="S36" i="7"/>
  <c r="R36" i="7"/>
  <c r="Q36" i="7"/>
  <c r="P36" i="7"/>
  <c r="O36" i="7"/>
  <c r="N36" i="7"/>
  <c r="M36" i="7"/>
  <c r="L36" i="7"/>
  <c r="G36" i="7"/>
  <c r="D59" i="1"/>
  <c r="E59" i="1"/>
  <c r="F36" i="7"/>
  <c r="E36" i="7"/>
  <c r="D36" i="7"/>
  <c r="B59" i="1"/>
  <c r="C36" i="7"/>
  <c r="B36" i="7"/>
  <c r="AK35" i="7"/>
  <c r="AJ35" i="7"/>
  <c r="AI35" i="7"/>
  <c r="AH35" i="7"/>
  <c r="AG35" i="7"/>
  <c r="AF35" i="7"/>
  <c r="AE35" i="7"/>
  <c r="AD35" i="7"/>
  <c r="AB35" i="7"/>
  <c r="AA35" i="7"/>
  <c r="Z35" i="7"/>
  <c r="Y35" i="7"/>
  <c r="X35" i="7"/>
  <c r="W35" i="7"/>
  <c r="V35" i="7"/>
  <c r="U35" i="7"/>
  <c r="S35" i="7"/>
  <c r="R35" i="7"/>
  <c r="Q35" i="7"/>
  <c r="P35" i="7"/>
  <c r="O35" i="7"/>
  <c r="N35" i="7"/>
  <c r="M35" i="7"/>
  <c r="L35" i="7"/>
  <c r="G35" i="7"/>
  <c r="D58" i="1"/>
  <c r="E58" i="1"/>
  <c r="F35" i="7"/>
  <c r="E35" i="7"/>
  <c r="D35" i="7"/>
  <c r="B58" i="1"/>
  <c r="C35" i="7"/>
  <c r="B35" i="7"/>
  <c r="AK34" i="7"/>
  <c r="AJ34" i="7"/>
  <c r="AI34" i="7"/>
  <c r="AH34" i="7"/>
  <c r="AG34" i="7"/>
  <c r="AF34" i="7"/>
  <c r="AE34" i="7"/>
  <c r="AD34" i="7"/>
  <c r="AB34" i="7"/>
  <c r="AA34" i="7"/>
  <c r="Z34" i="7"/>
  <c r="Y34" i="7"/>
  <c r="X34" i="7"/>
  <c r="W34" i="7"/>
  <c r="V34" i="7"/>
  <c r="U34" i="7"/>
  <c r="S34" i="7"/>
  <c r="R34" i="7"/>
  <c r="Q34" i="7"/>
  <c r="P34" i="7"/>
  <c r="O34" i="7"/>
  <c r="N34" i="7"/>
  <c r="M34" i="7"/>
  <c r="L34" i="7"/>
  <c r="G34" i="7"/>
  <c r="D57" i="1"/>
  <c r="E57" i="1"/>
  <c r="F34" i="7"/>
  <c r="E34" i="7"/>
  <c r="D34" i="7"/>
  <c r="B57" i="1"/>
  <c r="C34" i="7"/>
  <c r="B34" i="7"/>
  <c r="AK33" i="7"/>
  <c r="AJ33" i="7"/>
  <c r="AI33" i="7"/>
  <c r="AH33" i="7"/>
  <c r="AG33" i="7"/>
  <c r="AF33" i="7"/>
  <c r="AE33" i="7"/>
  <c r="AD33" i="7"/>
  <c r="AB33" i="7"/>
  <c r="AA33" i="7"/>
  <c r="Z33" i="7"/>
  <c r="Y33" i="7"/>
  <c r="X33" i="7"/>
  <c r="W33" i="7"/>
  <c r="V33" i="7"/>
  <c r="U33" i="7"/>
  <c r="G7" i="7"/>
  <c r="S33" i="7"/>
  <c r="R33" i="7"/>
  <c r="D8" i="1"/>
  <c r="E8" i="1"/>
  <c r="F7" i="7"/>
  <c r="Q33" i="7"/>
  <c r="E7" i="7"/>
  <c r="P33" i="7"/>
  <c r="D7" i="7"/>
  <c r="O33" i="7"/>
  <c r="B8" i="1"/>
  <c r="C7" i="7"/>
  <c r="N33" i="7"/>
  <c r="B7" i="7"/>
  <c r="M33" i="7"/>
  <c r="L33" i="7"/>
  <c r="AK32" i="7"/>
  <c r="AJ32" i="7"/>
  <c r="AI32" i="7"/>
  <c r="AH32" i="7"/>
  <c r="AG32" i="7"/>
  <c r="AF32" i="7"/>
  <c r="AE32" i="7"/>
  <c r="AD32" i="7"/>
  <c r="AB32" i="7"/>
  <c r="AA32" i="7"/>
  <c r="Z32" i="7"/>
  <c r="Y32" i="7"/>
  <c r="X32" i="7"/>
  <c r="W32" i="7"/>
  <c r="V32" i="7"/>
  <c r="U32" i="7"/>
  <c r="S32" i="7"/>
  <c r="R32" i="7"/>
  <c r="Q32" i="7"/>
  <c r="P32" i="7"/>
  <c r="O32" i="7"/>
  <c r="N32" i="7"/>
  <c r="M32" i="7"/>
  <c r="L32" i="7"/>
  <c r="AK31" i="7"/>
  <c r="AJ31" i="7"/>
  <c r="AI31" i="7"/>
  <c r="AH31" i="7"/>
  <c r="AG31" i="7"/>
  <c r="AF31" i="7"/>
  <c r="AE31" i="7"/>
  <c r="AD31" i="7"/>
  <c r="AB31" i="7"/>
  <c r="AA31" i="7"/>
  <c r="Z31" i="7"/>
  <c r="Y31" i="7"/>
  <c r="X31" i="7"/>
  <c r="W31" i="7"/>
  <c r="V31" i="7"/>
  <c r="U31" i="7"/>
  <c r="S31" i="7"/>
  <c r="R31" i="7"/>
  <c r="Q31" i="7"/>
  <c r="P31" i="7"/>
  <c r="O31" i="7"/>
  <c r="N31" i="7"/>
  <c r="M31" i="7"/>
  <c r="L31" i="7"/>
  <c r="G31" i="7"/>
  <c r="D32" i="1"/>
  <c r="E32" i="1"/>
  <c r="F31" i="7"/>
  <c r="E31" i="7"/>
  <c r="D31" i="7"/>
  <c r="B32" i="1"/>
  <c r="C31" i="7"/>
  <c r="B31" i="7"/>
  <c r="AK30" i="7"/>
  <c r="AJ30" i="7"/>
  <c r="AI30" i="7"/>
  <c r="AH30" i="7"/>
  <c r="AG30" i="7"/>
  <c r="AF30" i="7"/>
  <c r="AE30" i="7"/>
  <c r="AD30" i="7"/>
  <c r="AB30" i="7"/>
  <c r="AA30" i="7"/>
  <c r="Z30" i="7"/>
  <c r="Y30" i="7"/>
  <c r="X30" i="7"/>
  <c r="W30" i="7"/>
  <c r="V30" i="7"/>
  <c r="U30" i="7"/>
  <c r="S30" i="7"/>
  <c r="R30" i="7"/>
  <c r="Q30" i="7"/>
  <c r="P30" i="7"/>
  <c r="O30" i="7"/>
  <c r="N30" i="7"/>
  <c r="M30" i="7"/>
  <c r="L30" i="7"/>
  <c r="G30" i="7"/>
  <c r="D31" i="1"/>
  <c r="E31" i="1"/>
  <c r="F30" i="7"/>
  <c r="E30" i="7"/>
  <c r="D30" i="7"/>
  <c r="B31" i="1"/>
  <c r="C30" i="7"/>
  <c r="B30" i="7"/>
  <c r="G24" i="7"/>
  <c r="AK29" i="7"/>
  <c r="AJ29" i="7"/>
  <c r="D25" i="1"/>
  <c r="E25" i="1"/>
  <c r="F24" i="7"/>
  <c r="AI29" i="7"/>
  <c r="E24" i="7"/>
  <c r="AH29" i="7"/>
  <c r="D24" i="7"/>
  <c r="AG29" i="7"/>
  <c r="B25" i="1"/>
  <c r="C24" i="7"/>
  <c r="AF29" i="7"/>
  <c r="B24" i="7"/>
  <c r="AE29" i="7"/>
  <c r="AD29" i="7"/>
  <c r="AB29" i="7"/>
  <c r="AA29" i="7"/>
  <c r="Z29" i="7"/>
  <c r="Y29" i="7"/>
  <c r="X29" i="7"/>
  <c r="W29" i="7"/>
  <c r="V29" i="7"/>
  <c r="U29" i="7"/>
  <c r="S29" i="7"/>
  <c r="R29" i="7"/>
  <c r="Q29" i="7"/>
  <c r="P29" i="7"/>
  <c r="O29" i="7"/>
  <c r="N29" i="7"/>
  <c r="M29" i="7"/>
  <c r="L29" i="7"/>
  <c r="G29" i="7"/>
  <c r="D30" i="1"/>
  <c r="E30" i="1"/>
  <c r="F29" i="7"/>
  <c r="E29" i="7"/>
  <c r="D29" i="7"/>
  <c r="B30" i="1"/>
  <c r="C29" i="7"/>
  <c r="B29" i="7"/>
  <c r="AK28" i="7"/>
  <c r="AJ28" i="7"/>
  <c r="AI28" i="7"/>
  <c r="AH28" i="7"/>
  <c r="AG28" i="7"/>
  <c r="AF28" i="7"/>
  <c r="AE28" i="7"/>
  <c r="AD28" i="7"/>
  <c r="AB28" i="7"/>
  <c r="AA28" i="7"/>
  <c r="Z28" i="7"/>
  <c r="Y28" i="7"/>
  <c r="X28" i="7"/>
  <c r="W28" i="7"/>
  <c r="V28" i="7"/>
  <c r="U28" i="7"/>
  <c r="G6" i="7"/>
  <c r="S28" i="7"/>
  <c r="R28" i="7"/>
  <c r="D7" i="1"/>
  <c r="E7" i="1"/>
  <c r="F6" i="7"/>
  <c r="Q28" i="7"/>
  <c r="E6" i="7"/>
  <c r="P28" i="7"/>
  <c r="D6" i="7"/>
  <c r="O28" i="7"/>
  <c r="B7" i="1"/>
  <c r="C6" i="7"/>
  <c r="N28" i="7"/>
  <c r="B6" i="7"/>
  <c r="M28" i="7"/>
  <c r="L28" i="7"/>
  <c r="AK27" i="7"/>
  <c r="AJ27" i="7"/>
  <c r="AI27" i="7"/>
  <c r="AH27" i="7"/>
  <c r="AG27" i="7"/>
  <c r="AF27" i="7"/>
  <c r="AE27" i="7"/>
  <c r="AD27" i="7"/>
  <c r="AB27" i="7"/>
  <c r="AA27" i="7"/>
  <c r="Z27" i="7"/>
  <c r="Y27" i="7"/>
  <c r="X27" i="7"/>
  <c r="W27" i="7"/>
  <c r="V27" i="7"/>
  <c r="U27" i="7"/>
  <c r="S27" i="7"/>
  <c r="R27" i="7"/>
  <c r="Q27" i="7"/>
  <c r="P27" i="7"/>
  <c r="O27" i="7"/>
  <c r="N27" i="7"/>
  <c r="M27" i="7"/>
  <c r="L27" i="7"/>
  <c r="AK26" i="7"/>
  <c r="AJ26" i="7"/>
  <c r="AI26" i="7"/>
  <c r="AH26" i="7"/>
  <c r="AG26" i="7"/>
  <c r="AF26" i="7"/>
  <c r="AE26" i="7"/>
  <c r="AD26" i="7"/>
  <c r="AB26" i="7"/>
  <c r="AA26" i="7"/>
  <c r="Z26" i="7"/>
  <c r="Y26" i="7"/>
  <c r="X26" i="7"/>
  <c r="W26" i="7"/>
  <c r="V26" i="7"/>
  <c r="U26" i="7"/>
  <c r="S26" i="7"/>
  <c r="R26" i="7"/>
  <c r="Q26" i="7"/>
  <c r="P26" i="7"/>
  <c r="O26" i="7"/>
  <c r="N26" i="7"/>
  <c r="M26" i="7"/>
  <c r="L26" i="7"/>
  <c r="AK25" i="7"/>
  <c r="AJ25" i="7"/>
  <c r="AI25" i="7"/>
  <c r="AH25" i="7"/>
  <c r="AG25" i="7"/>
  <c r="AF25" i="7"/>
  <c r="AE25" i="7"/>
  <c r="AD25" i="7"/>
  <c r="AB25" i="7"/>
  <c r="AA25" i="7"/>
  <c r="Z25" i="7"/>
  <c r="Y25" i="7"/>
  <c r="X25" i="7"/>
  <c r="W25" i="7"/>
  <c r="V25" i="7"/>
  <c r="U25" i="7"/>
  <c r="S25" i="7"/>
  <c r="R25" i="7"/>
  <c r="Q25" i="7"/>
  <c r="P25" i="7"/>
  <c r="O25" i="7"/>
  <c r="N25" i="7"/>
  <c r="M25" i="7"/>
  <c r="L25" i="7"/>
  <c r="AK24" i="7"/>
  <c r="AJ24" i="7"/>
  <c r="AI24" i="7"/>
  <c r="AH24" i="7"/>
  <c r="AG24" i="7"/>
  <c r="AF24" i="7"/>
  <c r="AE24" i="7"/>
  <c r="AD24" i="7"/>
  <c r="AB24" i="7"/>
  <c r="AA24" i="7"/>
  <c r="Z24" i="7"/>
  <c r="Y24" i="7"/>
  <c r="X24" i="7"/>
  <c r="W24" i="7"/>
  <c r="V24" i="7"/>
  <c r="U24" i="7"/>
  <c r="S24" i="7"/>
  <c r="R24" i="7"/>
  <c r="Q24" i="7"/>
  <c r="P24" i="7"/>
  <c r="O24" i="7"/>
  <c r="N24" i="7"/>
  <c r="M24" i="7"/>
  <c r="L24" i="7"/>
  <c r="AK23" i="7"/>
  <c r="AJ23" i="7"/>
  <c r="AI23" i="7"/>
  <c r="AH23" i="7"/>
  <c r="AG23" i="7"/>
  <c r="AF23" i="7"/>
  <c r="AE23" i="7"/>
  <c r="AD23" i="7"/>
  <c r="G17" i="7"/>
  <c r="AB23" i="7"/>
  <c r="AA23" i="7"/>
  <c r="D18" i="1"/>
  <c r="E18" i="1"/>
  <c r="F17" i="7"/>
  <c r="Z23" i="7"/>
  <c r="E17" i="7"/>
  <c r="Y23" i="7"/>
  <c r="D17" i="7"/>
  <c r="X23" i="7"/>
  <c r="B18" i="1"/>
  <c r="C17" i="7"/>
  <c r="W23" i="7"/>
  <c r="B17" i="7"/>
  <c r="V23" i="7"/>
  <c r="U23" i="7"/>
  <c r="S23" i="7"/>
  <c r="R23" i="7"/>
  <c r="Q23" i="7"/>
  <c r="P23" i="7"/>
  <c r="O23" i="7"/>
  <c r="N23" i="7"/>
  <c r="M23" i="7"/>
  <c r="L23" i="7"/>
  <c r="G23" i="7"/>
  <c r="D24" i="1"/>
  <c r="E24" i="1"/>
  <c r="F23" i="7"/>
  <c r="E23" i="7"/>
  <c r="D23" i="7"/>
  <c r="B24" i="1"/>
  <c r="C23" i="7"/>
  <c r="B23" i="7"/>
  <c r="AK22" i="7"/>
  <c r="AJ22" i="7"/>
  <c r="AI22" i="7"/>
  <c r="AH22" i="7"/>
  <c r="AG22" i="7"/>
  <c r="AF22" i="7"/>
  <c r="AE22" i="7"/>
  <c r="AD22" i="7"/>
  <c r="AB22" i="7"/>
  <c r="AA22" i="7"/>
  <c r="Z22" i="7"/>
  <c r="Y22" i="7"/>
  <c r="X22" i="7"/>
  <c r="W22" i="7"/>
  <c r="V22" i="7"/>
  <c r="U22" i="7"/>
  <c r="G5" i="7"/>
  <c r="S22" i="7"/>
  <c r="R22" i="7"/>
  <c r="D6" i="1"/>
  <c r="E6" i="1"/>
  <c r="F5" i="7"/>
  <c r="Q22" i="7"/>
  <c r="E5" i="7"/>
  <c r="P22" i="7"/>
  <c r="D5" i="7"/>
  <c r="O22" i="7"/>
  <c r="B6" i="1"/>
  <c r="C5" i="7"/>
  <c r="N22" i="7"/>
  <c r="B5" i="7"/>
  <c r="M22" i="7"/>
  <c r="L22" i="7"/>
  <c r="G22" i="7"/>
  <c r="D23" i="1"/>
  <c r="E23" i="1"/>
  <c r="F22" i="7"/>
  <c r="E22" i="7"/>
  <c r="D22" i="7"/>
  <c r="B23" i="1"/>
  <c r="C22" i="7"/>
  <c r="B22" i="7"/>
  <c r="AK21" i="7"/>
  <c r="AJ21" i="7"/>
  <c r="AI21" i="7"/>
  <c r="AH21" i="7"/>
  <c r="AG21" i="7"/>
  <c r="AF21" i="7"/>
  <c r="AE21" i="7"/>
  <c r="AD21" i="7"/>
  <c r="AB21" i="7"/>
  <c r="AA21" i="7"/>
  <c r="Z21" i="7"/>
  <c r="Y21" i="7"/>
  <c r="X21" i="7"/>
  <c r="W21" i="7"/>
  <c r="V21" i="7"/>
  <c r="U21" i="7"/>
  <c r="S21" i="7"/>
  <c r="R21" i="7"/>
  <c r="Q21" i="7"/>
  <c r="P21" i="7"/>
  <c r="O21" i="7"/>
  <c r="N21" i="7"/>
  <c r="M21" i="7"/>
  <c r="L21" i="7"/>
  <c r="AK20" i="7"/>
  <c r="AJ20" i="7"/>
  <c r="AI20" i="7"/>
  <c r="AH20" i="7"/>
  <c r="AG20" i="7"/>
  <c r="AF20" i="7"/>
  <c r="AE20" i="7"/>
  <c r="AD20" i="7"/>
  <c r="AB20" i="7"/>
  <c r="AA20" i="7"/>
  <c r="Z20" i="7"/>
  <c r="Y20" i="7"/>
  <c r="X20" i="7"/>
  <c r="W20" i="7"/>
  <c r="V20" i="7"/>
  <c r="U20" i="7"/>
  <c r="S20" i="7"/>
  <c r="R20" i="7"/>
  <c r="Q20" i="7"/>
  <c r="P20" i="7"/>
  <c r="O20" i="7"/>
  <c r="N20" i="7"/>
  <c r="M20" i="7"/>
  <c r="L20" i="7"/>
  <c r="AK19" i="7"/>
  <c r="AJ19" i="7"/>
  <c r="AI19" i="7"/>
  <c r="AH19" i="7"/>
  <c r="AG19" i="7"/>
  <c r="AF19" i="7"/>
  <c r="AE19" i="7"/>
  <c r="AD19" i="7"/>
  <c r="AB19" i="7"/>
  <c r="AA19" i="7"/>
  <c r="Z19" i="7"/>
  <c r="Y19" i="7"/>
  <c r="X19" i="7"/>
  <c r="W19" i="7"/>
  <c r="V19" i="7"/>
  <c r="U19" i="7"/>
  <c r="S19" i="7"/>
  <c r="R19" i="7"/>
  <c r="Q19" i="7"/>
  <c r="P19" i="7"/>
  <c r="O19" i="7"/>
  <c r="N19" i="7"/>
  <c r="M19" i="7"/>
  <c r="L19" i="7"/>
  <c r="AK18" i="7"/>
  <c r="AJ18" i="7"/>
  <c r="AI18" i="7"/>
  <c r="AH18" i="7"/>
  <c r="AG18" i="7"/>
  <c r="AF18" i="7"/>
  <c r="AE18" i="7"/>
  <c r="AD18" i="7"/>
  <c r="AB18" i="7"/>
  <c r="AA18" i="7"/>
  <c r="Z18" i="7"/>
  <c r="Y18" i="7"/>
  <c r="X18" i="7"/>
  <c r="W18" i="7"/>
  <c r="V18" i="7"/>
  <c r="U18" i="7"/>
  <c r="S18" i="7"/>
  <c r="R18" i="7"/>
  <c r="Q18" i="7"/>
  <c r="P18" i="7"/>
  <c r="O18" i="7"/>
  <c r="N18" i="7"/>
  <c r="M18" i="7"/>
  <c r="L18" i="7"/>
  <c r="AK17" i="7"/>
  <c r="AJ17" i="7"/>
  <c r="AI17" i="7"/>
  <c r="AH17" i="7"/>
  <c r="AG17" i="7"/>
  <c r="AF17" i="7"/>
  <c r="AE17" i="7"/>
  <c r="AD17" i="7"/>
  <c r="AB17" i="7"/>
  <c r="AA17" i="7"/>
  <c r="Z17" i="7"/>
  <c r="Y17" i="7"/>
  <c r="X17" i="7"/>
  <c r="W17" i="7"/>
  <c r="V17" i="7"/>
  <c r="U17" i="7"/>
  <c r="S17" i="7"/>
  <c r="R17" i="7"/>
  <c r="Q17" i="7"/>
  <c r="P17" i="7"/>
  <c r="O17" i="7"/>
  <c r="N17" i="7"/>
  <c r="M17" i="7"/>
  <c r="L17" i="7"/>
  <c r="AK16" i="7"/>
  <c r="AJ16" i="7"/>
  <c r="AI16" i="7"/>
  <c r="AH16" i="7"/>
  <c r="AG16" i="7"/>
  <c r="AF16" i="7"/>
  <c r="AE16" i="7"/>
  <c r="AD16" i="7"/>
  <c r="AB16" i="7"/>
  <c r="AA16" i="7"/>
  <c r="Z16" i="7"/>
  <c r="Y16" i="7"/>
  <c r="X16" i="7"/>
  <c r="W16" i="7"/>
  <c r="V16" i="7"/>
  <c r="U16" i="7"/>
  <c r="S16" i="7"/>
  <c r="R16" i="7"/>
  <c r="Q16" i="7"/>
  <c r="P16" i="7"/>
  <c r="O16" i="7"/>
  <c r="N16" i="7"/>
  <c r="M16" i="7"/>
  <c r="L16" i="7"/>
  <c r="AK15" i="7"/>
  <c r="AJ15" i="7"/>
  <c r="AI15" i="7"/>
  <c r="AH15" i="7"/>
  <c r="AG15" i="7"/>
  <c r="AF15" i="7"/>
  <c r="AE15" i="7"/>
  <c r="AD15" i="7"/>
  <c r="AB15" i="7"/>
  <c r="AA15" i="7"/>
  <c r="Z15" i="7"/>
  <c r="Y15" i="7"/>
  <c r="X15" i="7"/>
  <c r="W15" i="7"/>
  <c r="V15" i="7"/>
  <c r="U15" i="7"/>
  <c r="S15" i="7"/>
  <c r="R15" i="7"/>
  <c r="Q15" i="7"/>
  <c r="P15" i="7"/>
  <c r="O15" i="7"/>
  <c r="N15" i="7"/>
  <c r="M15" i="7"/>
  <c r="L15" i="7"/>
  <c r="AK14" i="7"/>
  <c r="AJ14" i="7"/>
  <c r="AI14" i="7"/>
  <c r="AH14" i="7"/>
  <c r="AG14" i="7"/>
  <c r="AF14" i="7"/>
  <c r="AE14" i="7"/>
  <c r="AD14" i="7"/>
  <c r="AB14" i="7"/>
  <c r="AA14" i="7"/>
  <c r="Z14" i="7"/>
  <c r="Y14" i="7"/>
  <c r="X14" i="7"/>
  <c r="W14" i="7"/>
  <c r="V14" i="7"/>
  <c r="U14" i="7"/>
  <c r="S14" i="7"/>
  <c r="R14" i="7"/>
  <c r="Q14" i="7"/>
  <c r="P14" i="7"/>
  <c r="O14" i="7"/>
  <c r="N14" i="7"/>
  <c r="M14" i="7"/>
  <c r="L14" i="7"/>
  <c r="AK13" i="7"/>
  <c r="AJ13" i="7"/>
  <c r="AI13" i="7"/>
  <c r="AH13" i="7"/>
  <c r="AG13" i="7"/>
  <c r="AF13" i="7"/>
  <c r="AE13" i="7"/>
  <c r="AD13" i="7"/>
  <c r="AB13" i="7"/>
  <c r="AA13" i="7"/>
  <c r="Z13" i="7"/>
  <c r="Y13" i="7"/>
  <c r="X13" i="7"/>
  <c r="W13" i="7"/>
  <c r="V13" i="7"/>
  <c r="U13" i="7"/>
  <c r="S13" i="7"/>
  <c r="R13" i="7"/>
  <c r="Q13" i="7"/>
  <c r="P13" i="7"/>
  <c r="O13" i="7"/>
  <c r="N13" i="7"/>
  <c r="M13" i="7"/>
  <c r="L13" i="7"/>
  <c r="AK12" i="7"/>
  <c r="AJ12" i="7"/>
  <c r="AI12" i="7"/>
  <c r="AH12" i="7"/>
  <c r="AG12" i="7"/>
  <c r="AF12" i="7"/>
  <c r="AE12" i="7"/>
  <c r="AD12" i="7"/>
  <c r="AB12" i="7"/>
  <c r="AA12" i="7"/>
  <c r="Z12" i="7"/>
  <c r="Y12" i="7"/>
  <c r="X12" i="7"/>
  <c r="W12" i="7"/>
  <c r="V12" i="7"/>
  <c r="U12" i="7"/>
  <c r="S12" i="7"/>
  <c r="R12" i="7"/>
  <c r="Q12" i="7"/>
  <c r="P12" i="7"/>
  <c r="O12" i="7"/>
  <c r="N12" i="7"/>
  <c r="M12" i="7"/>
  <c r="L12" i="7"/>
  <c r="AK11" i="7"/>
  <c r="AJ11" i="7"/>
  <c r="AI11" i="7"/>
  <c r="AH11" i="7"/>
  <c r="AG11" i="7"/>
  <c r="AF11" i="7"/>
  <c r="AE11" i="7"/>
  <c r="AD11" i="7"/>
  <c r="AB11" i="7"/>
  <c r="AA11" i="7"/>
  <c r="Z11" i="7"/>
  <c r="Y11" i="7"/>
  <c r="X11" i="7"/>
  <c r="W11" i="7"/>
  <c r="V11" i="7"/>
  <c r="U11" i="7"/>
  <c r="S11" i="7"/>
  <c r="R11" i="7"/>
  <c r="Q11" i="7"/>
  <c r="P11" i="7"/>
  <c r="O11" i="7"/>
  <c r="N11" i="7"/>
  <c r="M11" i="7"/>
  <c r="L11" i="7"/>
  <c r="AK10" i="7"/>
  <c r="AJ10" i="7"/>
  <c r="AI10" i="7"/>
  <c r="AH10" i="7"/>
  <c r="AG10" i="7"/>
  <c r="AF10" i="7"/>
  <c r="AE10" i="7"/>
  <c r="AD10" i="7"/>
  <c r="AB10" i="7"/>
  <c r="AA10" i="7"/>
  <c r="Z10" i="7"/>
  <c r="Y10" i="7"/>
  <c r="X10" i="7"/>
  <c r="W10" i="7"/>
  <c r="V10" i="7"/>
  <c r="U10" i="7"/>
  <c r="S10" i="7"/>
  <c r="R10" i="7"/>
  <c r="Q10" i="7"/>
  <c r="P10" i="7"/>
  <c r="O10" i="7"/>
  <c r="N10" i="7"/>
  <c r="M10" i="7"/>
  <c r="L10" i="7"/>
  <c r="AK9" i="7"/>
  <c r="AJ9" i="7"/>
  <c r="AI9" i="7"/>
  <c r="AH9" i="7"/>
  <c r="AG9" i="7"/>
  <c r="AF9" i="7"/>
  <c r="AE9" i="7"/>
  <c r="AD9" i="7"/>
  <c r="AB9" i="7"/>
  <c r="AA9" i="7"/>
  <c r="Z9" i="7"/>
  <c r="Y9" i="7"/>
  <c r="X9" i="7"/>
  <c r="W9" i="7"/>
  <c r="V9" i="7"/>
  <c r="U9" i="7"/>
  <c r="S9" i="7"/>
  <c r="R9" i="7"/>
  <c r="Q9" i="7"/>
  <c r="P9" i="7"/>
  <c r="O9" i="7"/>
  <c r="N9" i="7"/>
  <c r="M9" i="7"/>
  <c r="L9" i="7"/>
  <c r="AK8" i="7"/>
  <c r="AJ8" i="7"/>
  <c r="AI8" i="7"/>
  <c r="AH8" i="7"/>
  <c r="AG8" i="7"/>
  <c r="AF8" i="7"/>
  <c r="AE8" i="7"/>
  <c r="AD8" i="7"/>
  <c r="AB8" i="7"/>
  <c r="AA8" i="7"/>
  <c r="Z8" i="7"/>
  <c r="Y8" i="7"/>
  <c r="X8" i="7"/>
  <c r="W8" i="7"/>
  <c r="V8" i="7"/>
  <c r="U8" i="7"/>
  <c r="S8" i="7"/>
  <c r="R8" i="7"/>
  <c r="Q8" i="7"/>
  <c r="P8" i="7"/>
  <c r="O8" i="7"/>
  <c r="N8" i="7"/>
  <c r="M8" i="7"/>
  <c r="L8" i="7"/>
  <c r="AK7" i="7"/>
  <c r="AJ7" i="7"/>
  <c r="AI7" i="7"/>
  <c r="AH7" i="7"/>
  <c r="AG7" i="7"/>
  <c r="AF7" i="7"/>
  <c r="AE7" i="7"/>
  <c r="AD7" i="7"/>
  <c r="AB7" i="7"/>
  <c r="AA7" i="7"/>
  <c r="Z7" i="7"/>
  <c r="Y7" i="7"/>
  <c r="X7" i="7"/>
  <c r="W7" i="7"/>
  <c r="V7" i="7"/>
  <c r="U7" i="7"/>
  <c r="S7" i="7"/>
  <c r="R7" i="7"/>
  <c r="Q7" i="7"/>
  <c r="P7" i="7"/>
  <c r="O7" i="7"/>
  <c r="N7" i="7"/>
  <c r="M7" i="7"/>
  <c r="L7" i="7"/>
  <c r="AK6" i="7"/>
  <c r="AJ6" i="7"/>
  <c r="AI6" i="7"/>
  <c r="AH6" i="7"/>
  <c r="AG6" i="7"/>
  <c r="AF6" i="7"/>
  <c r="AE6" i="7"/>
  <c r="AD6" i="7"/>
  <c r="AB6" i="7"/>
  <c r="AA6" i="7"/>
  <c r="Z6" i="7"/>
  <c r="Y6" i="7"/>
  <c r="X6" i="7"/>
  <c r="W6" i="7"/>
  <c r="V6" i="7"/>
  <c r="U6" i="7"/>
  <c r="S6" i="7"/>
  <c r="R6" i="7"/>
  <c r="Q6" i="7"/>
  <c r="P6" i="7"/>
  <c r="O6" i="7"/>
  <c r="N6" i="7"/>
  <c r="M6" i="7"/>
  <c r="L6" i="7"/>
  <c r="AK5" i="7"/>
  <c r="AJ5" i="7"/>
  <c r="AI5" i="7"/>
  <c r="AH5" i="7"/>
  <c r="AG5" i="7"/>
  <c r="AF5" i="7"/>
  <c r="AE5" i="7"/>
  <c r="AD5" i="7"/>
  <c r="AB5" i="7"/>
  <c r="AA5" i="7"/>
  <c r="Z5" i="7"/>
  <c r="Y5" i="7"/>
  <c r="X5" i="7"/>
  <c r="W5" i="7"/>
  <c r="V5" i="7"/>
  <c r="U5" i="7"/>
  <c r="G4" i="7"/>
  <c r="S5" i="7"/>
  <c r="R5" i="7"/>
  <c r="D5" i="1"/>
  <c r="E5" i="1"/>
  <c r="F4" i="7"/>
  <c r="Q5" i="7"/>
  <c r="E4" i="7"/>
  <c r="P5" i="7"/>
  <c r="D4" i="7"/>
  <c r="O5" i="7"/>
  <c r="B5" i="1"/>
  <c r="C4" i="7"/>
  <c r="N5" i="7"/>
  <c r="B4" i="7"/>
  <c r="M5" i="7"/>
  <c r="L5" i="7"/>
  <c r="AK4" i="7"/>
  <c r="AJ4" i="7"/>
  <c r="AI4" i="7"/>
  <c r="AH4" i="7"/>
  <c r="AG4" i="7"/>
  <c r="AF4" i="7"/>
  <c r="AE4" i="7"/>
  <c r="AD4" i="7"/>
  <c r="AB4" i="7"/>
  <c r="AA4" i="7"/>
  <c r="Z4" i="7"/>
  <c r="Y4" i="7"/>
  <c r="X4" i="7"/>
  <c r="W4" i="7"/>
  <c r="V4" i="7"/>
  <c r="U4" i="7"/>
  <c r="G3" i="7"/>
  <c r="S4" i="7"/>
  <c r="R4" i="7"/>
  <c r="D4" i="1"/>
  <c r="E4" i="1"/>
  <c r="F3" i="7"/>
  <c r="Q4" i="7"/>
  <c r="E3" i="7"/>
  <c r="P4" i="7"/>
  <c r="D3" i="7"/>
  <c r="O4" i="7"/>
  <c r="B4" i="1"/>
  <c r="C3" i="7"/>
  <c r="N4" i="7"/>
  <c r="B3" i="7"/>
  <c r="M4" i="7"/>
  <c r="L4" i="7"/>
  <c r="AK3" i="7"/>
  <c r="AJ3" i="7"/>
  <c r="AI3" i="7"/>
  <c r="AH3" i="7"/>
  <c r="AG3" i="7"/>
  <c r="AF3" i="7"/>
  <c r="AE3" i="7"/>
  <c r="AD3" i="7"/>
  <c r="AB3" i="7"/>
  <c r="AA3" i="7"/>
  <c r="Z3" i="7"/>
  <c r="Y3" i="7"/>
  <c r="X3" i="7"/>
  <c r="W3" i="7"/>
  <c r="V3" i="7"/>
  <c r="U3" i="7"/>
  <c r="S3" i="7"/>
  <c r="R3" i="7"/>
  <c r="Q3" i="7"/>
  <c r="P3" i="7"/>
  <c r="O3" i="7"/>
  <c r="N3" i="7"/>
  <c r="M3" i="7"/>
  <c r="L3" i="7"/>
  <c r="AK2" i="7"/>
  <c r="AJ2" i="7"/>
  <c r="AI2" i="7"/>
  <c r="AH2" i="7"/>
  <c r="AG2" i="7"/>
  <c r="AF2" i="7"/>
  <c r="AE2" i="7"/>
  <c r="AD2" i="7"/>
  <c r="AB2" i="7"/>
  <c r="AA2" i="7"/>
  <c r="Z2" i="7"/>
  <c r="Y2" i="7"/>
  <c r="X2" i="7"/>
  <c r="W2" i="7"/>
  <c r="V2" i="7"/>
  <c r="U2" i="7"/>
  <c r="G2" i="7"/>
  <c r="S2" i="7"/>
  <c r="R2" i="7"/>
  <c r="D3" i="1"/>
  <c r="E3" i="1"/>
  <c r="F2" i="7"/>
  <c r="Q2" i="7"/>
  <c r="E2" i="7"/>
  <c r="P2" i="7"/>
  <c r="D2" i="7"/>
  <c r="O2" i="7"/>
  <c r="B3" i="1"/>
  <c r="C2" i="7"/>
  <c r="N2" i="7"/>
  <c r="B2" i="7"/>
  <c r="M2" i="7"/>
  <c r="L2" i="7"/>
  <c r="BK4" i="2"/>
  <c r="AZ3" i="5"/>
  <c r="BD3" i="5"/>
  <c r="BK5" i="2"/>
  <c r="AZ4" i="5"/>
  <c r="BD4" i="5"/>
  <c r="BK6" i="2"/>
  <c r="AZ5" i="5"/>
  <c r="BD5" i="5"/>
  <c r="BK7" i="2"/>
  <c r="AZ6" i="5"/>
  <c r="BD6" i="5"/>
  <c r="BK9" i="2"/>
  <c r="AZ7" i="5"/>
  <c r="BD7" i="5"/>
  <c r="BK10" i="2"/>
  <c r="AZ8" i="5"/>
  <c r="BD8" i="5"/>
  <c r="BK11" i="2"/>
  <c r="AZ9" i="5"/>
  <c r="BD9" i="5"/>
  <c r="BK12" i="2"/>
  <c r="AZ10" i="5"/>
  <c r="BD10" i="5"/>
  <c r="BK13" i="2"/>
  <c r="AZ11" i="5"/>
  <c r="BD11" i="5"/>
  <c r="BK14" i="2"/>
  <c r="AZ12" i="5"/>
  <c r="BD12" i="5"/>
  <c r="BK15" i="2"/>
  <c r="AZ13" i="5"/>
  <c r="BD13" i="5"/>
  <c r="BK16" i="2"/>
  <c r="AZ14" i="5"/>
  <c r="BD14" i="5"/>
  <c r="BK18" i="2"/>
  <c r="AZ15" i="5"/>
  <c r="BD15" i="5"/>
  <c r="BK19" i="2"/>
  <c r="AZ16" i="5"/>
  <c r="BD16" i="5"/>
  <c r="BK20" i="2"/>
  <c r="AZ17" i="5"/>
  <c r="BD17" i="5"/>
  <c r="BK21" i="2"/>
  <c r="AZ18" i="5"/>
  <c r="BD18" i="5"/>
  <c r="BK22" i="2"/>
  <c r="AZ19" i="5"/>
  <c r="BD19" i="5"/>
  <c r="BK23" i="2"/>
  <c r="AZ20" i="5"/>
  <c r="BD20" i="5"/>
  <c r="BK24" i="2"/>
  <c r="AZ21" i="5"/>
  <c r="BD21" i="5"/>
  <c r="BK25" i="2"/>
  <c r="AZ22" i="5"/>
  <c r="BD22" i="5"/>
  <c r="BK27" i="2"/>
  <c r="AZ23" i="5"/>
  <c r="BD23" i="5"/>
  <c r="BK28" i="2"/>
  <c r="AZ24" i="5"/>
  <c r="BD24" i="5"/>
  <c r="BK29" i="2"/>
  <c r="AZ25" i="5"/>
  <c r="BD25" i="5"/>
  <c r="BK31" i="2"/>
  <c r="AZ26" i="5"/>
  <c r="BD26" i="5"/>
  <c r="BK32" i="2"/>
  <c r="AZ27" i="5"/>
  <c r="BD27" i="5"/>
  <c r="BK34" i="2"/>
  <c r="AZ28" i="5"/>
  <c r="BD28" i="5"/>
  <c r="BK35" i="2"/>
  <c r="AZ29" i="5"/>
  <c r="BD29" i="5"/>
  <c r="BK36" i="2"/>
  <c r="AZ30" i="5"/>
  <c r="BD30" i="5"/>
  <c r="BD34" i="5"/>
  <c r="BC3" i="5"/>
  <c r="BC4" i="5"/>
  <c r="BC5" i="5"/>
  <c r="BC6" i="5"/>
  <c r="BC7" i="5"/>
  <c r="BC8" i="5"/>
  <c r="BC9" i="5"/>
  <c r="BC10" i="5"/>
  <c r="BC11" i="5"/>
  <c r="BC12" i="5"/>
  <c r="BC13" i="5"/>
  <c r="BC14" i="5"/>
  <c r="BC15" i="5"/>
  <c r="BC16" i="5"/>
  <c r="BC17" i="5"/>
  <c r="BC18" i="5"/>
  <c r="BC19" i="5"/>
  <c r="BC20" i="5"/>
  <c r="BC21" i="5"/>
  <c r="BC22" i="5"/>
  <c r="BC23" i="5"/>
  <c r="BC24" i="5"/>
  <c r="BC25" i="5"/>
  <c r="BC26" i="5"/>
  <c r="BC27" i="5"/>
  <c r="BC28" i="5"/>
  <c r="BC29" i="5"/>
  <c r="BC30" i="5"/>
  <c r="BC34" i="5"/>
  <c r="BE4" i="2"/>
  <c r="AU3" i="5"/>
  <c r="AY3" i="5"/>
  <c r="BE5" i="2"/>
  <c r="AU4" i="5"/>
  <c r="AY4" i="5"/>
  <c r="BE6" i="2"/>
  <c r="AU5" i="5"/>
  <c r="AY5" i="5"/>
  <c r="BE7" i="2"/>
  <c r="AU6" i="5"/>
  <c r="AY6" i="5"/>
  <c r="BE9" i="2"/>
  <c r="AU7" i="5"/>
  <c r="AY7" i="5"/>
  <c r="BE10" i="2"/>
  <c r="AU8" i="5"/>
  <c r="AY8" i="5"/>
  <c r="BE11" i="2"/>
  <c r="AU9" i="5"/>
  <c r="AY9" i="5"/>
  <c r="BE12" i="2"/>
  <c r="AU10" i="5"/>
  <c r="AY10" i="5"/>
  <c r="BE13" i="2"/>
  <c r="AU11" i="5"/>
  <c r="AY11" i="5"/>
  <c r="BE14" i="2"/>
  <c r="AU12" i="5"/>
  <c r="AY12" i="5"/>
  <c r="BE15" i="2"/>
  <c r="AU13" i="5"/>
  <c r="AY13" i="5"/>
  <c r="BE16" i="2"/>
  <c r="AU14" i="5"/>
  <c r="AY14" i="5"/>
  <c r="BE18" i="2"/>
  <c r="AU15" i="5"/>
  <c r="AY15" i="5"/>
  <c r="BE19" i="2"/>
  <c r="AU16" i="5"/>
  <c r="AY16" i="5"/>
  <c r="BE20" i="2"/>
  <c r="AU17" i="5"/>
  <c r="AY17" i="5"/>
  <c r="BE21" i="2"/>
  <c r="AU18" i="5"/>
  <c r="AY18" i="5"/>
  <c r="BE22" i="2"/>
  <c r="AU19" i="5"/>
  <c r="AY19" i="5"/>
  <c r="BE23" i="2"/>
  <c r="AU20" i="5"/>
  <c r="AY20" i="5"/>
  <c r="BE24" i="2"/>
  <c r="AU21" i="5"/>
  <c r="AY21" i="5"/>
  <c r="BE25" i="2"/>
  <c r="AU22" i="5"/>
  <c r="AY22" i="5"/>
  <c r="BE27" i="2"/>
  <c r="AU23" i="5"/>
  <c r="AY23" i="5"/>
  <c r="BE28" i="2"/>
  <c r="AU24" i="5"/>
  <c r="AY24" i="5"/>
  <c r="BE29" i="2"/>
  <c r="AU25" i="5"/>
  <c r="AY25" i="5"/>
  <c r="BE31" i="2"/>
  <c r="AU26" i="5"/>
  <c r="AY26" i="5"/>
  <c r="BE32" i="2"/>
  <c r="AU27" i="5"/>
  <c r="AY27" i="5"/>
  <c r="BE34" i="2"/>
  <c r="AU28" i="5"/>
  <c r="AY28" i="5"/>
  <c r="BE35" i="2"/>
  <c r="AU29" i="5"/>
  <c r="AY29" i="5"/>
  <c r="BE36" i="2"/>
  <c r="AU30" i="5"/>
  <c r="AY30" i="5"/>
  <c r="AY34" i="5"/>
  <c r="AX3" i="5"/>
  <c r="AX4" i="5"/>
  <c r="AX5" i="5"/>
  <c r="AX6" i="5"/>
  <c r="AX7" i="5"/>
  <c r="AX8" i="5"/>
  <c r="AX9" i="5"/>
  <c r="AX10" i="5"/>
  <c r="AX11" i="5"/>
  <c r="AX12" i="5"/>
  <c r="AX13" i="5"/>
  <c r="AX14" i="5"/>
  <c r="AX15" i="5"/>
  <c r="AX16" i="5"/>
  <c r="AX17" i="5"/>
  <c r="AX18" i="5"/>
  <c r="AX19" i="5"/>
  <c r="AX20" i="5"/>
  <c r="AX21" i="5"/>
  <c r="AX22" i="5"/>
  <c r="AX23" i="5"/>
  <c r="AX24" i="5"/>
  <c r="AX25" i="5"/>
  <c r="AX26" i="5"/>
  <c r="AX27" i="5"/>
  <c r="AX28" i="5"/>
  <c r="AX29" i="5"/>
  <c r="AX30" i="5"/>
  <c r="AX34" i="5"/>
  <c r="AY4" i="2"/>
  <c r="AP3" i="5"/>
  <c r="AT3" i="5"/>
  <c r="AY5" i="2"/>
  <c r="AP4" i="5"/>
  <c r="AT4" i="5"/>
  <c r="AY6" i="2"/>
  <c r="AP5" i="5"/>
  <c r="AT5" i="5"/>
  <c r="AY7" i="2"/>
  <c r="AP6" i="5"/>
  <c r="AT6" i="5"/>
  <c r="AY9" i="2"/>
  <c r="AP7" i="5"/>
  <c r="AT7" i="5"/>
  <c r="AY10" i="2"/>
  <c r="AP8" i="5"/>
  <c r="AT8" i="5"/>
  <c r="AY11" i="2"/>
  <c r="AP9" i="5"/>
  <c r="AT9" i="5"/>
  <c r="AY12" i="2"/>
  <c r="AP10" i="5"/>
  <c r="AT10" i="5"/>
  <c r="AY13" i="2"/>
  <c r="AP11" i="5"/>
  <c r="AT11" i="5"/>
  <c r="AY14" i="2"/>
  <c r="AP12" i="5"/>
  <c r="AT12" i="5"/>
  <c r="AY15" i="2"/>
  <c r="AP13" i="5"/>
  <c r="AT13" i="5"/>
  <c r="AY16" i="2"/>
  <c r="AP14" i="5"/>
  <c r="AT14" i="5"/>
  <c r="AY18" i="2"/>
  <c r="AP15" i="5"/>
  <c r="AT15" i="5"/>
  <c r="AY19" i="2"/>
  <c r="AP16" i="5"/>
  <c r="AT16" i="5"/>
  <c r="AY20" i="2"/>
  <c r="AP17" i="5"/>
  <c r="AT17" i="5"/>
  <c r="AY21" i="2"/>
  <c r="AP18" i="5"/>
  <c r="AT18" i="5"/>
  <c r="AY22" i="2"/>
  <c r="AP19" i="5"/>
  <c r="AT19" i="5"/>
  <c r="AY23" i="2"/>
  <c r="AP20" i="5"/>
  <c r="AT20" i="5"/>
  <c r="AY24" i="2"/>
  <c r="AP21" i="5"/>
  <c r="AT21" i="5"/>
  <c r="AY25" i="2"/>
  <c r="AP22" i="5"/>
  <c r="AT22" i="5"/>
  <c r="AY27" i="2"/>
  <c r="AP23" i="5"/>
  <c r="AT23" i="5"/>
  <c r="AY28" i="2"/>
  <c r="AP24" i="5"/>
  <c r="AT24" i="5"/>
  <c r="AY29" i="2"/>
  <c r="AP25" i="5"/>
  <c r="AT25" i="5"/>
  <c r="AY31" i="2"/>
  <c r="AP26" i="5"/>
  <c r="AT26" i="5"/>
  <c r="AY32" i="2"/>
  <c r="AP27" i="5"/>
  <c r="AT27" i="5"/>
  <c r="AY34" i="2"/>
  <c r="AP28" i="5"/>
  <c r="AT28" i="5"/>
  <c r="AY35" i="2"/>
  <c r="AP29" i="5"/>
  <c r="AT29" i="5"/>
  <c r="AY36" i="2"/>
  <c r="AP30" i="5"/>
  <c r="AT30" i="5"/>
  <c r="AT34" i="5"/>
  <c r="AS3" i="5"/>
  <c r="AS4" i="5"/>
  <c r="AS5" i="5"/>
  <c r="AS6" i="5"/>
  <c r="AS7" i="5"/>
  <c r="AS8" i="5"/>
  <c r="AS9" i="5"/>
  <c r="AS10" i="5"/>
  <c r="AS11" i="5"/>
  <c r="AS12" i="5"/>
  <c r="AS13" i="5"/>
  <c r="AS14" i="5"/>
  <c r="AS15" i="5"/>
  <c r="AS16" i="5"/>
  <c r="AS17" i="5"/>
  <c r="AS18" i="5"/>
  <c r="AS19" i="5"/>
  <c r="AS20" i="5"/>
  <c r="AS21" i="5"/>
  <c r="AS22" i="5"/>
  <c r="AS23" i="5"/>
  <c r="AS24" i="5"/>
  <c r="AS25" i="5"/>
  <c r="AS26" i="5"/>
  <c r="AS27" i="5"/>
  <c r="AS28" i="5"/>
  <c r="AS29" i="5"/>
  <c r="AS30" i="5"/>
  <c r="AS34" i="5"/>
  <c r="AS4" i="2"/>
  <c r="AK3" i="5"/>
  <c r="AO3" i="5"/>
  <c r="AS5" i="2"/>
  <c r="AK4" i="5"/>
  <c r="AO4" i="5"/>
  <c r="AS6" i="2"/>
  <c r="AK5" i="5"/>
  <c r="AO5" i="5"/>
  <c r="AS7" i="2"/>
  <c r="AK6" i="5"/>
  <c r="AO6" i="5"/>
  <c r="AS9" i="2"/>
  <c r="AK7" i="5"/>
  <c r="AO7" i="5"/>
  <c r="AS10" i="2"/>
  <c r="AK8" i="5"/>
  <c r="AO8" i="5"/>
  <c r="AS11" i="2"/>
  <c r="AK9" i="5"/>
  <c r="AO9" i="5"/>
  <c r="AS12" i="2"/>
  <c r="AK10" i="5"/>
  <c r="AO10" i="5"/>
  <c r="AS13" i="2"/>
  <c r="AK11" i="5"/>
  <c r="AO11" i="5"/>
  <c r="AS14" i="2"/>
  <c r="AK12" i="5"/>
  <c r="AO12" i="5"/>
  <c r="AS15" i="2"/>
  <c r="AK13" i="5"/>
  <c r="AO13" i="5"/>
  <c r="AS16" i="2"/>
  <c r="AK14" i="5"/>
  <c r="AO14" i="5"/>
  <c r="AS18" i="2"/>
  <c r="AK15" i="5"/>
  <c r="AO15" i="5"/>
  <c r="AS19" i="2"/>
  <c r="AK16" i="5"/>
  <c r="AO16" i="5"/>
  <c r="AS20" i="2"/>
  <c r="AK17" i="5"/>
  <c r="AO17" i="5"/>
  <c r="AS21" i="2"/>
  <c r="AK18" i="5"/>
  <c r="AO18" i="5"/>
  <c r="AS22" i="2"/>
  <c r="AK19" i="5"/>
  <c r="AO19" i="5"/>
  <c r="AS23" i="2"/>
  <c r="AK20" i="5"/>
  <c r="AO20" i="5"/>
  <c r="AS24" i="2"/>
  <c r="AK21" i="5"/>
  <c r="AO21" i="5"/>
  <c r="AS25" i="2"/>
  <c r="AK22" i="5"/>
  <c r="AO22" i="5"/>
  <c r="AS27" i="2"/>
  <c r="AK23" i="5"/>
  <c r="AO23" i="5"/>
  <c r="AS28" i="2"/>
  <c r="AK24" i="5"/>
  <c r="AO24" i="5"/>
  <c r="AS29" i="2"/>
  <c r="AK25" i="5"/>
  <c r="AO25" i="5"/>
  <c r="AS31" i="2"/>
  <c r="AK26" i="5"/>
  <c r="AO26" i="5"/>
  <c r="AS32" i="2"/>
  <c r="AK27" i="5"/>
  <c r="AO27" i="5"/>
  <c r="AS34" i="2"/>
  <c r="AK28" i="5"/>
  <c r="AO28" i="5"/>
  <c r="AS35" i="2"/>
  <c r="AK29" i="5"/>
  <c r="AO29" i="5"/>
  <c r="AS36" i="2"/>
  <c r="AK30" i="5"/>
  <c r="AO30" i="5"/>
  <c r="AO34" i="5"/>
  <c r="AN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4" i="5"/>
  <c r="AM4" i="2"/>
  <c r="AF3" i="5"/>
  <c r="AJ3" i="5"/>
  <c r="AM5" i="2"/>
  <c r="AF4" i="5"/>
  <c r="AJ4" i="5"/>
  <c r="AM6" i="2"/>
  <c r="AF5" i="5"/>
  <c r="AJ5" i="5"/>
  <c r="AM7" i="2"/>
  <c r="AF6" i="5"/>
  <c r="AJ6" i="5"/>
  <c r="AM9" i="2"/>
  <c r="AF7" i="5"/>
  <c r="AJ7" i="5"/>
  <c r="AM10" i="2"/>
  <c r="AF8" i="5"/>
  <c r="AJ8" i="5"/>
  <c r="AM11" i="2"/>
  <c r="AF9" i="5"/>
  <c r="AJ9" i="5"/>
  <c r="AM12" i="2"/>
  <c r="AF10" i="5"/>
  <c r="AJ10" i="5"/>
  <c r="AM13" i="2"/>
  <c r="AF11" i="5"/>
  <c r="AJ11" i="5"/>
  <c r="AM14" i="2"/>
  <c r="AF12" i="5"/>
  <c r="AJ12" i="5"/>
  <c r="AM15" i="2"/>
  <c r="AF13" i="5"/>
  <c r="AJ13" i="5"/>
  <c r="AM16" i="2"/>
  <c r="AF14" i="5"/>
  <c r="AJ14" i="5"/>
  <c r="AM18" i="2"/>
  <c r="AF15" i="5"/>
  <c r="AJ15" i="5"/>
  <c r="AM19" i="2"/>
  <c r="AF16" i="5"/>
  <c r="AJ16" i="5"/>
  <c r="AM20" i="2"/>
  <c r="AF17" i="5"/>
  <c r="AJ17" i="5"/>
  <c r="AM21" i="2"/>
  <c r="AF18" i="5"/>
  <c r="AJ18" i="5"/>
  <c r="AM22" i="2"/>
  <c r="AF19" i="5"/>
  <c r="AJ19" i="5"/>
  <c r="AM23" i="2"/>
  <c r="AF20" i="5"/>
  <c r="AJ20" i="5"/>
  <c r="AM24" i="2"/>
  <c r="AF21" i="5"/>
  <c r="AJ21" i="5"/>
  <c r="AM25" i="2"/>
  <c r="AF22" i="5"/>
  <c r="AJ22" i="5"/>
  <c r="AM27" i="2"/>
  <c r="AF23" i="5"/>
  <c r="AJ23" i="5"/>
  <c r="AM28" i="2"/>
  <c r="AF24" i="5"/>
  <c r="AJ24" i="5"/>
  <c r="AM29" i="2"/>
  <c r="AF25" i="5"/>
  <c r="AJ25" i="5"/>
  <c r="AM31" i="2"/>
  <c r="AF26" i="5"/>
  <c r="AJ26" i="5"/>
  <c r="AM32" i="2"/>
  <c r="AF27" i="5"/>
  <c r="AJ27" i="5"/>
  <c r="AM34" i="2"/>
  <c r="AF28" i="5"/>
  <c r="AJ28" i="5"/>
  <c r="AM35" i="2"/>
  <c r="AF29" i="5"/>
  <c r="AJ29" i="5"/>
  <c r="AM36" i="2"/>
  <c r="AF30" i="5"/>
  <c r="AJ30" i="5"/>
  <c r="AJ34" i="5"/>
  <c r="AI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4" i="5"/>
  <c r="AG4" i="2"/>
  <c r="AA3" i="5"/>
  <c r="AE3" i="5"/>
  <c r="AG5" i="2"/>
  <c r="AA4" i="5"/>
  <c r="AE4" i="5"/>
  <c r="AG6" i="2"/>
  <c r="AA5" i="5"/>
  <c r="AE5" i="5"/>
  <c r="AG7" i="2"/>
  <c r="AA6" i="5"/>
  <c r="AE6" i="5"/>
  <c r="AG9" i="2"/>
  <c r="AA7" i="5"/>
  <c r="AE7" i="5"/>
  <c r="AG10" i="2"/>
  <c r="AA8" i="5"/>
  <c r="AE8" i="5"/>
  <c r="AG11" i="2"/>
  <c r="AA9" i="5"/>
  <c r="AE9" i="5"/>
  <c r="AG12" i="2"/>
  <c r="AA10" i="5"/>
  <c r="AE10" i="5"/>
  <c r="AG13" i="2"/>
  <c r="AA11" i="5"/>
  <c r="AE11" i="5"/>
  <c r="AG14" i="2"/>
  <c r="AA12" i="5"/>
  <c r="AE12" i="5"/>
  <c r="AG15" i="2"/>
  <c r="AA13" i="5"/>
  <c r="AE13" i="5"/>
  <c r="AG16" i="2"/>
  <c r="AA14" i="5"/>
  <c r="AE14" i="5"/>
  <c r="AG18" i="2"/>
  <c r="AA15" i="5"/>
  <c r="AE15" i="5"/>
  <c r="AG19" i="2"/>
  <c r="AA16" i="5"/>
  <c r="AE16" i="5"/>
  <c r="AG20" i="2"/>
  <c r="AA17" i="5"/>
  <c r="AE17" i="5"/>
  <c r="AG21" i="2"/>
  <c r="AA18" i="5"/>
  <c r="AE18" i="5"/>
  <c r="AG22" i="2"/>
  <c r="AA19" i="5"/>
  <c r="AE19" i="5"/>
  <c r="AG23" i="2"/>
  <c r="AA20" i="5"/>
  <c r="AE20" i="5"/>
  <c r="AG24" i="2"/>
  <c r="AA21" i="5"/>
  <c r="AE21" i="5"/>
  <c r="AG25" i="2"/>
  <c r="AA22" i="5"/>
  <c r="AE22" i="5"/>
  <c r="AG27" i="2"/>
  <c r="AA23" i="5"/>
  <c r="AE23" i="5"/>
  <c r="AG28" i="2"/>
  <c r="AA24" i="5"/>
  <c r="AE24" i="5"/>
  <c r="AG29" i="2"/>
  <c r="AA25" i="5"/>
  <c r="AE25" i="5"/>
  <c r="AG31" i="2"/>
  <c r="AA26" i="5"/>
  <c r="AE26" i="5"/>
  <c r="AG32" i="2"/>
  <c r="AA27" i="5"/>
  <c r="AE27" i="5"/>
  <c r="AG34" i="2"/>
  <c r="AA28" i="5"/>
  <c r="AE28" i="5"/>
  <c r="AG35" i="2"/>
  <c r="AA29" i="5"/>
  <c r="AE29" i="5"/>
  <c r="AG36" i="2"/>
  <c r="AA30" i="5"/>
  <c r="AE30" i="5"/>
  <c r="AE34" i="5"/>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4" i="5"/>
  <c r="AA4" i="2"/>
  <c r="V3" i="5"/>
  <c r="Z3" i="5"/>
  <c r="AA5" i="2"/>
  <c r="V4" i="5"/>
  <c r="Z4" i="5"/>
  <c r="AA6" i="2"/>
  <c r="V5" i="5"/>
  <c r="Z5" i="5"/>
  <c r="AA7" i="2"/>
  <c r="V6" i="5"/>
  <c r="Z6" i="5"/>
  <c r="AA9" i="2"/>
  <c r="V7" i="5"/>
  <c r="Z7" i="5"/>
  <c r="AA10" i="2"/>
  <c r="V8" i="5"/>
  <c r="Z8" i="5"/>
  <c r="AA11" i="2"/>
  <c r="V9" i="5"/>
  <c r="Z9" i="5"/>
  <c r="AA12" i="2"/>
  <c r="V10" i="5"/>
  <c r="Z10" i="5"/>
  <c r="AA13" i="2"/>
  <c r="V11" i="5"/>
  <c r="Z11" i="5"/>
  <c r="AA14" i="2"/>
  <c r="V12" i="5"/>
  <c r="Z12" i="5"/>
  <c r="AA15" i="2"/>
  <c r="V13" i="5"/>
  <c r="Z13" i="5"/>
  <c r="AA16" i="2"/>
  <c r="V14" i="5"/>
  <c r="Z14" i="5"/>
  <c r="AA18" i="2"/>
  <c r="V15" i="5"/>
  <c r="Z15" i="5"/>
  <c r="AA19" i="2"/>
  <c r="V16" i="5"/>
  <c r="Z16" i="5"/>
  <c r="AA20" i="2"/>
  <c r="V17" i="5"/>
  <c r="Z17" i="5"/>
  <c r="AA21" i="2"/>
  <c r="V18" i="5"/>
  <c r="Z18" i="5"/>
  <c r="AA22" i="2"/>
  <c r="V19" i="5"/>
  <c r="Z19" i="5"/>
  <c r="AA23" i="2"/>
  <c r="V20" i="5"/>
  <c r="Z20" i="5"/>
  <c r="AA24" i="2"/>
  <c r="V21" i="5"/>
  <c r="Z21" i="5"/>
  <c r="AA25" i="2"/>
  <c r="V22" i="5"/>
  <c r="Z22" i="5"/>
  <c r="AA27" i="2"/>
  <c r="V23" i="5"/>
  <c r="Z23" i="5"/>
  <c r="AA28" i="2"/>
  <c r="V24" i="5"/>
  <c r="Z24" i="5"/>
  <c r="AA29" i="2"/>
  <c r="V25" i="5"/>
  <c r="Z25" i="5"/>
  <c r="AA31" i="2"/>
  <c r="V26" i="5"/>
  <c r="Z26" i="5"/>
  <c r="AA32" i="2"/>
  <c r="V27" i="5"/>
  <c r="Z27" i="5"/>
  <c r="AA34" i="2"/>
  <c r="V28" i="5"/>
  <c r="Z28" i="5"/>
  <c r="AA35" i="2"/>
  <c r="V29" i="5"/>
  <c r="Z29" i="5"/>
  <c r="AA36" i="2"/>
  <c r="V30" i="5"/>
  <c r="Z30" i="5"/>
  <c r="Z34"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4" i="5"/>
  <c r="U4" i="2"/>
  <c r="Q3" i="5"/>
  <c r="U3" i="5"/>
  <c r="U5" i="2"/>
  <c r="Q4" i="5"/>
  <c r="U4" i="5"/>
  <c r="U6" i="2"/>
  <c r="Q5" i="5"/>
  <c r="U5" i="5"/>
  <c r="U7" i="2"/>
  <c r="Q6" i="5"/>
  <c r="U6" i="5"/>
  <c r="U9" i="2"/>
  <c r="Q7" i="5"/>
  <c r="U7" i="5"/>
  <c r="U10" i="2"/>
  <c r="Q8" i="5"/>
  <c r="U8" i="5"/>
  <c r="U11" i="2"/>
  <c r="Q9" i="5"/>
  <c r="U9" i="5"/>
  <c r="U12" i="2"/>
  <c r="Q10" i="5"/>
  <c r="U10" i="5"/>
  <c r="U13" i="2"/>
  <c r="Q11" i="5"/>
  <c r="U11" i="5"/>
  <c r="U14" i="2"/>
  <c r="Q12" i="5"/>
  <c r="U12" i="5"/>
  <c r="U15" i="2"/>
  <c r="Q13" i="5"/>
  <c r="U13" i="5"/>
  <c r="U16" i="2"/>
  <c r="Q14" i="5"/>
  <c r="U14" i="5"/>
  <c r="U18" i="2"/>
  <c r="Q15" i="5"/>
  <c r="U15" i="5"/>
  <c r="U19" i="2"/>
  <c r="Q16" i="5"/>
  <c r="U16" i="5"/>
  <c r="U20" i="2"/>
  <c r="Q17" i="5"/>
  <c r="U17" i="5"/>
  <c r="U21" i="2"/>
  <c r="Q18" i="5"/>
  <c r="U18" i="5"/>
  <c r="U22" i="2"/>
  <c r="Q19" i="5"/>
  <c r="U19" i="5"/>
  <c r="U23" i="2"/>
  <c r="Q20" i="5"/>
  <c r="U20" i="5"/>
  <c r="U24" i="2"/>
  <c r="Q21" i="5"/>
  <c r="U21" i="5"/>
  <c r="U25" i="2"/>
  <c r="Q22" i="5"/>
  <c r="U22" i="5"/>
  <c r="U27" i="2"/>
  <c r="Q23" i="5"/>
  <c r="U23" i="5"/>
  <c r="U28" i="2"/>
  <c r="Q24" i="5"/>
  <c r="U24" i="5"/>
  <c r="U29" i="2"/>
  <c r="Q25" i="5"/>
  <c r="U25" i="5"/>
  <c r="U31" i="2"/>
  <c r="Q26" i="5"/>
  <c r="U26" i="5"/>
  <c r="U32" i="2"/>
  <c r="Q27" i="5"/>
  <c r="U27" i="5"/>
  <c r="U34" i="2"/>
  <c r="Q28" i="5"/>
  <c r="U28" i="5"/>
  <c r="U35" i="2"/>
  <c r="Q29" i="5"/>
  <c r="U29" i="5"/>
  <c r="U36" i="2"/>
  <c r="Q30" i="5"/>
  <c r="U30" i="5"/>
  <c r="U34"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4" i="5"/>
  <c r="O4" i="2"/>
  <c r="L3" i="5"/>
  <c r="P3" i="5"/>
  <c r="O5" i="2"/>
  <c r="L4" i="5"/>
  <c r="P4" i="5"/>
  <c r="O6" i="2"/>
  <c r="L5" i="5"/>
  <c r="P5" i="5"/>
  <c r="O7" i="2"/>
  <c r="L6" i="5"/>
  <c r="P6" i="5"/>
  <c r="O9" i="2"/>
  <c r="L7" i="5"/>
  <c r="P7" i="5"/>
  <c r="O10" i="2"/>
  <c r="L8" i="5"/>
  <c r="P8" i="5"/>
  <c r="O11" i="2"/>
  <c r="L9" i="5"/>
  <c r="P9" i="5"/>
  <c r="O12" i="2"/>
  <c r="L10" i="5"/>
  <c r="P10" i="5"/>
  <c r="O13" i="2"/>
  <c r="L11" i="5"/>
  <c r="P11" i="5"/>
  <c r="O14" i="2"/>
  <c r="L12" i="5"/>
  <c r="P12" i="5"/>
  <c r="O15" i="2"/>
  <c r="L13" i="5"/>
  <c r="P13" i="5"/>
  <c r="O16" i="2"/>
  <c r="L14" i="5"/>
  <c r="P14" i="5"/>
  <c r="O18" i="2"/>
  <c r="L15" i="5"/>
  <c r="P15" i="5"/>
  <c r="O19" i="2"/>
  <c r="L16" i="5"/>
  <c r="P16" i="5"/>
  <c r="O20" i="2"/>
  <c r="L17" i="5"/>
  <c r="P17" i="5"/>
  <c r="O21" i="2"/>
  <c r="L18" i="5"/>
  <c r="P18" i="5"/>
  <c r="O22" i="2"/>
  <c r="L19" i="5"/>
  <c r="P19" i="5"/>
  <c r="O23" i="2"/>
  <c r="L20" i="5"/>
  <c r="P20" i="5"/>
  <c r="O24" i="2"/>
  <c r="L21" i="5"/>
  <c r="P21" i="5"/>
  <c r="O25" i="2"/>
  <c r="L22" i="5"/>
  <c r="P22" i="5"/>
  <c r="O27" i="2"/>
  <c r="L23" i="5"/>
  <c r="P23" i="5"/>
  <c r="O28" i="2"/>
  <c r="L24" i="5"/>
  <c r="P24" i="5"/>
  <c r="O29" i="2"/>
  <c r="L25" i="5"/>
  <c r="P25" i="5"/>
  <c r="O31" i="2"/>
  <c r="L26" i="5"/>
  <c r="P26" i="5"/>
  <c r="O32" i="2"/>
  <c r="L27" i="5"/>
  <c r="P27" i="5"/>
  <c r="O34" i="2"/>
  <c r="L28" i="5"/>
  <c r="P28" i="5"/>
  <c r="O35" i="2"/>
  <c r="L29" i="5"/>
  <c r="P29" i="5"/>
  <c r="O36" i="2"/>
  <c r="L30" i="5"/>
  <c r="P30" i="5"/>
  <c r="P34"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4" i="5"/>
  <c r="I4" i="2"/>
  <c r="G3" i="5"/>
  <c r="K3" i="5"/>
  <c r="I5" i="2"/>
  <c r="G4" i="5"/>
  <c r="K4" i="5"/>
  <c r="I6" i="2"/>
  <c r="G5" i="5"/>
  <c r="K5" i="5"/>
  <c r="I7" i="2"/>
  <c r="G6" i="5"/>
  <c r="K6" i="5"/>
  <c r="I9" i="2"/>
  <c r="G7" i="5"/>
  <c r="K7" i="5"/>
  <c r="I10" i="2"/>
  <c r="G8" i="5"/>
  <c r="K8" i="5"/>
  <c r="I11" i="2"/>
  <c r="G9" i="5"/>
  <c r="K9" i="5"/>
  <c r="I12" i="2"/>
  <c r="G10" i="5"/>
  <c r="K10" i="5"/>
  <c r="I13" i="2"/>
  <c r="G11" i="5"/>
  <c r="K11" i="5"/>
  <c r="I14" i="2"/>
  <c r="G12" i="5"/>
  <c r="K12" i="5"/>
  <c r="I15" i="2"/>
  <c r="G13" i="5"/>
  <c r="K13" i="5"/>
  <c r="I16" i="2"/>
  <c r="G14" i="5"/>
  <c r="K14" i="5"/>
  <c r="I18" i="2"/>
  <c r="G15" i="5"/>
  <c r="K15" i="5"/>
  <c r="I19" i="2"/>
  <c r="G16" i="5"/>
  <c r="K16" i="5"/>
  <c r="I20" i="2"/>
  <c r="G17" i="5"/>
  <c r="K17" i="5"/>
  <c r="I21" i="2"/>
  <c r="G18" i="5"/>
  <c r="K18" i="5"/>
  <c r="I22" i="2"/>
  <c r="G19" i="5"/>
  <c r="K19" i="5"/>
  <c r="I23" i="2"/>
  <c r="G20" i="5"/>
  <c r="K20" i="5"/>
  <c r="I24" i="2"/>
  <c r="G21" i="5"/>
  <c r="K21" i="5"/>
  <c r="I25" i="2"/>
  <c r="G22" i="5"/>
  <c r="K22" i="5"/>
  <c r="I27" i="2"/>
  <c r="G23" i="5"/>
  <c r="K23" i="5"/>
  <c r="I28" i="2"/>
  <c r="G24" i="5"/>
  <c r="K24" i="5"/>
  <c r="I29" i="2"/>
  <c r="G25" i="5"/>
  <c r="K25" i="5"/>
  <c r="I31" i="2"/>
  <c r="G26" i="5"/>
  <c r="K26" i="5"/>
  <c r="I32" i="2"/>
  <c r="G27" i="5"/>
  <c r="K27" i="5"/>
  <c r="I34" i="2"/>
  <c r="G28" i="5"/>
  <c r="K28" i="5"/>
  <c r="I35" i="2"/>
  <c r="G29" i="5"/>
  <c r="K29" i="5"/>
  <c r="I36" i="2"/>
  <c r="G30" i="5"/>
  <c r="K30" i="5"/>
  <c r="K34"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4" i="5"/>
  <c r="C4" i="2"/>
  <c r="B3" i="5"/>
  <c r="F3" i="5"/>
  <c r="C5" i="2"/>
  <c r="B4" i="5"/>
  <c r="F4" i="5"/>
  <c r="C6" i="2"/>
  <c r="B5" i="5"/>
  <c r="F5" i="5"/>
  <c r="C7" i="2"/>
  <c r="B6" i="5"/>
  <c r="F6" i="5"/>
  <c r="C9" i="2"/>
  <c r="B7" i="5"/>
  <c r="F7" i="5"/>
  <c r="C10" i="2"/>
  <c r="B8" i="5"/>
  <c r="F8" i="5"/>
  <c r="C11" i="2"/>
  <c r="B9" i="5"/>
  <c r="F9" i="5"/>
  <c r="C12" i="2"/>
  <c r="B10" i="5"/>
  <c r="F10" i="5"/>
  <c r="C13" i="2"/>
  <c r="B11" i="5"/>
  <c r="F11" i="5"/>
  <c r="C14" i="2"/>
  <c r="B12" i="5"/>
  <c r="F12" i="5"/>
  <c r="C15" i="2"/>
  <c r="B13" i="5"/>
  <c r="F13" i="5"/>
  <c r="C16" i="2"/>
  <c r="B14" i="5"/>
  <c r="F14" i="5"/>
  <c r="C18" i="2"/>
  <c r="B15" i="5"/>
  <c r="F15" i="5"/>
  <c r="C19" i="2"/>
  <c r="B16" i="5"/>
  <c r="F16" i="5"/>
  <c r="C20" i="2"/>
  <c r="B17" i="5"/>
  <c r="F17" i="5"/>
  <c r="C21" i="2"/>
  <c r="B18" i="5"/>
  <c r="F18" i="5"/>
  <c r="C22" i="2"/>
  <c r="B19" i="5"/>
  <c r="F19" i="5"/>
  <c r="C23" i="2"/>
  <c r="B20" i="5"/>
  <c r="F20" i="5"/>
  <c r="C24" i="2"/>
  <c r="B21" i="5"/>
  <c r="F21" i="5"/>
  <c r="C25" i="2"/>
  <c r="B22" i="5"/>
  <c r="F22" i="5"/>
  <c r="C27" i="2"/>
  <c r="B23" i="5"/>
  <c r="F23" i="5"/>
  <c r="C28" i="2"/>
  <c r="B24" i="5"/>
  <c r="F24" i="5"/>
  <c r="C29" i="2"/>
  <c r="B25" i="5"/>
  <c r="F25" i="5"/>
  <c r="C31" i="2"/>
  <c r="B26" i="5"/>
  <c r="F26" i="5"/>
  <c r="C32" i="2"/>
  <c r="B27" i="5"/>
  <c r="F27" i="5"/>
  <c r="C34" i="2"/>
  <c r="B28" i="5"/>
  <c r="F28" i="5"/>
  <c r="C35" i="2"/>
  <c r="B29" i="5"/>
  <c r="F29" i="5"/>
  <c r="C36" i="2"/>
  <c r="B30" i="5"/>
  <c r="F30" i="5"/>
  <c r="F34"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4" i="5"/>
  <c r="BD33" i="5"/>
  <c r="BC33" i="5"/>
  <c r="AY33" i="5"/>
  <c r="AX33" i="5"/>
  <c r="AT33" i="5"/>
  <c r="AS33" i="5"/>
  <c r="AO33" i="5"/>
  <c r="AN33" i="5"/>
  <c r="AJ33" i="5"/>
  <c r="AI33" i="5"/>
  <c r="AE33" i="5"/>
  <c r="AD33" i="5"/>
  <c r="Z33" i="5"/>
  <c r="Y33" i="5"/>
  <c r="U33" i="5"/>
  <c r="T33" i="5"/>
  <c r="P33" i="5"/>
  <c r="O33" i="5"/>
  <c r="K33" i="5"/>
  <c r="J33" i="5"/>
  <c r="F33" i="5"/>
  <c r="E33" i="5"/>
  <c r="BA30" i="5"/>
  <c r="BB30" i="5"/>
  <c r="AV30" i="5"/>
  <c r="AW30" i="5"/>
  <c r="AQ30" i="5"/>
  <c r="AR30" i="5"/>
  <c r="AL30" i="5"/>
  <c r="AM30" i="5"/>
  <c r="AG30" i="5"/>
  <c r="AH30" i="5"/>
  <c r="AB30" i="5"/>
  <c r="AC30" i="5"/>
  <c r="W30" i="5"/>
  <c r="X30" i="5"/>
  <c r="R30" i="5"/>
  <c r="S30" i="5"/>
  <c r="M30" i="5"/>
  <c r="N30" i="5"/>
  <c r="H30" i="5"/>
  <c r="I30" i="5"/>
  <c r="C30" i="5"/>
  <c r="D30" i="5"/>
  <c r="BA29" i="5"/>
  <c r="BB29" i="5"/>
  <c r="AV29" i="5"/>
  <c r="AW29" i="5"/>
  <c r="AQ29" i="5"/>
  <c r="AR29" i="5"/>
  <c r="AL29" i="5"/>
  <c r="AM29" i="5"/>
  <c r="AG29" i="5"/>
  <c r="AH29" i="5"/>
  <c r="AB29" i="5"/>
  <c r="AC29" i="5"/>
  <c r="W29" i="5"/>
  <c r="X29" i="5"/>
  <c r="R29" i="5"/>
  <c r="S29" i="5"/>
  <c r="M29" i="5"/>
  <c r="N29" i="5"/>
  <c r="H29" i="5"/>
  <c r="I29" i="5"/>
  <c r="C29" i="5"/>
  <c r="D29" i="5"/>
  <c r="BA28" i="5"/>
  <c r="BB28" i="5"/>
  <c r="AV28" i="5"/>
  <c r="AW28" i="5"/>
  <c r="AQ28" i="5"/>
  <c r="AR28" i="5"/>
  <c r="AL28" i="5"/>
  <c r="AM28" i="5"/>
  <c r="AG28" i="5"/>
  <c r="AH28" i="5"/>
  <c r="AB28" i="5"/>
  <c r="AC28" i="5"/>
  <c r="W28" i="5"/>
  <c r="X28" i="5"/>
  <c r="R28" i="5"/>
  <c r="S28" i="5"/>
  <c r="M28" i="5"/>
  <c r="N28" i="5"/>
  <c r="H28" i="5"/>
  <c r="I28" i="5"/>
  <c r="C28" i="5"/>
  <c r="D28" i="5"/>
  <c r="BA27" i="5"/>
  <c r="BB27" i="5"/>
  <c r="AV27" i="5"/>
  <c r="AW27" i="5"/>
  <c r="AQ27" i="5"/>
  <c r="AR27" i="5"/>
  <c r="AL27" i="5"/>
  <c r="AM27" i="5"/>
  <c r="AG27" i="5"/>
  <c r="AH27" i="5"/>
  <c r="AB27" i="5"/>
  <c r="AC27" i="5"/>
  <c r="W27" i="5"/>
  <c r="X27" i="5"/>
  <c r="R27" i="5"/>
  <c r="S27" i="5"/>
  <c r="M27" i="5"/>
  <c r="N27" i="5"/>
  <c r="H27" i="5"/>
  <c r="I27" i="5"/>
  <c r="C27" i="5"/>
  <c r="D27" i="5"/>
  <c r="BA26" i="5"/>
  <c r="BB26" i="5"/>
  <c r="AV26" i="5"/>
  <c r="AW26" i="5"/>
  <c r="AQ26" i="5"/>
  <c r="AR26" i="5"/>
  <c r="AL26" i="5"/>
  <c r="AM26" i="5"/>
  <c r="AG26" i="5"/>
  <c r="AH26" i="5"/>
  <c r="AB26" i="5"/>
  <c r="AC26" i="5"/>
  <c r="W26" i="5"/>
  <c r="X26" i="5"/>
  <c r="R26" i="5"/>
  <c r="S26" i="5"/>
  <c r="M26" i="5"/>
  <c r="N26" i="5"/>
  <c r="H26" i="5"/>
  <c r="I26" i="5"/>
  <c r="C26" i="5"/>
  <c r="D26" i="5"/>
  <c r="BA25" i="5"/>
  <c r="BB25" i="5"/>
  <c r="AV25" i="5"/>
  <c r="AW25" i="5"/>
  <c r="AQ25" i="5"/>
  <c r="AR25" i="5"/>
  <c r="AL25" i="5"/>
  <c r="AM25" i="5"/>
  <c r="AG25" i="5"/>
  <c r="AH25" i="5"/>
  <c r="AB25" i="5"/>
  <c r="AC25" i="5"/>
  <c r="W25" i="5"/>
  <c r="X25" i="5"/>
  <c r="R25" i="5"/>
  <c r="S25" i="5"/>
  <c r="M25" i="5"/>
  <c r="N25" i="5"/>
  <c r="H25" i="5"/>
  <c r="I25" i="5"/>
  <c r="C25" i="5"/>
  <c r="D25" i="5"/>
  <c r="BA24" i="5"/>
  <c r="BB24" i="5"/>
  <c r="AV24" i="5"/>
  <c r="AW24" i="5"/>
  <c r="AQ24" i="5"/>
  <c r="AR24" i="5"/>
  <c r="AL24" i="5"/>
  <c r="AM24" i="5"/>
  <c r="AG24" i="5"/>
  <c r="AH24" i="5"/>
  <c r="AB24" i="5"/>
  <c r="AC24" i="5"/>
  <c r="W24" i="5"/>
  <c r="X24" i="5"/>
  <c r="R24" i="5"/>
  <c r="S24" i="5"/>
  <c r="M24" i="5"/>
  <c r="N24" i="5"/>
  <c r="H24" i="5"/>
  <c r="I24" i="5"/>
  <c r="C24" i="5"/>
  <c r="D24" i="5"/>
  <c r="BA23" i="5"/>
  <c r="BB23" i="5"/>
  <c r="AV23" i="5"/>
  <c r="AW23" i="5"/>
  <c r="AQ23" i="5"/>
  <c r="AR23" i="5"/>
  <c r="AL23" i="5"/>
  <c r="AM23" i="5"/>
  <c r="AG23" i="5"/>
  <c r="AH23" i="5"/>
  <c r="AB23" i="5"/>
  <c r="AC23" i="5"/>
  <c r="W23" i="5"/>
  <c r="X23" i="5"/>
  <c r="R23" i="5"/>
  <c r="S23" i="5"/>
  <c r="M23" i="5"/>
  <c r="N23" i="5"/>
  <c r="H23" i="5"/>
  <c r="I23" i="5"/>
  <c r="C23" i="5"/>
  <c r="D23" i="5"/>
  <c r="BA22" i="5"/>
  <c r="BB22" i="5"/>
  <c r="AV22" i="5"/>
  <c r="AW22" i="5"/>
  <c r="AQ22" i="5"/>
  <c r="AR22" i="5"/>
  <c r="AL22" i="5"/>
  <c r="AM22" i="5"/>
  <c r="AG22" i="5"/>
  <c r="AH22" i="5"/>
  <c r="AB22" i="5"/>
  <c r="AC22" i="5"/>
  <c r="W22" i="5"/>
  <c r="X22" i="5"/>
  <c r="R22" i="5"/>
  <c r="S22" i="5"/>
  <c r="M22" i="5"/>
  <c r="N22" i="5"/>
  <c r="H22" i="5"/>
  <c r="I22" i="5"/>
  <c r="C22" i="5"/>
  <c r="D22" i="5"/>
  <c r="BA21" i="5"/>
  <c r="BB21" i="5"/>
  <c r="AV21" i="5"/>
  <c r="AW21" i="5"/>
  <c r="AQ21" i="5"/>
  <c r="AR21" i="5"/>
  <c r="AL21" i="5"/>
  <c r="AM21" i="5"/>
  <c r="AG21" i="5"/>
  <c r="AH21" i="5"/>
  <c r="AB21" i="5"/>
  <c r="AC21" i="5"/>
  <c r="W21" i="5"/>
  <c r="X21" i="5"/>
  <c r="R21" i="5"/>
  <c r="S21" i="5"/>
  <c r="M21" i="5"/>
  <c r="N21" i="5"/>
  <c r="H21" i="5"/>
  <c r="I21" i="5"/>
  <c r="C21" i="5"/>
  <c r="D21" i="5"/>
  <c r="BA20" i="5"/>
  <c r="BB20" i="5"/>
  <c r="AV20" i="5"/>
  <c r="AW20" i="5"/>
  <c r="AQ20" i="5"/>
  <c r="AR20" i="5"/>
  <c r="AL20" i="5"/>
  <c r="AM20" i="5"/>
  <c r="AG20" i="5"/>
  <c r="AH20" i="5"/>
  <c r="AB20" i="5"/>
  <c r="AC20" i="5"/>
  <c r="W20" i="5"/>
  <c r="X20" i="5"/>
  <c r="R20" i="5"/>
  <c r="S20" i="5"/>
  <c r="M20" i="5"/>
  <c r="N20" i="5"/>
  <c r="H20" i="5"/>
  <c r="I20" i="5"/>
  <c r="C20" i="5"/>
  <c r="D20" i="5"/>
  <c r="BA19" i="5"/>
  <c r="BB19" i="5"/>
  <c r="AV19" i="5"/>
  <c r="AW19" i="5"/>
  <c r="AQ19" i="5"/>
  <c r="AR19" i="5"/>
  <c r="AL19" i="5"/>
  <c r="AM19" i="5"/>
  <c r="AG19" i="5"/>
  <c r="AH19" i="5"/>
  <c r="AB19" i="5"/>
  <c r="AC19" i="5"/>
  <c r="W19" i="5"/>
  <c r="X19" i="5"/>
  <c r="R19" i="5"/>
  <c r="S19" i="5"/>
  <c r="M19" i="5"/>
  <c r="N19" i="5"/>
  <c r="H19" i="5"/>
  <c r="I19" i="5"/>
  <c r="C19" i="5"/>
  <c r="D19" i="5"/>
  <c r="BA18" i="5"/>
  <c r="BB18" i="5"/>
  <c r="AV18" i="5"/>
  <c r="AW18" i="5"/>
  <c r="AQ18" i="5"/>
  <c r="AR18" i="5"/>
  <c r="AL18" i="5"/>
  <c r="AM18" i="5"/>
  <c r="AG18" i="5"/>
  <c r="AH18" i="5"/>
  <c r="AB18" i="5"/>
  <c r="AC18" i="5"/>
  <c r="W18" i="5"/>
  <c r="X18" i="5"/>
  <c r="R18" i="5"/>
  <c r="S18" i="5"/>
  <c r="M18" i="5"/>
  <c r="N18" i="5"/>
  <c r="H18" i="5"/>
  <c r="I18" i="5"/>
  <c r="C18" i="5"/>
  <c r="D18" i="5"/>
  <c r="BA17" i="5"/>
  <c r="BB17" i="5"/>
  <c r="AV17" i="5"/>
  <c r="AW17" i="5"/>
  <c r="AQ17" i="5"/>
  <c r="AR17" i="5"/>
  <c r="AL17" i="5"/>
  <c r="AM17" i="5"/>
  <c r="AG17" i="5"/>
  <c r="AH17" i="5"/>
  <c r="AB17" i="5"/>
  <c r="AC17" i="5"/>
  <c r="W17" i="5"/>
  <c r="X17" i="5"/>
  <c r="R17" i="5"/>
  <c r="S17" i="5"/>
  <c r="M17" i="5"/>
  <c r="N17" i="5"/>
  <c r="H17" i="5"/>
  <c r="I17" i="5"/>
  <c r="C17" i="5"/>
  <c r="D17" i="5"/>
  <c r="BA16" i="5"/>
  <c r="BB16" i="5"/>
  <c r="AV16" i="5"/>
  <c r="AW16" i="5"/>
  <c r="AQ16" i="5"/>
  <c r="AR16" i="5"/>
  <c r="AL16" i="5"/>
  <c r="AM16" i="5"/>
  <c r="AG16" i="5"/>
  <c r="AH16" i="5"/>
  <c r="AB16" i="5"/>
  <c r="AC16" i="5"/>
  <c r="W16" i="5"/>
  <c r="X16" i="5"/>
  <c r="R16" i="5"/>
  <c r="S16" i="5"/>
  <c r="M16" i="5"/>
  <c r="N16" i="5"/>
  <c r="H16" i="5"/>
  <c r="I16" i="5"/>
  <c r="C16" i="5"/>
  <c r="D16" i="5"/>
  <c r="BA15" i="5"/>
  <c r="BB15" i="5"/>
  <c r="AV15" i="5"/>
  <c r="AW15" i="5"/>
  <c r="AQ15" i="5"/>
  <c r="AR15" i="5"/>
  <c r="AL15" i="5"/>
  <c r="AM15" i="5"/>
  <c r="AG15" i="5"/>
  <c r="AH15" i="5"/>
  <c r="AB15" i="5"/>
  <c r="AC15" i="5"/>
  <c r="W15" i="5"/>
  <c r="X15" i="5"/>
  <c r="R15" i="5"/>
  <c r="S15" i="5"/>
  <c r="M15" i="5"/>
  <c r="N15" i="5"/>
  <c r="H15" i="5"/>
  <c r="I15" i="5"/>
  <c r="C15" i="5"/>
  <c r="D15" i="5"/>
  <c r="BA14" i="5"/>
  <c r="BB14" i="5"/>
  <c r="AV14" i="5"/>
  <c r="AW14" i="5"/>
  <c r="AQ14" i="5"/>
  <c r="AR14" i="5"/>
  <c r="AL14" i="5"/>
  <c r="AM14" i="5"/>
  <c r="AG14" i="5"/>
  <c r="AH14" i="5"/>
  <c r="AB14" i="5"/>
  <c r="AC14" i="5"/>
  <c r="W14" i="5"/>
  <c r="X14" i="5"/>
  <c r="R14" i="5"/>
  <c r="S14" i="5"/>
  <c r="M14" i="5"/>
  <c r="N14" i="5"/>
  <c r="H14" i="5"/>
  <c r="I14" i="5"/>
  <c r="C14" i="5"/>
  <c r="D14" i="5"/>
  <c r="BA13" i="5"/>
  <c r="BB13" i="5"/>
  <c r="AV13" i="5"/>
  <c r="AW13" i="5"/>
  <c r="AQ13" i="5"/>
  <c r="AR13" i="5"/>
  <c r="AL13" i="5"/>
  <c r="AM13" i="5"/>
  <c r="AG13" i="5"/>
  <c r="AH13" i="5"/>
  <c r="AB13" i="5"/>
  <c r="AC13" i="5"/>
  <c r="W13" i="5"/>
  <c r="X13" i="5"/>
  <c r="R13" i="5"/>
  <c r="S13" i="5"/>
  <c r="M13" i="5"/>
  <c r="N13" i="5"/>
  <c r="H13" i="5"/>
  <c r="I13" i="5"/>
  <c r="C13" i="5"/>
  <c r="D13" i="5"/>
  <c r="BA12" i="5"/>
  <c r="BB12" i="5"/>
  <c r="AV12" i="5"/>
  <c r="AW12" i="5"/>
  <c r="AQ12" i="5"/>
  <c r="AR12" i="5"/>
  <c r="AL12" i="5"/>
  <c r="AM12" i="5"/>
  <c r="AG12" i="5"/>
  <c r="AH12" i="5"/>
  <c r="AB12" i="5"/>
  <c r="AC12" i="5"/>
  <c r="W12" i="5"/>
  <c r="X12" i="5"/>
  <c r="R12" i="5"/>
  <c r="S12" i="5"/>
  <c r="M12" i="5"/>
  <c r="N12" i="5"/>
  <c r="H12" i="5"/>
  <c r="I12" i="5"/>
  <c r="C12" i="5"/>
  <c r="D12" i="5"/>
  <c r="BA11" i="5"/>
  <c r="BB11" i="5"/>
  <c r="AV11" i="5"/>
  <c r="AW11" i="5"/>
  <c r="AQ11" i="5"/>
  <c r="AR11" i="5"/>
  <c r="AL11" i="5"/>
  <c r="AM11" i="5"/>
  <c r="AG11" i="5"/>
  <c r="AH11" i="5"/>
  <c r="AB11" i="5"/>
  <c r="AC11" i="5"/>
  <c r="W11" i="5"/>
  <c r="X11" i="5"/>
  <c r="R11" i="5"/>
  <c r="S11" i="5"/>
  <c r="M11" i="5"/>
  <c r="N11" i="5"/>
  <c r="H11" i="5"/>
  <c r="I11" i="5"/>
  <c r="C11" i="5"/>
  <c r="D11" i="5"/>
  <c r="BA10" i="5"/>
  <c r="BB10" i="5"/>
  <c r="AV10" i="5"/>
  <c r="AW10" i="5"/>
  <c r="AQ10" i="5"/>
  <c r="AR10" i="5"/>
  <c r="AL10" i="5"/>
  <c r="AM10" i="5"/>
  <c r="AG10" i="5"/>
  <c r="AH10" i="5"/>
  <c r="AB10" i="5"/>
  <c r="AC10" i="5"/>
  <c r="W10" i="5"/>
  <c r="X10" i="5"/>
  <c r="R10" i="5"/>
  <c r="S10" i="5"/>
  <c r="M10" i="5"/>
  <c r="N10" i="5"/>
  <c r="H10" i="5"/>
  <c r="I10" i="5"/>
  <c r="C10" i="5"/>
  <c r="D10" i="5"/>
  <c r="BA9" i="5"/>
  <c r="BB9" i="5"/>
  <c r="AV9" i="5"/>
  <c r="AW9" i="5"/>
  <c r="AQ9" i="5"/>
  <c r="AR9" i="5"/>
  <c r="AL9" i="5"/>
  <c r="AM9" i="5"/>
  <c r="AG9" i="5"/>
  <c r="AH9" i="5"/>
  <c r="AB9" i="5"/>
  <c r="AC9" i="5"/>
  <c r="W9" i="5"/>
  <c r="X9" i="5"/>
  <c r="R9" i="5"/>
  <c r="S9" i="5"/>
  <c r="M9" i="5"/>
  <c r="N9" i="5"/>
  <c r="H9" i="5"/>
  <c r="I9" i="5"/>
  <c r="C9" i="5"/>
  <c r="D9" i="5"/>
  <c r="BA8" i="5"/>
  <c r="BB8" i="5"/>
  <c r="AV8" i="5"/>
  <c r="AW8" i="5"/>
  <c r="AQ8" i="5"/>
  <c r="AR8" i="5"/>
  <c r="AL8" i="5"/>
  <c r="AM8" i="5"/>
  <c r="AG8" i="5"/>
  <c r="AH8" i="5"/>
  <c r="AB8" i="5"/>
  <c r="AC8" i="5"/>
  <c r="W8" i="5"/>
  <c r="X8" i="5"/>
  <c r="R8" i="5"/>
  <c r="S8" i="5"/>
  <c r="M8" i="5"/>
  <c r="N8" i="5"/>
  <c r="H8" i="5"/>
  <c r="I8" i="5"/>
  <c r="C8" i="5"/>
  <c r="D8" i="5"/>
  <c r="BA7" i="5"/>
  <c r="BB7" i="5"/>
  <c r="AV7" i="5"/>
  <c r="AW7" i="5"/>
  <c r="AQ7" i="5"/>
  <c r="AR7" i="5"/>
  <c r="AL7" i="5"/>
  <c r="AM7" i="5"/>
  <c r="AG7" i="5"/>
  <c r="AH7" i="5"/>
  <c r="AB7" i="5"/>
  <c r="AC7" i="5"/>
  <c r="W7" i="5"/>
  <c r="X7" i="5"/>
  <c r="R7" i="5"/>
  <c r="S7" i="5"/>
  <c r="M7" i="5"/>
  <c r="N7" i="5"/>
  <c r="H7" i="5"/>
  <c r="I7" i="5"/>
  <c r="C7" i="5"/>
  <c r="D7" i="5"/>
  <c r="BA6" i="5"/>
  <c r="BB6" i="5"/>
  <c r="AV6" i="5"/>
  <c r="AW6" i="5"/>
  <c r="AQ6" i="5"/>
  <c r="AR6" i="5"/>
  <c r="AL6" i="5"/>
  <c r="AM6" i="5"/>
  <c r="AG6" i="5"/>
  <c r="AH6" i="5"/>
  <c r="AB6" i="5"/>
  <c r="AC6" i="5"/>
  <c r="W6" i="5"/>
  <c r="X6" i="5"/>
  <c r="R6" i="5"/>
  <c r="S6" i="5"/>
  <c r="M6" i="5"/>
  <c r="N6" i="5"/>
  <c r="H6" i="5"/>
  <c r="I6" i="5"/>
  <c r="C6" i="5"/>
  <c r="D6" i="5"/>
  <c r="BA5" i="5"/>
  <c r="BB5" i="5"/>
  <c r="AV5" i="5"/>
  <c r="AW5" i="5"/>
  <c r="AQ5" i="5"/>
  <c r="AR5" i="5"/>
  <c r="AL5" i="5"/>
  <c r="AM5" i="5"/>
  <c r="AG5" i="5"/>
  <c r="AH5" i="5"/>
  <c r="AB5" i="5"/>
  <c r="AC5" i="5"/>
  <c r="W5" i="5"/>
  <c r="X5" i="5"/>
  <c r="R5" i="5"/>
  <c r="S5" i="5"/>
  <c r="M5" i="5"/>
  <c r="N5" i="5"/>
  <c r="H5" i="5"/>
  <c r="I5" i="5"/>
  <c r="C5" i="5"/>
  <c r="D5" i="5"/>
  <c r="BA4" i="5"/>
  <c r="BB4" i="5"/>
  <c r="AV4" i="5"/>
  <c r="AW4" i="5"/>
  <c r="AQ4" i="5"/>
  <c r="AR4" i="5"/>
  <c r="AL4" i="5"/>
  <c r="AM4" i="5"/>
  <c r="AG4" i="5"/>
  <c r="AH4" i="5"/>
  <c r="AB4" i="5"/>
  <c r="AC4" i="5"/>
  <c r="W4" i="5"/>
  <c r="X4" i="5"/>
  <c r="R4" i="5"/>
  <c r="S4" i="5"/>
  <c r="M4" i="5"/>
  <c r="N4" i="5"/>
  <c r="H4" i="5"/>
  <c r="I4" i="5"/>
  <c r="C4" i="5"/>
  <c r="D4" i="5"/>
  <c r="BA3" i="5"/>
  <c r="BB3" i="5"/>
  <c r="AV3" i="5"/>
  <c r="AW3" i="5"/>
  <c r="AQ3" i="5"/>
  <c r="AR3" i="5"/>
  <c r="AL3" i="5"/>
  <c r="AM3" i="5"/>
  <c r="AG3" i="5"/>
  <c r="AH3" i="5"/>
  <c r="AB3" i="5"/>
  <c r="AC3" i="5"/>
  <c r="W3" i="5"/>
  <c r="X3" i="5"/>
  <c r="R3" i="5"/>
  <c r="S3" i="5"/>
  <c r="M3" i="5"/>
  <c r="N3" i="5"/>
  <c r="H3" i="5"/>
  <c r="I3" i="5"/>
  <c r="C3" i="5"/>
  <c r="D3" i="5"/>
  <c r="V3" i="4"/>
  <c r="X3" i="4"/>
  <c r="V4" i="4"/>
  <c r="X4" i="4"/>
  <c r="V5" i="4"/>
  <c r="X5" i="4"/>
  <c r="V6" i="4"/>
  <c r="X6" i="4"/>
  <c r="V7" i="4"/>
  <c r="X7" i="4"/>
  <c r="V8" i="4"/>
  <c r="X8" i="4"/>
  <c r="X10" i="4"/>
  <c r="K3" i="1"/>
  <c r="K4" i="1"/>
  <c r="K5" i="1"/>
  <c r="K6" i="1"/>
  <c r="K7" i="1"/>
  <c r="K8" i="1"/>
  <c r="K9" i="1"/>
  <c r="K10" i="1"/>
  <c r="K11" i="1"/>
  <c r="K12" i="1"/>
  <c r="K13" i="1"/>
  <c r="K14" i="1"/>
  <c r="K15" i="1"/>
  <c r="K16" i="1"/>
  <c r="K17" i="1"/>
  <c r="K18" i="1"/>
  <c r="K19" i="1"/>
  <c r="K20" i="1"/>
  <c r="K21" i="1"/>
  <c r="K22" i="1"/>
  <c r="K23" i="1"/>
  <c r="K24" i="1"/>
  <c r="A33" i="1"/>
  <c r="A34" i="1"/>
  <c r="A35" i="1"/>
  <c r="A36" i="1"/>
  <c r="A37" i="1"/>
  <c r="A38" i="1"/>
  <c r="A39" i="1"/>
  <c r="C39" i="1"/>
  <c r="F39" i="1"/>
  <c r="G39" i="1"/>
  <c r="C33" i="1"/>
  <c r="F33" i="1"/>
  <c r="G33" i="1"/>
  <c r="C34" i="1"/>
  <c r="F34" i="1"/>
  <c r="G34" i="1"/>
  <c r="C35" i="1"/>
  <c r="F35" i="1"/>
  <c r="G35" i="1"/>
  <c r="C36" i="1"/>
  <c r="F36" i="1"/>
  <c r="G36" i="1"/>
  <c r="C37" i="1"/>
  <c r="F37" i="1"/>
  <c r="G37" i="1"/>
  <c r="C38" i="1"/>
  <c r="F38" i="1"/>
  <c r="G38" i="1"/>
  <c r="K25" i="1"/>
  <c r="K26" i="1"/>
  <c r="K27" i="1"/>
  <c r="K28" i="1"/>
  <c r="K29" i="1"/>
  <c r="K30" i="1"/>
  <c r="K31" i="1"/>
  <c r="K32" i="1"/>
  <c r="K33" i="1"/>
  <c r="K34" i="1"/>
  <c r="K35" i="1"/>
  <c r="K36" i="1"/>
  <c r="K37" i="1"/>
  <c r="K38" i="1"/>
  <c r="K39" i="1"/>
  <c r="T21" i="4"/>
  <c r="V21" i="4"/>
  <c r="X21" i="4"/>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T22" i="4"/>
  <c r="V22" i="4"/>
  <c r="X22" i="4"/>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T23" i="4"/>
  <c r="V23" i="4"/>
  <c r="X23" i="4"/>
  <c r="G65" i="1"/>
  <c r="G66" i="1"/>
  <c r="K57" i="1"/>
  <c r="K58" i="1"/>
  <c r="K59" i="1"/>
  <c r="K60" i="1"/>
  <c r="K61" i="1"/>
  <c r="K62" i="1"/>
  <c r="K63" i="1"/>
  <c r="K64" i="1"/>
  <c r="K65" i="1"/>
  <c r="K66" i="1"/>
  <c r="K67" i="1"/>
  <c r="K68" i="1"/>
  <c r="K69" i="1"/>
  <c r="K70" i="1"/>
  <c r="K71" i="1"/>
  <c r="K72" i="1"/>
  <c r="K73" i="1"/>
  <c r="T24" i="4"/>
  <c r="V24" i="4"/>
  <c r="X24" i="4"/>
  <c r="AU3" i="1"/>
  <c r="AU4" i="1"/>
  <c r="AU5" i="1"/>
  <c r="AU6" i="1"/>
  <c r="AU7" i="1"/>
  <c r="AU8" i="1"/>
  <c r="AU9" i="1"/>
  <c r="AU10" i="1"/>
  <c r="AU11" i="1"/>
  <c r="AU12" i="1"/>
  <c r="AU13" i="1"/>
  <c r="T25" i="4"/>
  <c r="V25" i="4"/>
  <c r="X25" i="4"/>
  <c r="AU35" i="1"/>
  <c r="AU36" i="1"/>
  <c r="AU37" i="1"/>
  <c r="AU38" i="1"/>
  <c r="AU39" i="1"/>
  <c r="AU40" i="1"/>
  <c r="AU41" i="1"/>
  <c r="AU42" i="1"/>
  <c r="AU43" i="1"/>
  <c r="AU44" i="1"/>
  <c r="AU45" i="1"/>
  <c r="T26" i="4"/>
  <c r="V26" i="4"/>
  <c r="X26" i="4"/>
  <c r="X28" i="4"/>
  <c r="Y28" i="4"/>
  <c r="V10" i="4"/>
  <c r="V28" i="4"/>
  <c r="W28" i="4"/>
  <c r="T10" i="4"/>
  <c r="T28" i="4"/>
  <c r="U28" i="4"/>
  <c r="Y26" i="4"/>
  <c r="W26" i="4"/>
  <c r="U26" i="4"/>
  <c r="Y25" i="4"/>
  <c r="W25" i="4"/>
  <c r="U25" i="4"/>
  <c r="Y24" i="4"/>
  <c r="W24" i="4"/>
  <c r="U24" i="4"/>
  <c r="Y23" i="4"/>
  <c r="W23" i="4"/>
  <c r="U23" i="4"/>
  <c r="Y22" i="4"/>
  <c r="W22" i="4"/>
  <c r="U22" i="4"/>
  <c r="Y21" i="4"/>
  <c r="W21" i="4"/>
  <c r="U21" i="4"/>
  <c r="V18" i="4"/>
  <c r="T18" i="4"/>
  <c r="V17" i="4"/>
  <c r="T17" i="4"/>
  <c r="V16" i="4"/>
  <c r="T16" i="4"/>
  <c r="V15" i="4"/>
  <c r="T15" i="4"/>
  <c r="V14" i="4"/>
  <c r="T14" i="4"/>
  <c r="V13" i="4"/>
  <c r="T13" i="4"/>
  <c r="X11" i="4"/>
  <c r="V11" i="4"/>
  <c r="S10" i="4"/>
  <c r="W8" i="4"/>
  <c r="U8" i="4"/>
  <c r="W7" i="4"/>
  <c r="U7" i="4"/>
  <c r="Y6" i="4"/>
  <c r="W6" i="4"/>
  <c r="U6" i="4"/>
  <c r="Y5" i="4"/>
  <c r="W5" i="4"/>
  <c r="U5" i="4"/>
  <c r="Y4" i="4"/>
  <c r="W4" i="4"/>
  <c r="U4" i="4"/>
  <c r="Y3" i="4"/>
  <c r="W3" i="4"/>
  <c r="U3" i="4"/>
  <c r="B57" i="3"/>
  <c r="C57" i="3"/>
  <c r="D57" i="3"/>
  <c r="E57" i="3"/>
  <c r="F57" i="3"/>
  <c r="G57" i="3"/>
  <c r="H57" i="3"/>
  <c r="I57" i="3"/>
  <c r="J57" i="3"/>
  <c r="K57" i="3"/>
  <c r="L57" i="3"/>
  <c r="N57" i="3"/>
  <c r="B56" i="3"/>
  <c r="C56" i="3"/>
  <c r="D56" i="3"/>
  <c r="E56" i="3"/>
  <c r="F56" i="3"/>
  <c r="G56" i="3"/>
  <c r="H56" i="3"/>
  <c r="I56" i="3"/>
  <c r="J56" i="3"/>
  <c r="K56" i="3"/>
  <c r="L56" i="3"/>
  <c r="N56" i="3"/>
  <c r="B55" i="3"/>
  <c r="C55" i="3"/>
  <c r="D55" i="3"/>
  <c r="E55" i="3"/>
  <c r="F55" i="3"/>
  <c r="G55" i="3"/>
  <c r="H55" i="3"/>
  <c r="I55" i="3"/>
  <c r="J55" i="3"/>
  <c r="K55" i="3"/>
  <c r="L55" i="3"/>
  <c r="N55" i="3"/>
  <c r="B54" i="3"/>
  <c r="C54" i="3"/>
  <c r="D54" i="3"/>
  <c r="E54" i="3"/>
  <c r="F54" i="3"/>
  <c r="G54" i="3"/>
  <c r="H54" i="3"/>
  <c r="I54" i="3"/>
  <c r="J54" i="3"/>
  <c r="K54" i="3"/>
  <c r="L54" i="3"/>
  <c r="N54" i="3"/>
  <c r="B53" i="3"/>
  <c r="C53" i="3"/>
  <c r="D53" i="3"/>
  <c r="E53" i="3"/>
  <c r="F53" i="3"/>
  <c r="G53" i="3"/>
  <c r="H53" i="3"/>
  <c r="I53" i="3"/>
  <c r="J53" i="3"/>
  <c r="K53" i="3"/>
  <c r="L53" i="3"/>
  <c r="N53" i="3"/>
  <c r="B52" i="3"/>
  <c r="C52" i="3"/>
  <c r="D52" i="3"/>
  <c r="E52" i="3"/>
  <c r="F52" i="3"/>
  <c r="G52" i="3"/>
  <c r="H52" i="3"/>
  <c r="I52" i="3"/>
  <c r="J52" i="3"/>
  <c r="K52" i="3"/>
  <c r="L52" i="3"/>
  <c r="N52" i="3"/>
  <c r="B49" i="3"/>
  <c r="C49" i="3"/>
  <c r="D49" i="3"/>
  <c r="E49" i="3"/>
  <c r="F49" i="3"/>
  <c r="G49" i="3"/>
  <c r="H49" i="3"/>
  <c r="I49" i="3"/>
  <c r="J49" i="3"/>
  <c r="K49" i="3"/>
  <c r="L49" i="3"/>
  <c r="N49" i="3"/>
  <c r="B48" i="3"/>
  <c r="C48" i="3"/>
  <c r="D48" i="3"/>
  <c r="E48" i="3"/>
  <c r="F48" i="3"/>
  <c r="G48" i="3"/>
  <c r="H48" i="3"/>
  <c r="I48" i="3"/>
  <c r="J48" i="3"/>
  <c r="K48" i="3"/>
  <c r="L48" i="3"/>
  <c r="N48" i="3"/>
  <c r="B47" i="3"/>
  <c r="C47" i="3"/>
  <c r="D47" i="3"/>
  <c r="E47" i="3"/>
  <c r="F47" i="3"/>
  <c r="G47" i="3"/>
  <c r="H47" i="3"/>
  <c r="I47" i="3"/>
  <c r="J47" i="3"/>
  <c r="K47" i="3"/>
  <c r="L47" i="3"/>
  <c r="N47" i="3"/>
  <c r="B46" i="3"/>
  <c r="C46" i="3"/>
  <c r="D46" i="3"/>
  <c r="E46" i="3"/>
  <c r="F46" i="3"/>
  <c r="G46" i="3"/>
  <c r="H46" i="3"/>
  <c r="I46" i="3"/>
  <c r="J46" i="3"/>
  <c r="K46" i="3"/>
  <c r="L46" i="3"/>
  <c r="N46" i="3"/>
  <c r="B45" i="3"/>
  <c r="C45" i="3"/>
  <c r="D45" i="3"/>
  <c r="E45" i="3"/>
  <c r="F45" i="3"/>
  <c r="G45" i="3"/>
  <c r="H45" i="3"/>
  <c r="I45" i="3"/>
  <c r="J45" i="3"/>
  <c r="K45" i="3"/>
  <c r="L45" i="3"/>
  <c r="N45" i="3"/>
  <c r="B44" i="3"/>
  <c r="C44" i="3"/>
  <c r="D44" i="3"/>
  <c r="E44" i="3"/>
  <c r="F44" i="3"/>
  <c r="G44" i="3"/>
  <c r="H44" i="3"/>
  <c r="I44" i="3"/>
  <c r="J44" i="3"/>
  <c r="K44" i="3"/>
  <c r="L44" i="3"/>
  <c r="N44" i="3"/>
  <c r="V8" i="3"/>
  <c r="V3" i="3"/>
  <c r="V4" i="3"/>
  <c r="V5" i="3"/>
  <c r="V6" i="3"/>
  <c r="V7" i="3"/>
  <c r="V9" i="3"/>
  <c r="V41" i="3"/>
  <c r="R9" i="3"/>
  <c r="R41" i="3"/>
  <c r="P9" i="3"/>
  <c r="P41" i="3"/>
  <c r="F45" i="2"/>
  <c r="B8" i="3"/>
  <c r="L45" i="2"/>
  <c r="C8" i="3"/>
  <c r="R45" i="2"/>
  <c r="D8" i="3"/>
  <c r="X45" i="2"/>
  <c r="E8" i="3"/>
  <c r="AD45" i="2"/>
  <c r="F8" i="3"/>
  <c r="AJ45" i="2"/>
  <c r="G8" i="3"/>
  <c r="AP45" i="2"/>
  <c r="H8" i="3"/>
  <c r="AV45" i="2"/>
  <c r="I8" i="3"/>
  <c r="BB45" i="2"/>
  <c r="J8" i="3"/>
  <c r="BH45" i="2"/>
  <c r="K8" i="3"/>
  <c r="BN45" i="2"/>
  <c r="L8" i="3"/>
  <c r="N8" i="3"/>
  <c r="N41" i="3"/>
  <c r="L41" i="3"/>
  <c r="K41" i="3"/>
  <c r="J41" i="3"/>
  <c r="I41" i="3"/>
  <c r="H41" i="3"/>
  <c r="G41" i="3"/>
  <c r="F41" i="3"/>
  <c r="E41" i="3"/>
  <c r="D41" i="3"/>
  <c r="C41" i="3"/>
  <c r="B41" i="3"/>
  <c r="V40" i="3"/>
  <c r="R40" i="3"/>
  <c r="P40" i="3"/>
  <c r="F44" i="2"/>
  <c r="B7" i="3"/>
  <c r="L44" i="2"/>
  <c r="C7" i="3"/>
  <c r="R44" i="2"/>
  <c r="D7" i="3"/>
  <c r="X44" i="2"/>
  <c r="E7" i="3"/>
  <c r="AD44" i="2"/>
  <c r="F7" i="3"/>
  <c r="AJ44" i="2"/>
  <c r="G7" i="3"/>
  <c r="AP44" i="2"/>
  <c r="H7" i="3"/>
  <c r="AV44" i="2"/>
  <c r="I7" i="3"/>
  <c r="BB44" i="2"/>
  <c r="J7" i="3"/>
  <c r="BH44" i="2"/>
  <c r="K7" i="3"/>
  <c r="BN44" i="2"/>
  <c r="L7" i="3"/>
  <c r="N7" i="3"/>
  <c r="N40" i="3"/>
  <c r="L40" i="3"/>
  <c r="K40" i="3"/>
  <c r="J40" i="3"/>
  <c r="I40" i="3"/>
  <c r="H40" i="3"/>
  <c r="G40" i="3"/>
  <c r="F40" i="3"/>
  <c r="E40" i="3"/>
  <c r="D40" i="3"/>
  <c r="C40" i="3"/>
  <c r="B40" i="3"/>
  <c r="V39" i="3"/>
  <c r="R39" i="3"/>
  <c r="P39" i="3"/>
  <c r="F43" i="2"/>
  <c r="B6" i="3"/>
  <c r="L43" i="2"/>
  <c r="C6" i="3"/>
  <c r="R43" i="2"/>
  <c r="D6" i="3"/>
  <c r="X43" i="2"/>
  <c r="E6" i="3"/>
  <c r="AD43" i="2"/>
  <c r="F6" i="3"/>
  <c r="AJ43" i="2"/>
  <c r="G6" i="3"/>
  <c r="AP43" i="2"/>
  <c r="H6" i="3"/>
  <c r="AV43" i="2"/>
  <c r="I6" i="3"/>
  <c r="BB43" i="2"/>
  <c r="J6" i="3"/>
  <c r="BH43" i="2"/>
  <c r="K6" i="3"/>
  <c r="BN43" i="2"/>
  <c r="L6" i="3"/>
  <c r="N6" i="3"/>
  <c r="N39" i="3"/>
  <c r="L39" i="3"/>
  <c r="K39" i="3"/>
  <c r="J39" i="3"/>
  <c r="I39" i="3"/>
  <c r="H39" i="3"/>
  <c r="G39" i="3"/>
  <c r="F39" i="3"/>
  <c r="E39" i="3"/>
  <c r="D39" i="3"/>
  <c r="C39" i="3"/>
  <c r="B39" i="3"/>
  <c r="V38" i="3"/>
  <c r="R38" i="3"/>
  <c r="P38" i="3"/>
  <c r="F42" i="2"/>
  <c r="B5" i="3"/>
  <c r="L42" i="2"/>
  <c r="C5" i="3"/>
  <c r="R42" i="2"/>
  <c r="D5" i="3"/>
  <c r="X42" i="2"/>
  <c r="E5" i="3"/>
  <c r="AD42" i="2"/>
  <c r="F5" i="3"/>
  <c r="AJ42" i="2"/>
  <c r="G5" i="3"/>
  <c r="AP42" i="2"/>
  <c r="H5" i="3"/>
  <c r="AV42" i="2"/>
  <c r="I5" i="3"/>
  <c r="BB42" i="2"/>
  <c r="J5" i="3"/>
  <c r="BH42" i="2"/>
  <c r="K5" i="3"/>
  <c r="BN42" i="2"/>
  <c r="L5" i="3"/>
  <c r="N5" i="3"/>
  <c r="N38" i="3"/>
  <c r="L38" i="3"/>
  <c r="K38" i="3"/>
  <c r="J38" i="3"/>
  <c r="I38" i="3"/>
  <c r="H38" i="3"/>
  <c r="G38" i="3"/>
  <c r="F38" i="3"/>
  <c r="E38" i="3"/>
  <c r="D38" i="3"/>
  <c r="C38" i="3"/>
  <c r="B38" i="3"/>
  <c r="V37" i="3"/>
  <c r="R37" i="3"/>
  <c r="P37" i="3"/>
  <c r="F41" i="2"/>
  <c r="B4" i="3"/>
  <c r="L41" i="2"/>
  <c r="C4" i="3"/>
  <c r="R41" i="2"/>
  <c r="D4" i="3"/>
  <c r="X41" i="2"/>
  <c r="E4" i="3"/>
  <c r="AD41" i="2"/>
  <c r="F4" i="3"/>
  <c r="AJ41" i="2"/>
  <c r="G4" i="3"/>
  <c r="AP41" i="2"/>
  <c r="H4" i="3"/>
  <c r="AV41" i="2"/>
  <c r="I4" i="3"/>
  <c r="BB41" i="2"/>
  <c r="J4" i="3"/>
  <c r="BH41" i="2"/>
  <c r="K4" i="3"/>
  <c r="BN41" i="2"/>
  <c r="L4" i="3"/>
  <c r="N4" i="3"/>
  <c r="N37" i="3"/>
  <c r="L37" i="3"/>
  <c r="K37" i="3"/>
  <c r="J37" i="3"/>
  <c r="I37" i="3"/>
  <c r="H37" i="3"/>
  <c r="G37" i="3"/>
  <c r="F37" i="3"/>
  <c r="E37" i="3"/>
  <c r="D37" i="3"/>
  <c r="C37" i="3"/>
  <c r="B37" i="3"/>
  <c r="V36" i="3"/>
  <c r="R36" i="3"/>
  <c r="P36" i="3"/>
  <c r="F40" i="2"/>
  <c r="B3" i="3"/>
  <c r="L40" i="2"/>
  <c r="C3" i="3"/>
  <c r="R40" i="2"/>
  <c r="D3" i="3"/>
  <c r="X40" i="2"/>
  <c r="E3" i="3"/>
  <c r="AD40" i="2"/>
  <c r="F3" i="3"/>
  <c r="AJ40" i="2"/>
  <c r="G3" i="3"/>
  <c r="AP40" i="2"/>
  <c r="H3" i="3"/>
  <c r="AV40" i="2"/>
  <c r="I3" i="3"/>
  <c r="BB40" i="2"/>
  <c r="J3" i="3"/>
  <c r="BH40" i="2"/>
  <c r="K3" i="3"/>
  <c r="BN40" i="2"/>
  <c r="L3" i="3"/>
  <c r="N3" i="3"/>
  <c r="N36" i="3"/>
  <c r="L36" i="3"/>
  <c r="K36" i="3"/>
  <c r="J36" i="3"/>
  <c r="I36" i="3"/>
  <c r="H36" i="3"/>
  <c r="G36" i="3"/>
  <c r="F36" i="3"/>
  <c r="E36" i="3"/>
  <c r="D36" i="3"/>
  <c r="C36" i="3"/>
  <c r="B36" i="3"/>
  <c r="B40" i="2"/>
  <c r="B26" i="3"/>
  <c r="B41" i="2"/>
  <c r="B27" i="3"/>
  <c r="B42" i="2"/>
  <c r="B28" i="3"/>
  <c r="B43" i="2"/>
  <c r="B29" i="3"/>
  <c r="B44" i="2"/>
  <c r="B30" i="3"/>
  <c r="B45" i="2"/>
  <c r="B31" i="3"/>
  <c r="B32" i="3"/>
  <c r="B33" i="3"/>
  <c r="H40" i="2"/>
  <c r="C26" i="3"/>
  <c r="H41" i="2"/>
  <c r="C27" i="3"/>
  <c r="H42" i="2"/>
  <c r="C28" i="3"/>
  <c r="H43" i="2"/>
  <c r="C29" i="3"/>
  <c r="H44" i="2"/>
  <c r="C30" i="3"/>
  <c r="H45" i="2"/>
  <c r="C31" i="3"/>
  <c r="C32" i="3"/>
  <c r="C33" i="3"/>
  <c r="N40" i="2"/>
  <c r="D26" i="3"/>
  <c r="N41" i="2"/>
  <c r="D27" i="3"/>
  <c r="N42" i="2"/>
  <c r="D28" i="3"/>
  <c r="N43" i="2"/>
  <c r="D29" i="3"/>
  <c r="N44" i="2"/>
  <c r="D30" i="3"/>
  <c r="N45" i="2"/>
  <c r="D31" i="3"/>
  <c r="D32" i="3"/>
  <c r="D33" i="3"/>
  <c r="T40" i="2"/>
  <c r="E26" i="3"/>
  <c r="T41" i="2"/>
  <c r="E27" i="3"/>
  <c r="T42" i="2"/>
  <c r="E28" i="3"/>
  <c r="T43" i="2"/>
  <c r="E29" i="3"/>
  <c r="T44" i="2"/>
  <c r="E30" i="3"/>
  <c r="T45" i="2"/>
  <c r="E31" i="3"/>
  <c r="E32" i="3"/>
  <c r="E33" i="3"/>
  <c r="Z40" i="2"/>
  <c r="F26" i="3"/>
  <c r="Z41" i="2"/>
  <c r="F27" i="3"/>
  <c r="Z42" i="2"/>
  <c r="F28" i="3"/>
  <c r="Z43" i="2"/>
  <c r="F29" i="3"/>
  <c r="Z44" i="2"/>
  <c r="F30" i="3"/>
  <c r="Z45" i="2"/>
  <c r="F31" i="3"/>
  <c r="F32" i="3"/>
  <c r="F33" i="3"/>
  <c r="AF40" i="2"/>
  <c r="G26" i="3"/>
  <c r="AF41" i="2"/>
  <c r="G27" i="3"/>
  <c r="AF42" i="2"/>
  <c r="G28" i="3"/>
  <c r="AF43" i="2"/>
  <c r="G29" i="3"/>
  <c r="AF44" i="2"/>
  <c r="G30" i="3"/>
  <c r="AF45" i="2"/>
  <c r="G31" i="3"/>
  <c r="G32" i="3"/>
  <c r="G33" i="3"/>
  <c r="AL40" i="2"/>
  <c r="H26" i="3"/>
  <c r="AL41" i="2"/>
  <c r="H27" i="3"/>
  <c r="AL42" i="2"/>
  <c r="H28" i="3"/>
  <c r="AL43" i="2"/>
  <c r="H29" i="3"/>
  <c r="AL44" i="2"/>
  <c r="H30" i="3"/>
  <c r="AL45" i="2"/>
  <c r="H31" i="3"/>
  <c r="H32" i="3"/>
  <c r="H33" i="3"/>
  <c r="AR40" i="2"/>
  <c r="I26" i="3"/>
  <c r="AR41" i="2"/>
  <c r="I27" i="3"/>
  <c r="AR42" i="2"/>
  <c r="I28" i="3"/>
  <c r="AR43" i="2"/>
  <c r="I29" i="3"/>
  <c r="AR44" i="2"/>
  <c r="I30" i="3"/>
  <c r="AR45" i="2"/>
  <c r="I31" i="3"/>
  <c r="I32" i="3"/>
  <c r="I33" i="3"/>
  <c r="AX40" i="2"/>
  <c r="J26" i="3"/>
  <c r="AX41" i="2"/>
  <c r="J27" i="3"/>
  <c r="AX42" i="2"/>
  <c r="J28" i="3"/>
  <c r="AX43" i="2"/>
  <c r="J29" i="3"/>
  <c r="AX44" i="2"/>
  <c r="J30" i="3"/>
  <c r="AX45" i="2"/>
  <c r="J31" i="3"/>
  <c r="J32" i="3"/>
  <c r="J33" i="3"/>
  <c r="BD40" i="2"/>
  <c r="K26" i="3"/>
  <c r="BD41" i="2"/>
  <c r="K27" i="3"/>
  <c r="BD42" i="2"/>
  <c r="K28" i="3"/>
  <c r="BD43" i="2"/>
  <c r="K29" i="3"/>
  <c r="BD44" i="2"/>
  <c r="K30" i="3"/>
  <c r="BD45" i="2"/>
  <c r="K31" i="3"/>
  <c r="K32" i="3"/>
  <c r="K33" i="3"/>
  <c r="BJ40" i="2"/>
  <c r="L26" i="3"/>
  <c r="BJ41" i="2"/>
  <c r="L27" i="3"/>
  <c r="BJ42" i="2"/>
  <c r="L28" i="3"/>
  <c r="BJ43" i="2"/>
  <c r="L29" i="3"/>
  <c r="BJ44" i="2"/>
  <c r="L30" i="3"/>
  <c r="BJ45" i="2"/>
  <c r="L31" i="3"/>
  <c r="L32" i="3"/>
  <c r="L33" i="3"/>
  <c r="N33" i="3"/>
  <c r="N32" i="3"/>
  <c r="R31" i="3"/>
  <c r="N31" i="3"/>
  <c r="R30" i="3"/>
  <c r="N30" i="3"/>
  <c r="R29" i="3"/>
  <c r="N29" i="3"/>
  <c r="R28" i="3"/>
  <c r="N28" i="3"/>
  <c r="R27" i="3"/>
  <c r="N27" i="3"/>
  <c r="R26" i="3"/>
  <c r="N26" i="3"/>
  <c r="W12" i="3"/>
  <c r="W16" i="3"/>
  <c r="W20" i="3"/>
  <c r="W24" i="3"/>
  <c r="S13" i="3"/>
  <c r="S15" i="3"/>
  <c r="S19" i="3"/>
  <c r="S20" i="3"/>
  <c r="S21" i="3"/>
  <c r="S22" i="3"/>
  <c r="S24" i="3"/>
  <c r="G4" i="2"/>
  <c r="G5" i="2"/>
  <c r="G6" i="2"/>
  <c r="G7" i="2"/>
  <c r="G40" i="2"/>
  <c r="B17" i="3"/>
  <c r="G9" i="2"/>
  <c r="G10" i="2"/>
  <c r="G11" i="2"/>
  <c r="G12" i="2"/>
  <c r="G13" i="2"/>
  <c r="G14" i="2"/>
  <c r="G15" i="2"/>
  <c r="G16" i="2"/>
  <c r="G41" i="2"/>
  <c r="B18" i="3"/>
  <c r="G18" i="2"/>
  <c r="G19" i="2"/>
  <c r="G20" i="2"/>
  <c r="G21" i="2"/>
  <c r="G22" i="2"/>
  <c r="G23" i="2"/>
  <c r="G24" i="2"/>
  <c r="G25" i="2"/>
  <c r="G42" i="2"/>
  <c r="B19" i="3"/>
  <c r="G27" i="2"/>
  <c r="G28" i="2"/>
  <c r="G29" i="2"/>
  <c r="G43" i="2"/>
  <c r="B20" i="3"/>
  <c r="G31" i="2"/>
  <c r="G32" i="2"/>
  <c r="G44" i="2"/>
  <c r="B21" i="3"/>
  <c r="G34" i="2"/>
  <c r="G35" i="2"/>
  <c r="G36" i="2"/>
  <c r="G45" i="2"/>
  <c r="B22" i="3"/>
  <c r="B23" i="3"/>
  <c r="M4" i="2"/>
  <c r="M5" i="2"/>
  <c r="M6" i="2"/>
  <c r="M7" i="2"/>
  <c r="M40" i="2"/>
  <c r="C17" i="3"/>
  <c r="M9" i="2"/>
  <c r="M10" i="2"/>
  <c r="M11" i="2"/>
  <c r="M12" i="2"/>
  <c r="M13" i="2"/>
  <c r="M14" i="2"/>
  <c r="M15" i="2"/>
  <c r="M16" i="2"/>
  <c r="M41" i="2"/>
  <c r="C18" i="3"/>
  <c r="M18" i="2"/>
  <c r="M19" i="2"/>
  <c r="M20" i="2"/>
  <c r="M21" i="2"/>
  <c r="M22" i="2"/>
  <c r="M23" i="2"/>
  <c r="M24" i="2"/>
  <c r="M25" i="2"/>
  <c r="M42" i="2"/>
  <c r="C19" i="3"/>
  <c r="M27" i="2"/>
  <c r="M28" i="2"/>
  <c r="M29" i="2"/>
  <c r="M43" i="2"/>
  <c r="C20" i="3"/>
  <c r="M31" i="2"/>
  <c r="M32" i="2"/>
  <c r="M44" i="2"/>
  <c r="C21" i="3"/>
  <c r="M34" i="2"/>
  <c r="M35" i="2"/>
  <c r="M36" i="2"/>
  <c r="M45" i="2"/>
  <c r="C22" i="3"/>
  <c r="C23" i="3"/>
  <c r="S4" i="2"/>
  <c r="S5" i="2"/>
  <c r="S6" i="2"/>
  <c r="S7" i="2"/>
  <c r="S40" i="2"/>
  <c r="D17" i="3"/>
  <c r="S9" i="2"/>
  <c r="S10" i="2"/>
  <c r="S11" i="2"/>
  <c r="S12" i="2"/>
  <c r="S13" i="2"/>
  <c r="S14" i="2"/>
  <c r="S15" i="2"/>
  <c r="S16" i="2"/>
  <c r="S41" i="2"/>
  <c r="D18" i="3"/>
  <c r="S18" i="2"/>
  <c r="S19" i="2"/>
  <c r="S20" i="2"/>
  <c r="S21" i="2"/>
  <c r="S22" i="2"/>
  <c r="S23" i="2"/>
  <c r="S24" i="2"/>
  <c r="S25" i="2"/>
  <c r="S42" i="2"/>
  <c r="D19" i="3"/>
  <c r="S27" i="2"/>
  <c r="S28" i="2"/>
  <c r="S29" i="2"/>
  <c r="S43" i="2"/>
  <c r="D20" i="3"/>
  <c r="S31" i="2"/>
  <c r="S32" i="2"/>
  <c r="S44" i="2"/>
  <c r="D21" i="3"/>
  <c r="S34" i="2"/>
  <c r="S35" i="2"/>
  <c r="S36" i="2"/>
  <c r="S45" i="2"/>
  <c r="D22" i="3"/>
  <c r="D23" i="3"/>
  <c r="Y4" i="2"/>
  <c r="Y5" i="2"/>
  <c r="Y6" i="2"/>
  <c r="Y7" i="2"/>
  <c r="Y40" i="2"/>
  <c r="E17" i="3"/>
  <c r="Y9" i="2"/>
  <c r="Y10" i="2"/>
  <c r="Y11" i="2"/>
  <c r="Y12" i="2"/>
  <c r="Y13" i="2"/>
  <c r="Y14" i="2"/>
  <c r="Y15" i="2"/>
  <c r="Y16" i="2"/>
  <c r="Y41" i="2"/>
  <c r="E18" i="3"/>
  <c r="Y18" i="2"/>
  <c r="Y19" i="2"/>
  <c r="Y20" i="2"/>
  <c r="Y21" i="2"/>
  <c r="Y22" i="2"/>
  <c r="Y23" i="2"/>
  <c r="Y24" i="2"/>
  <c r="Y25" i="2"/>
  <c r="Y42" i="2"/>
  <c r="E19" i="3"/>
  <c r="Y27" i="2"/>
  <c r="Y28" i="2"/>
  <c r="Y29" i="2"/>
  <c r="Y43" i="2"/>
  <c r="E20" i="3"/>
  <c r="Y31" i="2"/>
  <c r="Y32" i="2"/>
  <c r="Y44" i="2"/>
  <c r="E21" i="3"/>
  <c r="Y34" i="2"/>
  <c r="Y35" i="2"/>
  <c r="Y36" i="2"/>
  <c r="Y45" i="2"/>
  <c r="E22" i="3"/>
  <c r="E23" i="3"/>
  <c r="AE4" i="2"/>
  <c r="AE5" i="2"/>
  <c r="AE6" i="2"/>
  <c r="AE7" i="2"/>
  <c r="AE40" i="2"/>
  <c r="F17" i="3"/>
  <c r="AE9" i="2"/>
  <c r="AE10" i="2"/>
  <c r="AE11" i="2"/>
  <c r="AE12" i="2"/>
  <c r="AE13" i="2"/>
  <c r="AE14" i="2"/>
  <c r="AE15" i="2"/>
  <c r="AE16" i="2"/>
  <c r="AE41" i="2"/>
  <c r="F18" i="3"/>
  <c r="AE18" i="2"/>
  <c r="AE19" i="2"/>
  <c r="AE20" i="2"/>
  <c r="AE21" i="2"/>
  <c r="AE22" i="2"/>
  <c r="AE23" i="2"/>
  <c r="AE24" i="2"/>
  <c r="AE25" i="2"/>
  <c r="AE42" i="2"/>
  <c r="F19" i="3"/>
  <c r="AE27" i="2"/>
  <c r="AE28" i="2"/>
  <c r="AE29" i="2"/>
  <c r="AE43" i="2"/>
  <c r="F20" i="3"/>
  <c r="AE31" i="2"/>
  <c r="AE32" i="2"/>
  <c r="AE44" i="2"/>
  <c r="F21" i="3"/>
  <c r="AE34" i="2"/>
  <c r="AE35" i="2"/>
  <c r="AE36" i="2"/>
  <c r="AE45" i="2"/>
  <c r="F22" i="3"/>
  <c r="F23" i="3"/>
  <c r="AK4" i="2"/>
  <c r="AK5" i="2"/>
  <c r="AK6" i="2"/>
  <c r="AK7" i="2"/>
  <c r="AK40" i="2"/>
  <c r="G17" i="3"/>
  <c r="AK9" i="2"/>
  <c r="AK10" i="2"/>
  <c r="AK11" i="2"/>
  <c r="AK12" i="2"/>
  <c r="AK13" i="2"/>
  <c r="AK14" i="2"/>
  <c r="AK15" i="2"/>
  <c r="AK16" i="2"/>
  <c r="AK41" i="2"/>
  <c r="G18" i="3"/>
  <c r="AK18" i="2"/>
  <c r="AK19" i="2"/>
  <c r="AK20" i="2"/>
  <c r="AK21" i="2"/>
  <c r="AK22" i="2"/>
  <c r="AK23" i="2"/>
  <c r="AK24" i="2"/>
  <c r="AK25" i="2"/>
  <c r="AK42" i="2"/>
  <c r="G19" i="3"/>
  <c r="AK27" i="2"/>
  <c r="AK28" i="2"/>
  <c r="AK29" i="2"/>
  <c r="AK43" i="2"/>
  <c r="G20" i="3"/>
  <c r="AK31" i="2"/>
  <c r="AK32" i="2"/>
  <c r="AK44" i="2"/>
  <c r="G21" i="3"/>
  <c r="AK34" i="2"/>
  <c r="AK35" i="2"/>
  <c r="AK36" i="2"/>
  <c r="AK45" i="2"/>
  <c r="G22" i="3"/>
  <c r="G23" i="3"/>
  <c r="AQ4" i="2"/>
  <c r="AQ5" i="2"/>
  <c r="AQ6" i="2"/>
  <c r="AQ7" i="2"/>
  <c r="AQ40" i="2"/>
  <c r="H17" i="3"/>
  <c r="AQ9" i="2"/>
  <c r="AQ10" i="2"/>
  <c r="AQ11" i="2"/>
  <c r="AQ12" i="2"/>
  <c r="AQ13" i="2"/>
  <c r="AQ14" i="2"/>
  <c r="AQ15" i="2"/>
  <c r="AQ16" i="2"/>
  <c r="AQ41" i="2"/>
  <c r="H18" i="3"/>
  <c r="AQ18" i="2"/>
  <c r="AQ19" i="2"/>
  <c r="AQ20" i="2"/>
  <c r="AQ21" i="2"/>
  <c r="AQ22" i="2"/>
  <c r="AQ23" i="2"/>
  <c r="AQ24" i="2"/>
  <c r="AQ25" i="2"/>
  <c r="AQ42" i="2"/>
  <c r="H19" i="3"/>
  <c r="AQ27" i="2"/>
  <c r="AQ28" i="2"/>
  <c r="AQ29" i="2"/>
  <c r="AQ43" i="2"/>
  <c r="H20" i="3"/>
  <c r="AQ31" i="2"/>
  <c r="AQ32" i="2"/>
  <c r="AQ44" i="2"/>
  <c r="H21" i="3"/>
  <c r="AQ34" i="2"/>
  <c r="AQ35" i="2"/>
  <c r="AQ36" i="2"/>
  <c r="AQ45" i="2"/>
  <c r="H22" i="3"/>
  <c r="H23" i="3"/>
  <c r="AW4" i="2"/>
  <c r="AW5" i="2"/>
  <c r="AW6" i="2"/>
  <c r="AW7" i="2"/>
  <c r="AW40" i="2"/>
  <c r="I17" i="3"/>
  <c r="AW9" i="2"/>
  <c r="AW10" i="2"/>
  <c r="AW11" i="2"/>
  <c r="AW12" i="2"/>
  <c r="AW13" i="2"/>
  <c r="AW14" i="2"/>
  <c r="AW15" i="2"/>
  <c r="AW16" i="2"/>
  <c r="AW41" i="2"/>
  <c r="I18" i="3"/>
  <c r="AW18" i="2"/>
  <c r="AW19" i="2"/>
  <c r="AW20" i="2"/>
  <c r="AW21" i="2"/>
  <c r="AW22" i="2"/>
  <c r="AW23" i="2"/>
  <c r="AW24" i="2"/>
  <c r="AW25" i="2"/>
  <c r="AW42" i="2"/>
  <c r="I19" i="3"/>
  <c r="AW27" i="2"/>
  <c r="AW28" i="2"/>
  <c r="AW29" i="2"/>
  <c r="AW43" i="2"/>
  <c r="I20" i="3"/>
  <c r="AW31" i="2"/>
  <c r="AW32" i="2"/>
  <c r="AW44" i="2"/>
  <c r="I21" i="3"/>
  <c r="AW34" i="2"/>
  <c r="AW35" i="2"/>
  <c r="AW36" i="2"/>
  <c r="AW45" i="2"/>
  <c r="I22" i="3"/>
  <c r="I23" i="3"/>
  <c r="BC4" i="2"/>
  <c r="BC5" i="2"/>
  <c r="BC6" i="2"/>
  <c r="BC7" i="2"/>
  <c r="BC40" i="2"/>
  <c r="J17" i="3"/>
  <c r="BC9" i="2"/>
  <c r="BC10" i="2"/>
  <c r="BC11" i="2"/>
  <c r="BC12" i="2"/>
  <c r="BC13" i="2"/>
  <c r="BC14" i="2"/>
  <c r="BC15" i="2"/>
  <c r="BC16" i="2"/>
  <c r="BC41" i="2"/>
  <c r="J18" i="3"/>
  <c r="BC18" i="2"/>
  <c r="BC19" i="2"/>
  <c r="BC20" i="2"/>
  <c r="BC21" i="2"/>
  <c r="BC22" i="2"/>
  <c r="BC23" i="2"/>
  <c r="BC24" i="2"/>
  <c r="BC25" i="2"/>
  <c r="BC42" i="2"/>
  <c r="J19" i="3"/>
  <c r="BC27" i="2"/>
  <c r="BC28" i="2"/>
  <c r="BC29" i="2"/>
  <c r="BC43" i="2"/>
  <c r="J20" i="3"/>
  <c r="BC31" i="2"/>
  <c r="BC32" i="2"/>
  <c r="BC44" i="2"/>
  <c r="J21" i="3"/>
  <c r="BC34" i="2"/>
  <c r="BC35" i="2"/>
  <c r="BC36" i="2"/>
  <c r="BC45" i="2"/>
  <c r="J22" i="3"/>
  <c r="J23" i="3"/>
  <c r="BI4" i="2"/>
  <c r="BI5" i="2"/>
  <c r="BI6" i="2"/>
  <c r="BI7" i="2"/>
  <c r="BI40" i="2"/>
  <c r="K17" i="3"/>
  <c r="BI9" i="2"/>
  <c r="BI10" i="2"/>
  <c r="BI11" i="2"/>
  <c r="BI12" i="2"/>
  <c r="BI13" i="2"/>
  <c r="BI14" i="2"/>
  <c r="BI15" i="2"/>
  <c r="BI16" i="2"/>
  <c r="BI41" i="2"/>
  <c r="K18" i="3"/>
  <c r="BI18" i="2"/>
  <c r="BI19" i="2"/>
  <c r="BI20" i="2"/>
  <c r="BI21" i="2"/>
  <c r="BI22" i="2"/>
  <c r="BI23" i="2"/>
  <c r="BI24" i="2"/>
  <c r="BI25" i="2"/>
  <c r="BI42" i="2"/>
  <c r="K19" i="3"/>
  <c r="BI27" i="2"/>
  <c r="BI28" i="2"/>
  <c r="BI29" i="2"/>
  <c r="BI43" i="2"/>
  <c r="K20" i="3"/>
  <c r="BI31" i="2"/>
  <c r="BI32" i="2"/>
  <c r="BI44" i="2"/>
  <c r="K21" i="3"/>
  <c r="BI34" i="2"/>
  <c r="BI35" i="2"/>
  <c r="BI36" i="2"/>
  <c r="BI45" i="2"/>
  <c r="K22" i="3"/>
  <c r="K23" i="3"/>
  <c r="BO4" i="2"/>
  <c r="BO5" i="2"/>
  <c r="BO6" i="2"/>
  <c r="BO7" i="2"/>
  <c r="BO40" i="2"/>
  <c r="L17" i="3"/>
  <c r="BO9" i="2"/>
  <c r="BO10" i="2"/>
  <c r="BO11" i="2"/>
  <c r="BO12" i="2"/>
  <c r="BO13" i="2"/>
  <c r="BO14" i="2"/>
  <c r="BO15" i="2"/>
  <c r="BO16" i="2"/>
  <c r="BO41" i="2"/>
  <c r="L18" i="3"/>
  <c r="BO18" i="2"/>
  <c r="BO19" i="2"/>
  <c r="BO20" i="2"/>
  <c r="BO21" i="2"/>
  <c r="BO22" i="2"/>
  <c r="BO23" i="2"/>
  <c r="BO24" i="2"/>
  <c r="BO25" i="2"/>
  <c r="BO42" i="2"/>
  <c r="L19" i="3"/>
  <c r="BO27" i="2"/>
  <c r="BO28" i="2"/>
  <c r="BO29" i="2"/>
  <c r="BO43" i="2"/>
  <c r="L20" i="3"/>
  <c r="BO31" i="2"/>
  <c r="BO32" i="2"/>
  <c r="BO44" i="2"/>
  <c r="L21" i="3"/>
  <c r="BO34" i="2"/>
  <c r="BO35" i="2"/>
  <c r="BO36" i="2"/>
  <c r="BO45" i="2"/>
  <c r="L22" i="3"/>
  <c r="L23" i="3"/>
  <c r="N23" i="3"/>
  <c r="N22" i="3"/>
  <c r="N21" i="3"/>
  <c r="N20" i="3"/>
  <c r="N19" i="3"/>
  <c r="N18" i="3"/>
  <c r="N17" i="3"/>
  <c r="I9" i="3"/>
  <c r="I13" i="3"/>
  <c r="I14" i="3"/>
  <c r="P14" i="3"/>
  <c r="Q14" i="3"/>
  <c r="B9" i="3"/>
  <c r="B13" i="3"/>
  <c r="B14" i="3"/>
  <c r="C9" i="3"/>
  <c r="C13" i="3"/>
  <c r="C14" i="3"/>
  <c r="D9" i="3"/>
  <c r="D13" i="3"/>
  <c r="D14" i="3"/>
  <c r="E9" i="3"/>
  <c r="E13" i="3"/>
  <c r="E14" i="3"/>
  <c r="F9" i="3"/>
  <c r="F13" i="3"/>
  <c r="F14" i="3"/>
  <c r="G9" i="3"/>
  <c r="G13" i="3"/>
  <c r="G14" i="3"/>
  <c r="H9" i="3"/>
  <c r="H13" i="3"/>
  <c r="H14" i="3"/>
  <c r="J9" i="3"/>
  <c r="J13" i="3"/>
  <c r="J14" i="3"/>
  <c r="K9" i="3"/>
  <c r="K13" i="3"/>
  <c r="K14" i="3"/>
  <c r="L9" i="3"/>
  <c r="L13" i="3"/>
  <c r="L14" i="3"/>
  <c r="N14" i="3"/>
  <c r="Q13" i="3"/>
  <c r="N13" i="3"/>
  <c r="B11" i="3"/>
  <c r="C11" i="3"/>
  <c r="D11" i="3"/>
  <c r="E11" i="3"/>
  <c r="F11" i="3"/>
  <c r="G11" i="3"/>
  <c r="H11" i="3"/>
  <c r="I11" i="3"/>
  <c r="J11" i="3"/>
  <c r="K11" i="3"/>
  <c r="L11" i="3"/>
  <c r="N11" i="3"/>
  <c r="V10" i="3"/>
  <c r="R10" i="3"/>
  <c r="N9" i="3"/>
  <c r="N10" i="3"/>
  <c r="L10" i="3"/>
  <c r="K10" i="3"/>
  <c r="J10" i="3"/>
  <c r="I10" i="3"/>
  <c r="H10" i="3"/>
  <c r="G10" i="3"/>
  <c r="F10" i="3"/>
  <c r="E10" i="3"/>
  <c r="D10" i="3"/>
  <c r="C10" i="3"/>
  <c r="B10" i="3"/>
  <c r="W8" i="3"/>
  <c r="U8" i="3"/>
  <c r="S8" i="3"/>
  <c r="Q8" i="3"/>
  <c r="W7" i="3"/>
  <c r="U7" i="3"/>
  <c r="S7" i="3"/>
  <c r="Q7" i="3"/>
  <c r="W6" i="3"/>
  <c r="U6" i="3"/>
  <c r="S6" i="3"/>
  <c r="Q6" i="3"/>
  <c r="Y5" i="3"/>
  <c r="W5" i="3"/>
  <c r="U5" i="3"/>
  <c r="S5" i="3"/>
  <c r="Q5" i="3"/>
  <c r="Y4" i="3"/>
  <c r="W4" i="3"/>
  <c r="U4" i="3"/>
  <c r="S4" i="3"/>
  <c r="Q4" i="3"/>
  <c r="Y3" i="3"/>
  <c r="W3" i="3"/>
  <c r="U3" i="3"/>
  <c r="S3" i="3"/>
  <c r="Q3" i="3"/>
  <c r="BN47" i="2"/>
  <c r="BJ47" i="2"/>
  <c r="BJ49" i="2"/>
  <c r="BN51" i="2"/>
  <c r="BH47" i="2"/>
  <c r="BD47" i="2"/>
  <c r="BD49" i="2"/>
  <c r="BH51" i="2"/>
  <c r="BB47" i="2"/>
  <c r="AX47" i="2"/>
  <c r="AX49" i="2"/>
  <c r="BB51" i="2"/>
  <c r="AV47" i="2"/>
  <c r="AR47" i="2"/>
  <c r="AR49" i="2"/>
  <c r="AV51" i="2"/>
  <c r="AP47" i="2"/>
  <c r="AL47" i="2"/>
  <c r="AL49" i="2"/>
  <c r="AP51" i="2"/>
  <c r="AJ47" i="2"/>
  <c r="AF47" i="2"/>
  <c r="AF49" i="2"/>
  <c r="AJ51" i="2"/>
  <c r="AD47" i="2"/>
  <c r="Z47" i="2"/>
  <c r="Z49" i="2"/>
  <c r="AD51" i="2"/>
  <c r="X47" i="2"/>
  <c r="T47" i="2"/>
  <c r="T49" i="2"/>
  <c r="X51" i="2"/>
  <c r="R47" i="2"/>
  <c r="N47" i="2"/>
  <c r="N49" i="2"/>
  <c r="R51" i="2"/>
  <c r="L47" i="2"/>
  <c r="H47" i="2"/>
  <c r="H49" i="2"/>
  <c r="L51" i="2"/>
  <c r="F47" i="2"/>
  <c r="B47" i="2"/>
  <c r="B49" i="2"/>
  <c r="F51" i="2"/>
  <c r="BN49" i="2"/>
  <c r="BH49" i="2"/>
  <c r="BB49" i="2"/>
  <c r="AV49" i="2"/>
  <c r="AP49" i="2"/>
  <c r="AJ49" i="2"/>
  <c r="AD49" i="2"/>
  <c r="X49" i="2"/>
  <c r="R49" i="2"/>
  <c r="L49" i="2"/>
  <c r="F49" i="2"/>
  <c r="BO47" i="2"/>
  <c r="BL40" i="2"/>
  <c r="BL41" i="2"/>
  <c r="BL42" i="2"/>
  <c r="BL43" i="2"/>
  <c r="BL44" i="2"/>
  <c r="BL45" i="2"/>
  <c r="BL47" i="2"/>
  <c r="BI47" i="2"/>
  <c r="BF40" i="2"/>
  <c r="BF41" i="2"/>
  <c r="BF42" i="2"/>
  <c r="BF43" i="2"/>
  <c r="BF44" i="2"/>
  <c r="BF45" i="2"/>
  <c r="BF47" i="2"/>
  <c r="BC47" i="2"/>
  <c r="AZ40" i="2"/>
  <c r="AZ41" i="2"/>
  <c r="AZ42" i="2"/>
  <c r="AZ43" i="2"/>
  <c r="AZ44" i="2"/>
  <c r="AZ45" i="2"/>
  <c r="AZ47" i="2"/>
  <c r="AW47" i="2"/>
  <c r="AT40" i="2"/>
  <c r="AT41" i="2"/>
  <c r="AT42" i="2"/>
  <c r="AT43" i="2"/>
  <c r="AT44" i="2"/>
  <c r="AT45" i="2"/>
  <c r="AT47" i="2"/>
  <c r="AQ47" i="2"/>
  <c r="AN40" i="2"/>
  <c r="AN41" i="2"/>
  <c r="AN42" i="2"/>
  <c r="AN43" i="2"/>
  <c r="AN44" i="2"/>
  <c r="AN45" i="2"/>
  <c r="AN47" i="2"/>
  <c r="AK47" i="2"/>
  <c r="AH40" i="2"/>
  <c r="AH41" i="2"/>
  <c r="AH42" i="2"/>
  <c r="AH43" i="2"/>
  <c r="AH44" i="2"/>
  <c r="AH45" i="2"/>
  <c r="AH47" i="2"/>
  <c r="AE47" i="2"/>
  <c r="AB40" i="2"/>
  <c r="AB41" i="2"/>
  <c r="AB42" i="2"/>
  <c r="AB43" i="2"/>
  <c r="AB44" i="2"/>
  <c r="AB45" i="2"/>
  <c r="AB47" i="2"/>
  <c r="Y47" i="2"/>
  <c r="V40" i="2"/>
  <c r="V41" i="2"/>
  <c r="V42" i="2"/>
  <c r="V43" i="2"/>
  <c r="V44" i="2"/>
  <c r="V45" i="2"/>
  <c r="V47" i="2"/>
  <c r="S47" i="2"/>
  <c r="P40" i="2"/>
  <c r="P41" i="2"/>
  <c r="P42" i="2"/>
  <c r="P43" i="2"/>
  <c r="P44" i="2"/>
  <c r="P45" i="2"/>
  <c r="P47" i="2"/>
  <c r="M47" i="2"/>
  <c r="J40" i="2"/>
  <c r="J41" i="2"/>
  <c r="J42" i="2"/>
  <c r="J43" i="2"/>
  <c r="J44" i="2"/>
  <c r="J45" i="2"/>
  <c r="J47" i="2"/>
  <c r="G47" i="2"/>
  <c r="D40" i="2"/>
  <c r="D41" i="2"/>
  <c r="D42" i="2"/>
  <c r="D43" i="2"/>
  <c r="D44" i="2"/>
  <c r="D45" i="2"/>
  <c r="D47" i="2"/>
  <c r="BM45" i="2"/>
  <c r="BG45" i="2"/>
  <c r="BA45" i="2"/>
  <c r="AU45" i="2"/>
  <c r="AO45" i="2"/>
  <c r="AI45" i="2"/>
  <c r="AC45" i="2"/>
  <c r="W45" i="2"/>
  <c r="Q45" i="2"/>
  <c r="K45" i="2"/>
  <c r="E45" i="2"/>
  <c r="BM44" i="2"/>
  <c r="BG44" i="2"/>
  <c r="BA44" i="2"/>
  <c r="AU44" i="2"/>
  <c r="AO44" i="2"/>
  <c r="AI44" i="2"/>
  <c r="AC44" i="2"/>
  <c r="W44" i="2"/>
  <c r="Q44" i="2"/>
  <c r="K44" i="2"/>
  <c r="E44" i="2"/>
  <c r="BM43" i="2"/>
  <c r="BG43" i="2"/>
  <c r="BA43" i="2"/>
  <c r="AU43" i="2"/>
  <c r="AO43" i="2"/>
  <c r="AI43" i="2"/>
  <c r="AC43" i="2"/>
  <c r="W43" i="2"/>
  <c r="Q43" i="2"/>
  <c r="K43" i="2"/>
  <c r="E43" i="2"/>
  <c r="BM42" i="2"/>
  <c r="BG42" i="2"/>
  <c r="BA42" i="2"/>
  <c r="AU42" i="2"/>
  <c r="AO42" i="2"/>
  <c r="AI42" i="2"/>
  <c r="AC42" i="2"/>
  <c r="W42" i="2"/>
  <c r="Q42" i="2"/>
  <c r="K42" i="2"/>
  <c r="E42" i="2"/>
  <c r="BM41" i="2"/>
  <c r="BG41" i="2"/>
  <c r="BA41" i="2"/>
  <c r="AU41" i="2"/>
  <c r="AO41" i="2"/>
  <c r="AI41" i="2"/>
  <c r="AC41" i="2"/>
  <c r="W41" i="2"/>
  <c r="Q41" i="2"/>
  <c r="K41" i="2"/>
  <c r="E41" i="2"/>
  <c r="BM40" i="2"/>
  <c r="BG40" i="2"/>
  <c r="BA40" i="2"/>
  <c r="AU40" i="2"/>
  <c r="AO40" i="2"/>
  <c r="AI40" i="2"/>
  <c r="AC40" i="2"/>
  <c r="W40" i="2"/>
  <c r="Q40" i="2"/>
  <c r="K40" i="2"/>
  <c r="E40" i="2"/>
  <c r="BL36" i="2"/>
  <c r="BM36" i="2"/>
  <c r="BF36" i="2"/>
  <c r="BG36" i="2"/>
  <c r="AZ36" i="2"/>
  <c r="BA36" i="2"/>
  <c r="AT36" i="2"/>
  <c r="AU36" i="2"/>
  <c r="AN36" i="2"/>
  <c r="AO36" i="2"/>
  <c r="AH36" i="2"/>
  <c r="AI36" i="2"/>
  <c r="AB36" i="2"/>
  <c r="AC36" i="2"/>
  <c r="V36" i="2"/>
  <c r="W36" i="2"/>
  <c r="P36" i="2"/>
  <c r="Q36" i="2"/>
  <c r="J36" i="2"/>
  <c r="K36" i="2"/>
  <c r="D36" i="2"/>
  <c r="E36" i="2"/>
  <c r="BL35" i="2"/>
  <c r="BM35" i="2"/>
  <c r="BF35" i="2"/>
  <c r="BG35" i="2"/>
  <c r="AZ35" i="2"/>
  <c r="BA35" i="2"/>
  <c r="AT35" i="2"/>
  <c r="AU35" i="2"/>
  <c r="AN35" i="2"/>
  <c r="AO35" i="2"/>
  <c r="AH35" i="2"/>
  <c r="AI35" i="2"/>
  <c r="AB35" i="2"/>
  <c r="AC35" i="2"/>
  <c r="V35" i="2"/>
  <c r="W35" i="2"/>
  <c r="P35" i="2"/>
  <c r="Q35" i="2"/>
  <c r="J35" i="2"/>
  <c r="K35" i="2"/>
  <c r="D35" i="2"/>
  <c r="E35" i="2"/>
  <c r="BL34" i="2"/>
  <c r="BM34" i="2"/>
  <c r="BF34" i="2"/>
  <c r="BG34" i="2"/>
  <c r="AZ34" i="2"/>
  <c r="BA34" i="2"/>
  <c r="AT34" i="2"/>
  <c r="AU34" i="2"/>
  <c r="AN34" i="2"/>
  <c r="AO34" i="2"/>
  <c r="AH34" i="2"/>
  <c r="AI34" i="2"/>
  <c r="AB34" i="2"/>
  <c r="AC34" i="2"/>
  <c r="V34" i="2"/>
  <c r="W34" i="2"/>
  <c r="P34" i="2"/>
  <c r="Q34" i="2"/>
  <c r="J34" i="2"/>
  <c r="K34" i="2"/>
  <c r="D34" i="2"/>
  <c r="E34" i="2"/>
  <c r="BL32" i="2"/>
  <c r="BM32" i="2"/>
  <c r="BF32" i="2"/>
  <c r="BG32" i="2"/>
  <c r="AZ32" i="2"/>
  <c r="BA32" i="2"/>
  <c r="AT32" i="2"/>
  <c r="AU32" i="2"/>
  <c r="AN32" i="2"/>
  <c r="AO32" i="2"/>
  <c r="AH32" i="2"/>
  <c r="AI32" i="2"/>
  <c r="AB32" i="2"/>
  <c r="AC32" i="2"/>
  <c r="V32" i="2"/>
  <c r="W32" i="2"/>
  <c r="P32" i="2"/>
  <c r="Q32" i="2"/>
  <c r="J32" i="2"/>
  <c r="K32" i="2"/>
  <c r="D32" i="2"/>
  <c r="E32" i="2"/>
  <c r="BL31" i="2"/>
  <c r="BM31" i="2"/>
  <c r="BF31" i="2"/>
  <c r="BG31" i="2"/>
  <c r="AZ31" i="2"/>
  <c r="BA31" i="2"/>
  <c r="AT31" i="2"/>
  <c r="AU31" i="2"/>
  <c r="AN31" i="2"/>
  <c r="AO31" i="2"/>
  <c r="AH31" i="2"/>
  <c r="AI31" i="2"/>
  <c r="AB31" i="2"/>
  <c r="AC31" i="2"/>
  <c r="V31" i="2"/>
  <c r="W31" i="2"/>
  <c r="P31" i="2"/>
  <c r="Q31" i="2"/>
  <c r="J31" i="2"/>
  <c r="K31" i="2"/>
  <c r="D31" i="2"/>
  <c r="E31" i="2"/>
  <c r="BL29" i="2"/>
  <c r="BM29" i="2"/>
  <c r="BF29" i="2"/>
  <c r="BG29" i="2"/>
  <c r="AZ29" i="2"/>
  <c r="BA29" i="2"/>
  <c r="AT29" i="2"/>
  <c r="AU29" i="2"/>
  <c r="AN29" i="2"/>
  <c r="AO29" i="2"/>
  <c r="AH29" i="2"/>
  <c r="AI29" i="2"/>
  <c r="AB29" i="2"/>
  <c r="AC29" i="2"/>
  <c r="V29" i="2"/>
  <c r="W29" i="2"/>
  <c r="P29" i="2"/>
  <c r="Q29" i="2"/>
  <c r="J29" i="2"/>
  <c r="K29" i="2"/>
  <c r="D29" i="2"/>
  <c r="E29" i="2"/>
  <c r="BL28" i="2"/>
  <c r="BM28" i="2"/>
  <c r="BF28" i="2"/>
  <c r="BG28" i="2"/>
  <c r="AZ28" i="2"/>
  <c r="BA28" i="2"/>
  <c r="AT28" i="2"/>
  <c r="AU28" i="2"/>
  <c r="AN28" i="2"/>
  <c r="AO28" i="2"/>
  <c r="AH28" i="2"/>
  <c r="AI28" i="2"/>
  <c r="AB28" i="2"/>
  <c r="AC28" i="2"/>
  <c r="V28" i="2"/>
  <c r="W28" i="2"/>
  <c r="P28" i="2"/>
  <c r="Q28" i="2"/>
  <c r="J28" i="2"/>
  <c r="K28" i="2"/>
  <c r="D28" i="2"/>
  <c r="E28" i="2"/>
  <c r="BL27" i="2"/>
  <c r="BM27" i="2"/>
  <c r="BF27" i="2"/>
  <c r="BG27" i="2"/>
  <c r="AZ27" i="2"/>
  <c r="BA27" i="2"/>
  <c r="AT27" i="2"/>
  <c r="AU27" i="2"/>
  <c r="AN27" i="2"/>
  <c r="AO27" i="2"/>
  <c r="AH27" i="2"/>
  <c r="AI27" i="2"/>
  <c r="AB27" i="2"/>
  <c r="AC27" i="2"/>
  <c r="V27" i="2"/>
  <c r="W27" i="2"/>
  <c r="P27" i="2"/>
  <c r="Q27" i="2"/>
  <c r="J27" i="2"/>
  <c r="K27" i="2"/>
  <c r="D27" i="2"/>
  <c r="E27" i="2"/>
  <c r="BL25" i="2"/>
  <c r="BM25" i="2"/>
  <c r="BF25" i="2"/>
  <c r="BG25" i="2"/>
  <c r="AZ25" i="2"/>
  <c r="BA25" i="2"/>
  <c r="AT25" i="2"/>
  <c r="AU25" i="2"/>
  <c r="AN25" i="2"/>
  <c r="AO25" i="2"/>
  <c r="AH25" i="2"/>
  <c r="AI25" i="2"/>
  <c r="AB25" i="2"/>
  <c r="AC25" i="2"/>
  <c r="V25" i="2"/>
  <c r="W25" i="2"/>
  <c r="P25" i="2"/>
  <c r="Q25" i="2"/>
  <c r="J25" i="2"/>
  <c r="K25" i="2"/>
  <c r="D25" i="2"/>
  <c r="E25" i="2"/>
  <c r="BL24" i="2"/>
  <c r="BM24" i="2"/>
  <c r="BF24" i="2"/>
  <c r="BG24" i="2"/>
  <c r="AZ24" i="2"/>
  <c r="BA24" i="2"/>
  <c r="AT24" i="2"/>
  <c r="AU24" i="2"/>
  <c r="AN24" i="2"/>
  <c r="AO24" i="2"/>
  <c r="AH24" i="2"/>
  <c r="AI24" i="2"/>
  <c r="AB24" i="2"/>
  <c r="AC24" i="2"/>
  <c r="V24" i="2"/>
  <c r="W24" i="2"/>
  <c r="P24" i="2"/>
  <c r="Q24" i="2"/>
  <c r="J24" i="2"/>
  <c r="K24" i="2"/>
  <c r="D24" i="2"/>
  <c r="E24" i="2"/>
  <c r="BL23" i="2"/>
  <c r="BM23" i="2"/>
  <c r="BF23" i="2"/>
  <c r="BG23" i="2"/>
  <c r="AZ23" i="2"/>
  <c r="BA23" i="2"/>
  <c r="AT23" i="2"/>
  <c r="AU23" i="2"/>
  <c r="AN23" i="2"/>
  <c r="AO23" i="2"/>
  <c r="AH23" i="2"/>
  <c r="AI23" i="2"/>
  <c r="AB23" i="2"/>
  <c r="AC23" i="2"/>
  <c r="V23" i="2"/>
  <c r="W23" i="2"/>
  <c r="P23" i="2"/>
  <c r="Q23" i="2"/>
  <c r="J23" i="2"/>
  <c r="D23" i="2"/>
  <c r="E23" i="2"/>
  <c r="BL22" i="2"/>
  <c r="BM22" i="2"/>
  <c r="BF22" i="2"/>
  <c r="BG22" i="2"/>
  <c r="AZ22" i="2"/>
  <c r="BA22" i="2"/>
  <c r="AT22" i="2"/>
  <c r="AU22" i="2"/>
  <c r="AN22" i="2"/>
  <c r="AO22" i="2"/>
  <c r="AH22" i="2"/>
  <c r="AI22" i="2"/>
  <c r="AB22" i="2"/>
  <c r="AC22" i="2"/>
  <c r="V22" i="2"/>
  <c r="W22" i="2"/>
  <c r="P22" i="2"/>
  <c r="Q22" i="2"/>
  <c r="J22" i="2"/>
  <c r="K22" i="2"/>
  <c r="D22" i="2"/>
  <c r="E22" i="2"/>
  <c r="BL21" i="2"/>
  <c r="BM21" i="2"/>
  <c r="BF21" i="2"/>
  <c r="BG21" i="2"/>
  <c r="AZ21" i="2"/>
  <c r="BA21" i="2"/>
  <c r="AT21" i="2"/>
  <c r="AU21" i="2"/>
  <c r="AN21" i="2"/>
  <c r="AO21" i="2"/>
  <c r="AH21" i="2"/>
  <c r="AI21" i="2"/>
  <c r="AB21" i="2"/>
  <c r="AC21" i="2"/>
  <c r="V21" i="2"/>
  <c r="W21" i="2"/>
  <c r="P21" i="2"/>
  <c r="Q21" i="2"/>
  <c r="J21" i="2"/>
  <c r="K21" i="2"/>
  <c r="D21" i="2"/>
  <c r="E21" i="2"/>
  <c r="BL20" i="2"/>
  <c r="BM20" i="2"/>
  <c r="BF20" i="2"/>
  <c r="BG20" i="2"/>
  <c r="AZ20" i="2"/>
  <c r="BA20" i="2"/>
  <c r="AT20" i="2"/>
  <c r="AU20" i="2"/>
  <c r="AN20" i="2"/>
  <c r="AO20" i="2"/>
  <c r="AH20" i="2"/>
  <c r="AI20" i="2"/>
  <c r="AB20" i="2"/>
  <c r="AC20" i="2"/>
  <c r="V20" i="2"/>
  <c r="W20" i="2"/>
  <c r="P20" i="2"/>
  <c r="Q20" i="2"/>
  <c r="J20" i="2"/>
  <c r="K20" i="2"/>
  <c r="D20" i="2"/>
  <c r="E20" i="2"/>
  <c r="BL19" i="2"/>
  <c r="BM19" i="2"/>
  <c r="BF19" i="2"/>
  <c r="BG19" i="2"/>
  <c r="AZ19" i="2"/>
  <c r="BA19" i="2"/>
  <c r="AT19" i="2"/>
  <c r="AU19" i="2"/>
  <c r="AN19" i="2"/>
  <c r="AO19" i="2"/>
  <c r="AH19" i="2"/>
  <c r="AI19" i="2"/>
  <c r="AB19" i="2"/>
  <c r="AC19" i="2"/>
  <c r="V19" i="2"/>
  <c r="W19" i="2"/>
  <c r="P19" i="2"/>
  <c r="Q19" i="2"/>
  <c r="J19" i="2"/>
  <c r="K19" i="2"/>
  <c r="D19" i="2"/>
  <c r="E19" i="2"/>
  <c r="BL18" i="2"/>
  <c r="BM18" i="2"/>
  <c r="BF18" i="2"/>
  <c r="BG18" i="2"/>
  <c r="AZ18" i="2"/>
  <c r="BA18" i="2"/>
  <c r="AT18" i="2"/>
  <c r="AU18" i="2"/>
  <c r="AN18" i="2"/>
  <c r="AO18" i="2"/>
  <c r="AH18" i="2"/>
  <c r="AI18" i="2"/>
  <c r="AB18" i="2"/>
  <c r="AC18" i="2"/>
  <c r="V18" i="2"/>
  <c r="W18" i="2"/>
  <c r="P18" i="2"/>
  <c r="Q18" i="2"/>
  <c r="J18" i="2"/>
  <c r="K18" i="2"/>
  <c r="D18" i="2"/>
  <c r="E18" i="2"/>
  <c r="BL16" i="2"/>
  <c r="BM16" i="2"/>
  <c r="BF16" i="2"/>
  <c r="BG16" i="2"/>
  <c r="AZ16" i="2"/>
  <c r="BA16" i="2"/>
  <c r="AT16" i="2"/>
  <c r="AU16" i="2"/>
  <c r="AN16" i="2"/>
  <c r="AO16" i="2"/>
  <c r="AH16" i="2"/>
  <c r="AI16" i="2"/>
  <c r="AB16" i="2"/>
  <c r="AC16" i="2"/>
  <c r="V16" i="2"/>
  <c r="W16" i="2"/>
  <c r="P16" i="2"/>
  <c r="Q16" i="2"/>
  <c r="J16" i="2"/>
  <c r="K16" i="2"/>
  <c r="D16" i="2"/>
  <c r="E16" i="2"/>
  <c r="BL15" i="2"/>
  <c r="BM15" i="2"/>
  <c r="BF15" i="2"/>
  <c r="BG15" i="2"/>
  <c r="AZ15" i="2"/>
  <c r="BA15" i="2"/>
  <c r="AT15" i="2"/>
  <c r="AU15" i="2"/>
  <c r="AN15" i="2"/>
  <c r="AO15" i="2"/>
  <c r="AH15" i="2"/>
  <c r="AI15" i="2"/>
  <c r="AB15" i="2"/>
  <c r="AC15" i="2"/>
  <c r="V15" i="2"/>
  <c r="W15" i="2"/>
  <c r="P15" i="2"/>
  <c r="Q15" i="2"/>
  <c r="J15" i="2"/>
  <c r="K15" i="2"/>
  <c r="D15" i="2"/>
  <c r="E15" i="2"/>
  <c r="BL14" i="2"/>
  <c r="BM14" i="2"/>
  <c r="BF14" i="2"/>
  <c r="BG14" i="2"/>
  <c r="AZ14" i="2"/>
  <c r="BA14" i="2"/>
  <c r="AT14" i="2"/>
  <c r="AU14" i="2"/>
  <c r="AN14" i="2"/>
  <c r="AO14" i="2"/>
  <c r="AH14" i="2"/>
  <c r="AI14" i="2"/>
  <c r="AB14" i="2"/>
  <c r="AC14" i="2"/>
  <c r="V14" i="2"/>
  <c r="W14" i="2"/>
  <c r="P14" i="2"/>
  <c r="Q14" i="2"/>
  <c r="J14" i="2"/>
  <c r="K14" i="2"/>
  <c r="D14" i="2"/>
  <c r="E14" i="2"/>
  <c r="BL13" i="2"/>
  <c r="BM13" i="2"/>
  <c r="BF13" i="2"/>
  <c r="BG13" i="2"/>
  <c r="AZ13" i="2"/>
  <c r="BA13" i="2"/>
  <c r="AT13" i="2"/>
  <c r="AU13" i="2"/>
  <c r="AN13" i="2"/>
  <c r="AO13" i="2"/>
  <c r="AH13" i="2"/>
  <c r="AI13" i="2"/>
  <c r="AB13" i="2"/>
  <c r="AC13" i="2"/>
  <c r="V13" i="2"/>
  <c r="W13" i="2"/>
  <c r="P13" i="2"/>
  <c r="Q13" i="2"/>
  <c r="J13" i="2"/>
  <c r="K13" i="2"/>
  <c r="D13" i="2"/>
  <c r="E13" i="2"/>
  <c r="BL12" i="2"/>
  <c r="BM12" i="2"/>
  <c r="BF12" i="2"/>
  <c r="BG12" i="2"/>
  <c r="AZ12" i="2"/>
  <c r="BA12" i="2"/>
  <c r="AT12" i="2"/>
  <c r="AU12" i="2"/>
  <c r="AN12" i="2"/>
  <c r="AO12" i="2"/>
  <c r="AH12" i="2"/>
  <c r="AI12" i="2"/>
  <c r="AB12" i="2"/>
  <c r="AC12" i="2"/>
  <c r="V12" i="2"/>
  <c r="W12" i="2"/>
  <c r="P12" i="2"/>
  <c r="Q12" i="2"/>
  <c r="J12" i="2"/>
  <c r="K12" i="2"/>
  <c r="D12" i="2"/>
  <c r="E12" i="2"/>
  <c r="BL11" i="2"/>
  <c r="BM11" i="2"/>
  <c r="BF11" i="2"/>
  <c r="BG11" i="2"/>
  <c r="AZ11" i="2"/>
  <c r="BA11" i="2"/>
  <c r="AT11" i="2"/>
  <c r="AU11" i="2"/>
  <c r="AN11" i="2"/>
  <c r="AO11" i="2"/>
  <c r="AH11" i="2"/>
  <c r="AI11" i="2"/>
  <c r="AB11" i="2"/>
  <c r="AC11" i="2"/>
  <c r="V11" i="2"/>
  <c r="W11" i="2"/>
  <c r="P11" i="2"/>
  <c r="Q11" i="2"/>
  <c r="J11" i="2"/>
  <c r="K11" i="2"/>
  <c r="D11" i="2"/>
  <c r="E11" i="2"/>
  <c r="BL10" i="2"/>
  <c r="BM10" i="2"/>
  <c r="BF10" i="2"/>
  <c r="BG10" i="2"/>
  <c r="AZ10" i="2"/>
  <c r="BA10" i="2"/>
  <c r="AT10" i="2"/>
  <c r="AU10" i="2"/>
  <c r="AN10" i="2"/>
  <c r="AO10" i="2"/>
  <c r="AH10" i="2"/>
  <c r="AI10" i="2"/>
  <c r="AB10" i="2"/>
  <c r="AC10" i="2"/>
  <c r="V10" i="2"/>
  <c r="W10" i="2"/>
  <c r="P10" i="2"/>
  <c r="Q10" i="2"/>
  <c r="J10" i="2"/>
  <c r="K10" i="2"/>
  <c r="D10" i="2"/>
  <c r="E10" i="2"/>
  <c r="BL9" i="2"/>
  <c r="BM9" i="2"/>
  <c r="BF9" i="2"/>
  <c r="BG9" i="2"/>
  <c r="AZ9" i="2"/>
  <c r="BA9" i="2"/>
  <c r="AT9" i="2"/>
  <c r="AU9" i="2"/>
  <c r="AN9" i="2"/>
  <c r="AO9" i="2"/>
  <c r="AH9" i="2"/>
  <c r="AI9" i="2"/>
  <c r="AB9" i="2"/>
  <c r="AC9" i="2"/>
  <c r="V9" i="2"/>
  <c r="W9" i="2"/>
  <c r="P9" i="2"/>
  <c r="Q9" i="2"/>
  <c r="J9" i="2"/>
  <c r="K9" i="2"/>
  <c r="D9" i="2"/>
  <c r="E9" i="2"/>
  <c r="BL7" i="2"/>
  <c r="BM7" i="2"/>
  <c r="BF7" i="2"/>
  <c r="BG7" i="2"/>
  <c r="AZ7" i="2"/>
  <c r="BA7" i="2"/>
  <c r="AT7" i="2"/>
  <c r="AU7" i="2"/>
  <c r="AN7" i="2"/>
  <c r="AO7" i="2"/>
  <c r="AH7" i="2"/>
  <c r="AI7" i="2"/>
  <c r="AB7" i="2"/>
  <c r="AC7" i="2"/>
  <c r="V7" i="2"/>
  <c r="W7" i="2"/>
  <c r="P7" i="2"/>
  <c r="Q7" i="2"/>
  <c r="J7" i="2"/>
  <c r="K7" i="2"/>
  <c r="D7" i="2"/>
  <c r="E7" i="2"/>
  <c r="BL6" i="2"/>
  <c r="BM6" i="2"/>
  <c r="BF6" i="2"/>
  <c r="BG6" i="2"/>
  <c r="AZ6" i="2"/>
  <c r="BA6" i="2"/>
  <c r="AT6" i="2"/>
  <c r="AU6" i="2"/>
  <c r="AN6" i="2"/>
  <c r="AO6" i="2"/>
  <c r="AH6" i="2"/>
  <c r="AI6" i="2"/>
  <c r="AB6" i="2"/>
  <c r="AC6" i="2"/>
  <c r="V6" i="2"/>
  <c r="W6" i="2"/>
  <c r="P6" i="2"/>
  <c r="Q6" i="2"/>
  <c r="J6" i="2"/>
  <c r="K6" i="2"/>
  <c r="D6" i="2"/>
  <c r="E6" i="2"/>
  <c r="BL5" i="2"/>
  <c r="BM5" i="2"/>
  <c r="BF5" i="2"/>
  <c r="BG5" i="2"/>
  <c r="AZ5" i="2"/>
  <c r="BA5" i="2"/>
  <c r="AT5" i="2"/>
  <c r="AU5" i="2"/>
  <c r="AN5" i="2"/>
  <c r="AO5" i="2"/>
  <c r="AH5" i="2"/>
  <c r="AI5" i="2"/>
  <c r="AB5" i="2"/>
  <c r="AC5" i="2"/>
  <c r="V5" i="2"/>
  <c r="W5" i="2"/>
  <c r="P5" i="2"/>
  <c r="Q5" i="2"/>
  <c r="J5" i="2"/>
  <c r="K5" i="2"/>
  <c r="D5" i="2"/>
  <c r="E5" i="2"/>
  <c r="BL4" i="2"/>
  <c r="BM4" i="2"/>
  <c r="BF4" i="2"/>
  <c r="BG4" i="2"/>
  <c r="AZ4" i="2"/>
  <c r="BA4" i="2"/>
  <c r="AT4" i="2"/>
  <c r="AU4" i="2"/>
  <c r="AN4" i="2"/>
  <c r="AO4" i="2"/>
  <c r="AH4" i="2"/>
  <c r="AI4" i="2"/>
  <c r="AB4" i="2"/>
  <c r="AC4" i="2"/>
  <c r="V4" i="2"/>
  <c r="W4" i="2"/>
  <c r="P4" i="2"/>
  <c r="Q4" i="2"/>
  <c r="J4" i="2"/>
  <c r="K4" i="2"/>
  <c r="D4" i="2"/>
  <c r="E4" i="2"/>
  <c r="BM3" i="2"/>
  <c r="BG3" i="2"/>
  <c r="BA3" i="2"/>
  <c r="AU3" i="2"/>
  <c r="AO3" i="2"/>
  <c r="AI3" i="2"/>
  <c r="AC3" i="2"/>
  <c r="W3" i="2"/>
  <c r="Q3" i="2"/>
  <c r="K3" i="2"/>
  <c r="E3" i="2"/>
  <c r="AJ102" i="1"/>
  <c r="AF102" i="1"/>
  <c r="AH102" i="1"/>
  <c r="AG102" i="1"/>
  <c r="X102" i="1"/>
  <c r="T102" i="1"/>
  <c r="V102" i="1"/>
  <c r="U102" i="1"/>
  <c r="H3" i="1"/>
  <c r="H4" i="1"/>
  <c r="H5" i="1"/>
  <c r="H6" i="1"/>
  <c r="H7" i="1"/>
  <c r="H8" i="1"/>
  <c r="H9" i="1"/>
  <c r="H10" i="1"/>
  <c r="H11" i="1"/>
  <c r="H12" i="1"/>
  <c r="F94" i="1"/>
  <c r="T3" i="1"/>
  <c r="T4" i="1"/>
  <c r="T5" i="1"/>
  <c r="T6" i="1"/>
  <c r="T7" i="1"/>
  <c r="T8" i="1"/>
  <c r="T9" i="1"/>
  <c r="T10" i="1"/>
  <c r="T11" i="1"/>
  <c r="T12" i="1"/>
  <c r="T13" i="1"/>
  <c r="T14" i="1"/>
  <c r="T15" i="1"/>
  <c r="T16" i="1"/>
  <c r="T17" i="1"/>
  <c r="T18" i="1"/>
  <c r="T19" i="1"/>
  <c r="T20" i="1"/>
  <c r="T21" i="1"/>
  <c r="T22" i="1"/>
  <c r="T23" i="1"/>
  <c r="T24" i="1"/>
  <c r="T25" i="1"/>
  <c r="T26" i="1"/>
  <c r="T27" i="1"/>
  <c r="F95" i="1"/>
  <c r="AF3" i="1"/>
  <c r="AF4" i="1"/>
  <c r="AF5" i="1"/>
  <c r="AF6" i="1"/>
  <c r="AF7" i="1"/>
  <c r="AF8" i="1"/>
  <c r="AF9" i="1"/>
  <c r="AF10" i="1"/>
  <c r="AF11" i="1"/>
  <c r="AF12" i="1"/>
  <c r="AF13" i="1"/>
  <c r="AF14" i="1"/>
  <c r="AF15" i="1"/>
  <c r="AF16" i="1"/>
  <c r="AF17" i="1"/>
  <c r="AF18" i="1"/>
  <c r="AF19" i="1"/>
  <c r="AF20" i="1"/>
  <c r="AF21" i="1"/>
  <c r="AF22" i="1"/>
  <c r="AF23" i="1"/>
  <c r="AF24" i="1"/>
  <c r="AF25" i="1"/>
  <c r="AF26" i="1"/>
  <c r="AF27" i="1"/>
  <c r="F96" i="1"/>
  <c r="H57" i="1"/>
  <c r="H58" i="1"/>
  <c r="H59" i="1"/>
  <c r="H60" i="1"/>
  <c r="H61" i="1"/>
  <c r="H62" i="1"/>
  <c r="H63" i="1"/>
  <c r="H64" i="1"/>
  <c r="H65" i="1"/>
  <c r="H66" i="1"/>
  <c r="F97"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D98" i="1"/>
  <c r="F98"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D99" i="1"/>
  <c r="F99" i="1"/>
  <c r="F101" i="1"/>
  <c r="H13" i="1"/>
  <c r="H14" i="1"/>
  <c r="H15" i="1"/>
  <c r="H16" i="1"/>
  <c r="H17" i="1"/>
  <c r="H18" i="1"/>
  <c r="H19" i="1"/>
  <c r="H20" i="1"/>
  <c r="H21" i="1"/>
  <c r="H22" i="1"/>
  <c r="H23" i="1"/>
  <c r="H24" i="1"/>
  <c r="H25" i="1"/>
  <c r="H26" i="1"/>
  <c r="H27" i="1"/>
  <c r="H28" i="1"/>
  <c r="H29" i="1"/>
  <c r="H30" i="1"/>
  <c r="H31" i="1"/>
  <c r="H32" i="1"/>
  <c r="D94"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D95"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D96" i="1"/>
  <c r="H67" i="1"/>
  <c r="H68" i="1"/>
  <c r="H69" i="1"/>
  <c r="H70" i="1"/>
  <c r="H71" i="1"/>
  <c r="H72" i="1"/>
  <c r="H73" i="1"/>
  <c r="H74" i="1"/>
  <c r="H75" i="1"/>
  <c r="H76" i="1"/>
  <c r="H77" i="1"/>
  <c r="H78" i="1"/>
  <c r="H79" i="1"/>
  <c r="H80" i="1"/>
  <c r="H81" i="1"/>
  <c r="H82" i="1"/>
  <c r="H83" i="1"/>
  <c r="H84" i="1"/>
  <c r="H85" i="1"/>
  <c r="H86" i="1"/>
  <c r="D97" i="1"/>
  <c r="D101" i="1"/>
  <c r="F102" i="1"/>
  <c r="AJ101" i="1"/>
  <c r="AH101" i="1"/>
  <c r="AG101" i="1"/>
  <c r="X101" i="1"/>
  <c r="V101" i="1"/>
  <c r="U101" i="1"/>
  <c r="AJ100" i="1"/>
  <c r="AH100" i="1"/>
  <c r="AG100" i="1"/>
  <c r="X100" i="1"/>
  <c r="V100" i="1"/>
  <c r="U100" i="1"/>
  <c r="AJ99" i="1"/>
  <c r="AH99" i="1"/>
  <c r="AG99" i="1"/>
  <c r="X99" i="1"/>
  <c r="V99" i="1"/>
  <c r="U99" i="1"/>
  <c r="H99" i="1"/>
  <c r="G99" i="1"/>
  <c r="E99" i="1"/>
  <c r="AJ98" i="1"/>
  <c r="AH98" i="1"/>
  <c r="AG98" i="1"/>
  <c r="X98" i="1"/>
  <c r="V98" i="1"/>
  <c r="U98" i="1"/>
  <c r="H98" i="1"/>
  <c r="G98" i="1"/>
  <c r="E98" i="1"/>
  <c r="AJ97" i="1"/>
  <c r="AH97" i="1"/>
  <c r="AG97" i="1"/>
  <c r="X97" i="1"/>
  <c r="V97" i="1"/>
  <c r="U97" i="1"/>
  <c r="H97" i="1"/>
  <c r="G97" i="1"/>
  <c r="E97" i="1"/>
  <c r="AJ96" i="1"/>
  <c r="AH96" i="1"/>
  <c r="AG96" i="1"/>
  <c r="X96" i="1"/>
  <c r="V96" i="1"/>
  <c r="U96" i="1"/>
  <c r="H96" i="1"/>
  <c r="G96" i="1"/>
  <c r="E96" i="1"/>
  <c r="AJ95" i="1"/>
  <c r="AH95" i="1"/>
  <c r="AG95" i="1"/>
  <c r="X95" i="1"/>
  <c r="V95" i="1"/>
  <c r="U95" i="1"/>
  <c r="H95" i="1"/>
  <c r="G95" i="1"/>
  <c r="E95" i="1"/>
  <c r="AJ94" i="1"/>
  <c r="AH94" i="1"/>
  <c r="AG94" i="1"/>
  <c r="X94" i="1"/>
  <c r="V94" i="1"/>
  <c r="U94" i="1"/>
  <c r="H94" i="1"/>
  <c r="G94" i="1"/>
  <c r="E94" i="1"/>
  <c r="AJ93" i="1"/>
  <c r="AH93" i="1"/>
  <c r="AG93" i="1"/>
  <c r="X93" i="1"/>
  <c r="V93" i="1"/>
  <c r="U93" i="1"/>
  <c r="AJ92" i="1"/>
  <c r="AH92" i="1"/>
  <c r="AG92" i="1"/>
  <c r="X92" i="1"/>
  <c r="V92" i="1"/>
  <c r="U92" i="1"/>
  <c r="AJ91" i="1"/>
  <c r="AH91" i="1"/>
  <c r="AG91" i="1"/>
  <c r="X91" i="1"/>
  <c r="V91" i="1"/>
  <c r="U91" i="1"/>
  <c r="AJ90" i="1"/>
  <c r="AH90" i="1"/>
  <c r="AG90" i="1"/>
  <c r="X90" i="1"/>
  <c r="V90" i="1"/>
  <c r="U90" i="1"/>
  <c r="H90" i="1"/>
  <c r="D90" i="1"/>
  <c r="AJ89" i="1"/>
  <c r="AH89" i="1"/>
  <c r="AG89" i="1"/>
  <c r="X89" i="1"/>
  <c r="V89" i="1"/>
  <c r="U89" i="1"/>
  <c r="D89" i="1"/>
  <c r="AJ88" i="1"/>
  <c r="AH88" i="1"/>
  <c r="AG88" i="1"/>
  <c r="X88" i="1"/>
  <c r="V88" i="1"/>
  <c r="U88" i="1"/>
  <c r="AJ87" i="1"/>
  <c r="AH87" i="1"/>
  <c r="AG87" i="1"/>
  <c r="X87" i="1"/>
  <c r="V87" i="1"/>
  <c r="U87" i="1"/>
  <c r="AJ86" i="1"/>
  <c r="AH86" i="1"/>
  <c r="AG86" i="1"/>
  <c r="X86" i="1"/>
  <c r="V86" i="1"/>
  <c r="U86" i="1"/>
  <c r="L86" i="1"/>
  <c r="J86" i="1"/>
  <c r="I86" i="1"/>
  <c r="AJ85" i="1"/>
  <c r="AH85" i="1"/>
  <c r="AG85" i="1"/>
  <c r="X85" i="1"/>
  <c r="V85" i="1"/>
  <c r="U85" i="1"/>
  <c r="L85" i="1"/>
  <c r="J85" i="1"/>
  <c r="I85" i="1"/>
  <c r="AJ84" i="1"/>
  <c r="AH84" i="1"/>
  <c r="AG84" i="1"/>
  <c r="X84" i="1"/>
  <c r="V84" i="1"/>
  <c r="U84" i="1"/>
  <c r="L84" i="1"/>
  <c r="J84" i="1"/>
  <c r="I84" i="1"/>
  <c r="AJ83" i="1"/>
  <c r="AH83" i="1"/>
  <c r="AG83" i="1"/>
  <c r="X83" i="1"/>
  <c r="V83" i="1"/>
  <c r="U83" i="1"/>
  <c r="L83" i="1"/>
  <c r="J83" i="1"/>
  <c r="I83" i="1"/>
  <c r="AJ82" i="1"/>
  <c r="AH82" i="1"/>
  <c r="AG82" i="1"/>
  <c r="X82" i="1"/>
  <c r="V82" i="1"/>
  <c r="U82" i="1"/>
  <c r="L82" i="1"/>
  <c r="J82" i="1"/>
  <c r="I82" i="1"/>
  <c r="AJ81" i="1"/>
  <c r="AH81" i="1"/>
  <c r="AG81" i="1"/>
  <c r="X81" i="1"/>
  <c r="V81" i="1"/>
  <c r="U81" i="1"/>
  <c r="L81" i="1"/>
  <c r="J81" i="1"/>
  <c r="I81" i="1"/>
  <c r="AJ80" i="1"/>
  <c r="AH80" i="1"/>
  <c r="AG80" i="1"/>
  <c r="X80" i="1"/>
  <c r="V80" i="1"/>
  <c r="U80" i="1"/>
  <c r="L80" i="1"/>
  <c r="J80" i="1"/>
  <c r="I80" i="1"/>
  <c r="AJ79" i="1"/>
  <c r="AH79" i="1"/>
  <c r="AG79" i="1"/>
  <c r="X79" i="1"/>
  <c r="V79" i="1"/>
  <c r="U79" i="1"/>
  <c r="L79" i="1"/>
  <c r="J79" i="1"/>
  <c r="I79" i="1"/>
  <c r="AJ78" i="1"/>
  <c r="AH78" i="1"/>
  <c r="AG78" i="1"/>
  <c r="X78" i="1"/>
  <c r="V78" i="1"/>
  <c r="U78" i="1"/>
  <c r="L78" i="1"/>
  <c r="J78" i="1"/>
  <c r="I78" i="1"/>
  <c r="AJ77" i="1"/>
  <c r="AH77" i="1"/>
  <c r="AG77" i="1"/>
  <c r="X77" i="1"/>
  <c r="V77" i="1"/>
  <c r="U77" i="1"/>
  <c r="L77" i="1"/>
  <c r="J77" i="1"/>
  <c r="I77" i="1"/>
  <c r="AJ76" i="1"/>
  <c r="AH76" i="1"/>
  <c r="AG76" i="1"/>
  <c r="X76" i="1"/>
  <c r="V76" i="1"/>
  <c r="U76" i="1"/>
  <c r="L76" i="1"/>
  <c r="J76" i="1"/>
  <c r="I76" i="1"/>
  <c r="AJ75" i="1"/>
  <c r="AH75" i="1"/>
  <c r="AG75" i="1"/>
  <c r="X75" i="1"/>
  <c r="V75" i="1"/>
  <c r="U75" i="1"/>
  <c r="L75" i="1"/>
  <c r="J75" i="1"/>
  <c r="I75" i="1"/>
  <c r="AJ74" i="1"/>
  <c r="AH74" i="1"/>
  <c r="AG74" i="1"/>
  <c r="X74" i="1"/>
  <c r="V74" i="1"/>
  <c r="U74" i="1"/>
  <c r="L74" i="1"/>
  <c r="J74" i="1"/>
  <c r="I74" i="1"/>
  <c r="AJ73" i="1"/>
  <c r="AH73" i="1"/>
  <c r="AG73" i="1"/>
  <c r="X73" i="1"/>
  <c r="V73" i="1"/>
  <c r="U73" i="1"/>
  <c r="L73" i="1"/>
  <c r="J73" i="1"/>
  <c r="I73" i="1"/>
  <c r="AJ72" i="1"/>
  <c r="AH72" i="1"/>
  <c r="AG72" i="1"/>
  <c r="X72" i="1"/>
  <c r="V72" i="1"/>
  <c r="U72" i="1"/>
  <c r="L72" i="1"/>
  <c r="J72" i="1"/>
  <c r="I72" i="1"/>
  <c r="AJ71" i="1"/>
  <c r="AH71" i="1"/>
  <c r="AG71" i="1"/>
  <c r="X71" i="1"/>
  <c r="V71" i="1"/>
  <c r="U71" i="1"/>
  <c r="L71" i="1"/>
  <c r="J71" i="1"/>
  <c r="I71" i="1"/>
  <c r="AJ70" i="1"/>
  <c r="AH70" i="1"/>
  <c r="AG70" i="1"/>
  <c r="X70" i="1"/>
  <c r="V70" i="1"/>
  <c r="U70" i="1"/>
  <c r="L70" i="1"/>
  <c r="J70" i="1"/>
  <c r="I70" i="1"/>
  <c r="AJ69" i="1"/>
  <c r="AH69" i="1"/>
  <c r="AG69" i="1"/>
  <c r="X69" i="1"/>
  <c r="V69" i="1"/>
  <c r="U69" i="1"/>
  <c r="L69" i="1"/>
  <c r="J69" i="1"/>
  <c r="I69" i="1"/>
  <c r="AJ68" i="1"/>
  <c r="AH68" i="1"/>
  <c r="AG68" i="1"/>
  <c r="X68" i="1"/>
  <c r="V68" i="1"/>
  <c r="U68" i="1"/>
  <c r="L68" i="1"/>
  <c r="J68" i="1"/>
  <c r="I68" i="1"/>
  <c r="AJ67" i="1"/>
  <c r="AH67" i="1"/>
  <c r="AG67" i="1"/>
  <c r="X67" i="1"/>
  <c r="V67" i="1"/>
  <c r="U67" i="1"/>
  <c r="L67" i="1"/>
  <c r="J67" i="1"/>
  <c r="I67" i="1"/>
  <c r="AJ66" i="1"/>
  <c r="AH66" i="1"/>
  <c r="AG66" i="1"/>
  <c r="X66" i="1"/>
  <c r="V66" i="1"/>
  <c r="U66" i="1"/>
  <c r="L66" i="1"/>
  <c r="J66" i="1"/>
  <c r="I66" i="1"/>
  <c r="D66" i="1"/>
  <c r="E66" i="1"/>
  <c r="B66" i="1"/>
  <c r="AJ65" i="1"/>
  <c r="AH65" i="1"/>
  <c r="AG65" i="1"/>
  <c r="X65" i="1"/>
  <c r="V65" i="1"/>
  <c r="U65" i="1"/>
  <c r="L65" i="1"/>
  <c r="J65" i="1"/>
  <c r="I65" i="1"/>
  <c r="D65" i="1"/>
  <c r="E65" i="1"/>
  <c r="B65" i="1"/>
  <c r="AV64" i="1"/>
  <c r="AT64" i="1"/>
  <c r="AS64" i="1"/>
  <c r="AJ64" i="1"/>
  <c r="AH64" i="1"/>
  <c r="AG64" i="1"/>
  <c r="X64" i="1"/>
  <c r="V64" i="1"/>
  <c r="U64" i="1"/>
  <c r="L64" i="1"/>
  <c r="J64" i="1"/>
  <c r="I64" i="1"/>
  <c r="AV63" i="1"/>
  <c r="AT63" i="1"/>
  <c r="AS63" i="1"/>
  <c r="AJ63" i="1"/>
  <c r="AH63" i="1"/>
  <c r="AG63" i="1"/>
  <c r="X63" i="1"/>
  <c r="V63" i="1"/>
  <c r="U63" i="1"/>
  <c r="L63" i="1"/>
  <c r="J63" i="1"/>
  <c r="I63" i="1"/>
  <c r="AV62" i="1"/>
  <c r="AT62" i="1"/>
  <c r="AS62" i="1"/>
  <c r="AJ62" i="1"/>
  <c r="AH62" i="1"/>
  <c r="AG62" i="1"/>
  <c r="X62" i="1"/>
  <c r="V62" i="1"/>
  <c r="U62" i="1"/>
  <c r="L62" i="1"/>
  <c r="J62" i="1"/>
  <c r="I62" i="1"/>
  <c r="AV61" i="1"/>
  <c r="AT61" i="1"/>
  <c r="AS61" i="1"/>
  <c r="AJ61" i="1"/>
  <c r="AH61" i="1"/>
  <c r="AG61" i="1"/>
  <c r="X61" i="1"/>
  <c r="V61" i="1"/>
  <c r="U61" i="1"/>
  <c r="L61" i="1"/>
  <c r="J61" i="1"/>
  <c r="I61" i="1"/>
  <c r="AV60" i="1"/>
  <c r="AT60" i="1"/>
  <c r="AS60" i="1"/>
  <c r="AJ60" i="1"/>
  <c r="AH60" i="1"/>
  <c r="AG60" i="1"/>
  <c r="X60" i="1"/>
  <c r="V60" i="1"/>
  <c r="U60" i="1"/>
  <c r="L60" i="1"/>
  <c r="J60" i="1"/>
  <c r="I60" i="1"/>
  <c r="AV59" i="1"/>
  <c r="AT59" i="1"/>
  <c r="AS59" i="1"/>
  <c r="AJ59" i="1"/>
  <c r="AH59" i="1"/>
  <c r="AG59" i="1"/>
  <c r="X59" i="1"/>
  <c r="V59" i="1"/>
  <c r="U59" i="1"/>
  <c r="L59" i="1"/>
  <c r="J59" i="1"/>
  <c r="I59" i="1"/>
  <c r="AV58" i="1"/>
  <c r="AT58" i="1"/>
  <c r="AS58" i="1"/>
  <c r="AJ58" i="1"/>
  <c r="AH58" i="1"/>
  <c r="AG58" i="1"/>
  <c r="X58" i="1"/>
  <c r="V58" i="1"/>
  <c r="U58" i="1"/>
  <c r="L58" i="1"/>
  <c r="J58" i="1"/>
  <c r="I58" i="1"/>
  <c r="AV57" i="1"/>
  <c r="AT57" i="1"/>
  <c r="AS57" i="1"/>
  <c r="AJ57" i="1"/>
  <c r="AH57" i="1"/>
  <c r="AG57" i="1"/>
  <c r="X57" i="1"/>
  <c r="V57" i="1"/>
  <c r="U57" i="1"/>
  <c r="L57" i="1"/>
  <c r="J57" i="1"/>
  <c r="I57" i="1"/>
  <c r="AV56" i="1"/>
  <c r="AT56" i="1"/>
  <c r="AS56" i="1"/>
  <c r="AJ56" i="1"/>
  <c r="AH56" i="1"/>
  <c r="AG56" i="1"/>
  <c r="X56" i="1"/>
  <c r="V56" i="1"/>
  <c r="U56" i="1"/>
  <c r="AV55" i="1"/>
  <c r="AT55" i="1"/>
  <c r="AS55" i="1"/>
  <c r="AJ55" i="1"/>
  <c r="AH55" i="1"/>
  <c r="AG55" i="1"/>
  <c r="X55" i="1"/>
  <c r="V55" i="1"/>
  <c r="U55" i="1"/>
  <c r="AV54" i="1"/>
  <c r="AT54" i="1"/>
  <c r="AS54" i="1"/>
  <c r="AJ54" i="1"/>
  <c r="AH54" i="1"/>
  <c r="AG54" i="1"/>
  <c r="X54" i="1"/>
  <c r="V54" i="1"/>
  <c r="U54" i="1"/>
  <c r="A40" i="1"/>
  <c r="A41" i="1"/>
  <c r="A42" i="1"/>
  <c r="A43" i="1"/>
  <c r="A44" i="1"/>
  <c r="A45" i="1"/>
  <c r="A46" i="1"/>
  <c r="A47" i="1"/>
  <c r="A48" i="1"/>
  <c r="A49" i="1"/>
  <c r="A50" i="1"/>
  <c r="A51" i="1"/>
  <c r="A52" i="1"/>
  <c r="A53" i="1"/>
  <c r="A54" i="1"/>
  <c r="C54" i="1"/>
  <c r="L54" i="1"/>
  <c r="H54" i="1"/>
  <c r="J54" i="1"/>
  <c r="I54" i="1"/>
  <c r="F54" i="1"/>
  <c r="G54" i="1"/>
  <c r="D54" i="1"/>
  <c r="E54" i="1"/>
  <c r="B54" i="1"/>
  <c r="AV53" i="1"/>
  <c r="AT53" i="1"/>
  <c r="AS53" i="1"/>
  <c r="AJ53" i="1"/>
  <c r="AH53" i="1"/>
  <c r="AG53" i="1"/>
  <c r="X53" i="1"/>
  <c r="V53" i="1"/>
  <c r="U53" i="1"/>
  <c r="C53" i="1"/>
  <c r="L53" i="1"/>
  <c r="H53" i="1"/>
  <c r="J53" i="1"/>
  <c r="I53" i="1"/>
  <c r="F53" i="1"/>
  <c r="G53" i="1"/>
  <c r="D53" i="1"/>
  <c r="E53" i="1"/>
  <c r="B53" i="1"/>
  <c r="AV52" i="1"/>
  <c r="AT52" i="1"/>
  <c r="AS52" i="1"/>
  <c r="AJ52" i="1"/>
  <c r="AH52" i="1"/>
  <c r="AG52" i="1"/>
  <c r="X52" i="1"/>
  <c r="V52" i="1"/>
  <c r="U52" i="1"/>
  <c r="C52" i="1"/>
  <c r="L52" i="1"/>
  <c r="H52" i="1"/>
  <c r="J52" i="1"/>
  <c r="I52" i="1"/>
  <c r="F52" i="1"/>
  <c r="G52" i="1"/>
  <c r="D52" i="1"/>
  <c r="E52" i="1"/>
  <c r="B52" i="1"/>
  <c r="AV51" i="1"/>
  <c r="AT51" i="1"/>
  <c r="AS51" i="1"/>
  <c r="AJ51" i="1"/>
  <c r="AH51" i="1"/>
  <c r="AG51" i="1"/>
  <c r="X51" i="1"/>
  <c r="V51" i="1"/>
  <c r="U51" i="1"/>
  <c r="C51" i="1"/>
  <c r="L51" i="1"/>
  <c r="H51" i="1"/>
  <c r="J51" i="1"/>
  <c r="I51" i="1"/>
  <c r="F51" i="1"/>
  <c r="G51" i="1"/>
  <c r="D51" i="1"/>
  <c r="E51" i="1"/>
  <c r="B51" i="1"/>
  <c r="AV50" i="1"/>
  <c r="AT50" i="1"/>
  <c r="AS50" i="1"/>
  <c r="AJ50" i="1"/>
  <c r="AH50" i="1"/>
  <c r="AG50" i="1"/>
  <c r="X50" i="1"/>
  <c r="V50" i="1"/>
  <c r="U50" i="1"/>
  <c r="C50" i="1"/>
  <c r="L50" i="1"/>
  <c r="H50" i="1"/>
  <c r="J50" i="1"/>
  <c r="I50" i="1"/>
  <c r="F50" i="1"/>
  <c r="G50" i="1"/>
  <c r="D50" i="1"/>
  <c r="E50" i="1"/>
  <c r="B50" i="1"/>
  <c r="AV49" i="1"/>
  <c r="AT49" i="1"/>
  <c r="AS49" i="1"/>
  <c r="AJ49" i="1"/>
  <c r="AH49" i="1"/>
  <c r="AG49" i="1"/>
  <c r="X49" i="1"/>
  <c r="V49" i="1"/>
  <c r="U49" i="1"/>
  <c r="C49" i="1"/>
  <c r="L49" i="1"/>
  <c r="H49" i="1"/>
  <c r="J49" i="1"/>
  <c r="I49" i="1"/>
  <c r="F49" i="1"/>
  <c r="G49" i="1"/>
  <c r="D49" i="1"/>
  <c r="E49" i="1"/>
  <c r="B49" i="1"/>
  <c r="AV48" i="1"/>
  <c r="AT48" i="1"/>
  <c r="AS48" i="1"/>
  <c r="AJ48" i="1"/>
  <c r="AH48" i="1"/>
  <c r="AG48" i="1"/>
  <c r="X48" i="1"/>
  <c r="V48" i="1"/>
  <c r="U48" i="1"/>
  <c r="C48" i="1"/>
  <c r="L48" i="1"/>
  <c r="H48" i="1"/>
  <c r="J48" i="1"/>
  <c r="I48" i="1"/>
  <c r="F48" i="1"/>
  <c r="G48" i="1"/>
  <c r="D48" i="1"/>
  <c r="E48" i="1"/>
  <c r="B48" i="1"/>
  <c r="AV47" i="1"/>
  <c r="AT47" i="1"/>
  <c r="AS47" i="1"/>
  <c r="AJ47" i="1"/>
  <c r="AH47" i="1"/>
  <c r="AG47" i="1"/>
  <c r="X47" i="1"/>
  <c r="V47" i="1"/>
  <c r="U47" i="1"/>
  <c r="C47" i="1"/>
  <c r="L47" i="1"/>
  <c r="H47" i="1"/>
  <c r="J47" i="1"/>
  <c r="I47" i="1"/>
  <c r="F47" i="1"/>
  <c r="G47" i="1"/>
  <c r="D47" i="1"/>
  <c r="E47" i="1"/>
  <c r="B47" i="1"/>
  <c r="AV46" i="1"/>
  <c r="AT46" i="1"/>
  <c r="AS46" i="1"/>
  <c r="AJ46" i="1"/>
  <c r="AH46" i="1"/>
  <c r="AG46" i="1"/>
  <c r="X46" i="1"/>
  <c r="V46" i="1"/>
  <c r="U46" i="1"/>
  <c r="C46" i="1"/>
  <c r="L46" i="1"/>
  <c r="H46" i="1"/>
  <c r="J46" i="1"/>
  <c r="I46" i="1"/>
  <c r="F46" i="1"/>
  <c r="G46" i="1"/>
  <c r="D46" i="1"/>
  <c r="E46" i="1"/>
  <c r="B46" i="1"/>
  <c r="AV45" i="1"/>
  <c r="AT45" i="1"/>
  <c r="AS45" i="1"/>
  <c r="AJ45" i="1"/>
  <c r="AH45" i="1"/>
  <c r="AG45" i="1"/>
  <c r="X45" i="1"/>
  <c r="V45" i="1"/>
  <c r="U45" i="1"/>
  <c r="C45" i="1"/>
  <c r="L45" i="1"/>
  <c r="H45" i="1"/>
  <c r="J45" i="1"/>
  <c r="I45" i="1"/>
  <c r="F45" i="1"/>
  <c r="G45" i="1"/>
  <c r="D45" i="1"/>
  <c r="E45" i="1"/>
  <c r="B45" i="1"/>
  <c r="AV44" i="1"/>
  <c r="AT44" i="1"/>
  <c r="AS44" i="1"/>
  <c r="AJ44" i="1"/>
  <c r="AH44" i="1"/>
  <c r="AG44" i="1"/>
  <c r="X44" i="1"/>
  <c r="V44" i="1"/>
  <c r="U44" i="1"/>
  <c r="C44" i="1"/>
  <c r="L44" i="1"/>
  <c r="H44" i="1"/>
  <c r="J44" i="1"/>
  <c r="I44" i="1"/>
  <c r="F44" i="1"/>
  <c r="G44" i="1"/>
  <c r="D44" i="1"/>
  <c r="E44" i="1"/>
  <c r="B44" i="1"/>
  <c r="AV43" i="1"/>
  <c r="AT43" i="1"/>
  <c r="AS43" i="1"/>
  <c r="AJ43" i="1"/>
  <c r="AH43" i="1"/>
  <c r="AG43" i="1"/>
  <c r="X43" i="1"/>
  <c r="V43" i="1"/>
  <c r="U43" i="1"/>
  <c r="C43" i="1"/>
  <c r="L43" i="1"/>
  <c r="H43" i="1"/>
  <c r="J43" i="1"/>
  <c r="I43" i="1"/>
  <c r="F43" i="1"/>
  <c r="G43" i="1"/>
  <c r="D43" i="1"/>
  <c r="E43" i="1"/>
  <c r="B43" i="1"/>
  <c r="AV42" i="1"/>
  <c r="AT42" i="1"/>
  <c r="AS42" i="1"/>
  <c r="AJ42" i="1"/>
  <c r="AH42" i="1"/>
  <c r="AG42" i="1"/>
  <c r="X42" i="1"/>
  <c r="V42" i="1"/>
  <c r="U42" i="1"/>
  <c r="C42" i="1"/>
  <c r="L42" i="1"/>
  <c r="H42" i="1"/>
  <c r="J42" i="1"/>
  <c r="I42" i="1"/>
  <c r="F42" i="1"/>
  <c r="G42" i="1"/>
  <c r="D42" i="1"/>
  <c r="E42" i="1"/>
  <c r="B42" i="1"/>
  <c r="AV41" i="1"/>
  <c r="AT41" i="1"/>
  <c r="AS41" i="1"/>
  <c r="AJ41" i="1"/>
  <c r="AH41" i="1"/>
  <c r="AG41" i="1"/>
  <c r="X41" i="1"/>
  <c r="V41" i="1"/>
  <c r="U41" i="1"/>
  <c r="C41" i="1"/>
  <c r="L41" i="1"/>
  <c r="H41" i="1"/>
  <c r="J41" i="1"/>
  <c r="I41" i="1"/>
  <c r="F41" i="1"/>
  <c r="G41" i="1"/>
  <c r="D41" i="1"/>
  <c r="E41" i="1"/>
  <c r="B41" i="1"/>
  <c r="AV40" i="1"/>
  <c r="AT40" i="1"/>
  <c r="AS40" i="1"/>
  <c r="AJ40" i="1"/>
  <c r="AH40" i="1"/>
  <c r="AG40" i="1"/>
  <c r="X40" i="1"/>
  <c r="V40" i="1"/>
  <c r="U40" i="1"/>
  <c r="C40" i="1"/>
  <c r="L40" i="1"/>
  <c r="H40" i="1"/>
  <c r="J40" i="1"/>
  <c r="I40" i="1"/>
  <c r="F40" i="1"/>
  <c r="G40" i="1"/>
  <c r="D40" i="1"/>
  <c r="E40" i="1"/>
  <c r="B40" i="1"/>
  <c r="AV39" i="1"/>
  <c r="AT39" i="1"/>
  <c r="AS39" i="1"/>
  <c r="AJ39" i="1"/>
  <c r="AH39" i="1"/>
  <c r="AG39" i="1"/>
  <c r="X39" i="1"/>
  <c r="V39" i="1"/>
  <c r="U39" i="1"/>
  <c r="L39" i="1"/>
  <c r="H39" i="1"/>
  <c r="J39" i="1"/>
  <c r="I39" i="1"/>
  <c r="D39" i="1"/>
  <c r="E39" i="1"/>
  <c r="B39" i="1"/>
  <c r="AV38" i="1"/>
  <c r="AT38" i="1"/>
  <c r="AS38" i="1"/>
  <c r="AJ38" i="1"/>
  <c r="AH38" i="1"/>
  <c r="AG38" i="1"/>
  <c r="X38" i="1"/>
  <c r="V38" i="1"/>
  <c r="U38" i="1"/>
  <c r="L38" i="1"/>
  <c r="H38" i="1"/>
  <c r="J38" i="1"/>
  <c r="I38" i="1"/>
  <c r="D38" i="1"/>
  <c r="E38" i="1"/>
  <c r="B38" i="1"/>
  <c r="AV37" i="1"/>
  <c r="AT37" i="1"/>
  <c r="AS37" i="1"/>
  <c r="AJ37" i="1"/>
  <c r="AH37" i="1"/>
  <c r="AG37" i="1"/>
  <c r="X37" i="1"/>
  <c r="V37" i="1"/>
  <c r="U37" i="1"/>
  <c r="L37" i="1"/>
  <c r="H37" i="1"/>
  <c r="J37" i="1"/>
  <c r="I37" i="1"/>
  <c r="D37" i="1"/>
  <c r="E37" i="1"/>
  <c r="B37" i="1"/>
  <c r="AV36" i="1"/>
  <c r="AT36" i="1"/>
  <c r="AS36" i="1"/>
  <c r="AJ36" i="1"/>
  <c r="AH36" i="1"/>
  <c r="AG36" i="1"/>
  <c r="X36" i="1"/>
  <c r="V36" i="1"/>
  <c r="U36" i="1"/>
  <c r="L36" i="1"/>
  <c r="H36" i="1"/>
  <c r="J36" i="1"/>
  <c r="I36" i="1"/>
  <c r="D36" i="1"/>
  <c r="E36" i="1"/>
  <c r="B36" i="1"/>
  <c r="AV35" i="1"/>
  <c r="AT35" i="1"/>
  <c r="AS35" i="1"/>
  <c r="AJ35" i="1"/>
  <c r="AH35" i="1"/>
  <c r="AG35" i="1"/>
  <c r="X35" i="1"/>
  <c r="V35" i="1"/>
  <c r="U35" i="1"/>
  <c r="L35" i="1"/>
  <c r="H35" i="1"/>
  <c r="J35" i="1"/>
  <c r="I35" i="1"/>
  <c r="D35" i="1"/>
  <c r="E35" i="1"/>
  <c r="B35" i="1"/>
  <c r="AJ34" i="1"/>
  <c r="AH34" i="1"/>
  <c r="AG34" i="1"/>
  <c r="X34" i="1"/>
  <c r="V34" i="1"/>
  <c r="U34" i="1"/>
  <c r="L34" i="1"/>
  <c r="H34" i="1"/>
  <c r="J34" i="1"/>
  <c r="I34" i="1"/>
  <c r="D34" i="1"/>
  <c r="E34" i="1"/>
  <c r="B34" i="1"/>
  <c r="AJ33" i="1"/>
  <c r="AH33" i="1"/>
  <c r="AG33" i="1"/>
  <c r="X33" i="1"/>
  <c r="V33" i="1"/>
  <c r="U33" i="1"/>
  <c r="L33" i="1"/>
  <c r="H33" i="1"/>
  <c r="J33" i="1"/>
  <c r="I33" i="1"/>
  <c r="D33" i="1"/>
  <c r="E33" i="1"/>
  <c r="B33" i="1"/>
  <c r="AV32" i="1"/>
  <c r="AT32" i="1"/>
  <c r="AS32" i="1"/>
  <c r="AJ32" i="1"/>
  <c r="AH32" i="1"/>
  <c r="AG32" i="1"/>
  <c r="X32" i="1"/>
  <c r="V32" i="1"/>
  <c r="U32" i="1"/>
  <c r="L32" i="1"/>
  <c r="J32" i="1"/>
  <c r="I32" i="1"/>
  <c r="AV31" i="1"/>
  <c r="AT31" i="1"/>
  <c r="AS31" i="1"/>
  <c r="AJ31" i="1"/>
  <c r="AH31" i="1"/>
  <c r="AG31" i="1"/>
  <c r="X31" i="1"/>
  <c r="V31" i="1"/>
  <c r="U31" i="1"/>
  <c r="L31" i="1"/>
  <c r="J31" i="1"/>
  <c r="I31" i="1"/>
  <c r="AV30" i="1"/>
  <c r="AT30" i="1"/>
  <c r="AS30" i="1"/>
  <c r="AJ30" i="1"/>
  <c r="AH30" i="1"/>
  <c r="AG30" i="1"/>
  <c r="X30" i="1"/>
  <c r="V30" i="1"/>
  <c r="U30" i="1"/>
  <c r="L30" i="1"/>
  <c r="J30" i="1"/>
  <c r="I30" i="1"/>
  <c r="AV29" i="1"/>
  <c r="AT29" i="1"/>
  <c r="AS29" i="1"/>
  <c r="AJ29" i="1"/>
  <c r="AH29" i="1"/>
  <c r="AG29" i="1"/>
  <c r="X29" i="1"/>
  <c r="V29" i="1"/>
  <c r="U29" i="1"/>
  <c r="L29" i="1"/>
  <c r="J29" i="1"/>
  <c r="I29" i="1"/>
  <c r="AV28" i="1"/>
  <c r="AT28" i="1"/>
  <c r="AS28" i="1"/>
  <c r="AJ28" i="1"/>
  <c r="AH28" i="1"/>
  <c r="AG28" i="1"/>
  <c r="X28" i="1"/>
  <c r="V28" i="1"/>
  <c r="U28" i="1"/>
  <c r="L28" i="1"/>
  <c r="J28" i="1"/>
  <c r="I28" i="1"/>
  <c r="AV27" i="1"/>
  <c r="AT27" i="1"/>
  <c r="AS27" i="1"/>
  <c r="AJ27" i="1"/>
  <c r="AH27" i="1"/>
  <c r="AG27" i="1"/>
  <c r="X27" i="1"/>
  <c r="V27" i="1"/>
  <c r="U27" i="1"/>
  <c r="L27" i="1"/>
  <c r="J27" i="1"/>
  <c r="I27" i="1"/>
  <c r="AV26" i="1"/>
  <c r="AT26" i="1"/>
  <c r="AS26" i="1"/>
  <c r="AJ26" i="1"/>
  <c r="AH26" i="1"/>
  <c r="AG26" i="1"/>
  <c r="X26" i="1"/>
  <c r="V26" i="1"/>
  <c r="U26" i="1"/>
  <c r="L26" i="1"/>
  <c r="J26" i="1"/>
  <c r="I26" i="1"/>
  <c r="AV25" i="1"/>
  <c r="AT25" i="1"/>
  <c r="AS25" i="1"/>
  <c r="AJ25" i="1"/>
  <c r="AH25" i="1"/>
  <c r="AG25" i="1"/>
  <c r="X25" i="1"/>
  <c r="V25" i="1"/>
  <c r="U25" i="1"/>
  <c r="L25" i="1"/>
  <c r="J25" i="1"/>
  <c r="I25" i="1"/>
  <c r="AV24" i="1"/>
  <c r="AT24" i="1"/>
  <c r="AS24" i="1"/>
  <c r="AJ24" i="1"/>
  <c r="AH24" i="1"/>
  <c r="AG24" i="1"/>
  <c r="X24" i="1"/>
  <c r="V24" i="1"/>
  <c r="U24" i="1"/>
  <c r="L24" i="1"/>
  <c r="J24" i="1"/>
  <c r="I24" i="1"/>
  <c r="AV23" i="1"/>
  <c r="AT23" i="1"/>
  <c r="AS23" i="1"/>
  <c r="AJ23" i="1"/>
  <c r="AH23" i="1"/>
  <c r="AG23" i="1"/>
  <c r="X23" i="1"/>
  <c r="V23" i="1"/>
  <c r="U23" i="1"/>
  <c r="L23" i="1"/>
  <c r="J23" i="1"/>
  <c r="I23" i="1"/>
  <c r="AV22" i="1"/>
  <c r="AT22" i="1"/>
  <c r="AS22" i="1"/>
  <c r="AJ22" i="1"/>
  <c r="AH22" i="1"/>
  <c r="AG22" i="1"/>
  <c r="X22" i="1"/>
  <c r="V22" i="1"/>
  <c r="U22" i="1"/>
  <c r="L22" i="1"/>
  <c r="J22" i="1"/>
  <c r="I22" i="1"/>
  <c r="AV21" i="1"/>
  <c r="AT21" i="1"/>
  <c r="AS21" i="1"/>
  <c r="AJ21" i="1"/>
  <c r="AH21" i="1"/>
  <c r="AG21" i="1"/>
  <c r="X21" i="1"/>
  <c r="V21" i="1"/>
  <c r="U21" i="1"/>
  <c r="L21" i="1"/>
  <c r="J21" i="1"/>
  <c r="I21" i="1"/>
  <c r="AV20" i="1"/>
  <c r="AT20" i="1"/>
  <c r="AS20" i="1"/>
  <c r="AJ20" i="1"/>
  <c r="AH20" i="1"/>
  <c r="AG20" i="1"/>
  <c r="X20" i="1"/>
  <c r="V20" i="1"/>
  <c r="U20" i="1"/>
  <c r="L20" i="1"/>
  <c r="J20" i="1"/>
  <c r="I20" i="1"/>
  <c r="AV19" i="1"/>
  <c r="AT19" i="1"/>
  <c r="AS19" i="1"/>
  <c r="AJ19" i="1"/>
  <c r="AH19" i="1"/>
  <c r="AG19" i="1"/>
  <c r="X19" i="1"/>
  <c r="V19" i="1"/>
  <c r="U19" i="1"/>
  <c r="L19" i="1"/>
  <c r="J19" i="1"/>
  <c r="I19" i="1"/>
  <c r="AV18" i="1"/>
  <c r="AT18" i="1"/>
  <c r="AS18" i="1"/>
  <c r="AJ18" i="1"/>
  <c r="AH18" i="1"/>
  <c r="AG18" i="1"/>
  <c r="X18" i="1"/>
  <c r="V18" i="1"/>
  <c r="U18" i="1"/>
  <c r="L18" i="1"/>
  <c r="J18" i="1"/>
  <c r="I18" i="1"/>
  <c r="AV17" i="1"/>
  <c r="AT17" i="1"/>
  <c r="AS17" i="1"/>
  <c r="AJ17" i="1"/>
  <c r="AH17" i="1"/>
  <c r="AG17" i="1"/>
  <c r="X17" i="1"/>
  <c r="V17" i="1"/>
  <c r="U17" i="1"/>
  <c r="L17" i="1"/>
  <c r="J17" i="1"/>
  <c r="I17" i="1"/>
  <c r="AV16" i="1"/>
  <c r="AT16" i="1"/>
  <c r="AS16" i="1"/>
  <c r="AJ16" i="1"/>
  <c r="AH16" i="1"/>
  <c r="AG16" i="1"/>
  <c r="X16" i="1"/>
  <c r="V16" i="1"/>
  <c r="U16" i="1"/>
  <c r="L16" i="1"/>
  <c r="J16" i="1"/>
  <c r="I16" i="1"/>
  <c r="AV15" i="1"/>
  <c r="AT15" i="1"/>
  <c r="AS15" i="1"/>
  <c r="AJ15" i="1"/>
  <c r="AH15" i="1"/>
  <c r="AG15" i="1"/>
  <c r="X15" i="1"/>
  <c r="V15" i="1"/>
  <c r="U15" i="1"/>
  <c r="L15" i="1"/>
  <c r="J15" i="1"/>
  <c r="I15" i="1"/>
  <c r="AV14" i="1"/>
  <c r="AT14" i="1"/>
  <c r="AS14" i="1"/>
  <c r="AJ14" i="1"/>
  <c r="AH14" i="1"/>
  <c r="AG14" i="1"/>
  <c r="X14" i="1"/>
  <c r="V14" i="1"/>
  <c r="U14" i="1"/>
  <c r="L14" i="1"/>
  <c r="J14" i="1"/>
  <c r="I14" i="1"/>
  <c r="AV13" i="1"/>
  <c r="AT13" i="1"/>
  <c r="AS13" i="1"/>
  <c r="AJ13" i="1"/>
  <c r="AH13" i="1"/>
  <c r="AG13" i="1"/>
  <c r="X13" i="1"/>
  <c r="V13" i="1"/>
  <c r="U13" i="1"/>
  <c r="L13" i="1"/>
  <c r="J13" i="1"/>
  <c r="I13" i="1"/>
  <c r="AV12" i="1"/>
  <c r="AT12" i="1"/>
  <c r="AS12" i="1"/>
  <c r="AJ12" i="1"/>
  <c r="AH12" i="1"/>
  <c r="AG12" i="1"/>
  <c r="X12" i="1"/>
  <c r="V12" i="1"/>
  <c r="U12" i="1"/>
  <c r="L12" i="1"/>
  <c r="J12" i="1"/>
  <c r="I12" i="1"/>
  <c r="AV11" i="1"/>
  <c r="AT11" i="1"/>
  <c r="AS11" i="1"/>
  <c r="AJ11" i="1"/>
  <c r="AH11" i="1"/>
  <c r="AG11" i="1"/>
  <c r="X11" i="1"/>
  <c r="V11" i="1"/>
  <c r="U11" i="1"/>
  <c r="L11" i="1"/>
  <c r="J11" i="1"/>
  <c r="I11" i="1"/>
  <c r="AV10" i="1"/>
  <c r="AT10" i="1"/>
  <c r="AS10" i="1"/>
  <c r="AJ10" i="1"/>
  <c r="AH10" i="1"/>
  <c r="AG10" i="1"/>
  <c r="X10" i="1"/>
  <c r="V10" i="1"/>
  <c r="U10" i="1"/>
  <c r="L10" i="1"/>
  <c r="J10" i="1"/>
  <c r="I10" i="1"/>
  <c r="AV9" i="1"/>
  <c r="AT9" i="1"/>
  <c r="AS9" i="1"/>
  <c r="AJ9" i="1"/>
  <c r="AH9" i="1"/>
  <c r="AG9" i="1"/>
  <c r="X9" i="1"/>
  <c r="V9" i="1"/>
  <c r="U9" i="1"/>
  <c r="L9" i="1"/>
  <c r="J9" i="1"/>
  <c r="I9" i="1"/>
  <c r="AV8" i="1"/>
  <c r="AT8" i="1"/>
  <c r="AS8" i="1"/>
  <c r="AJ8" i="1"/>
  <c r="AH8" i="1"/>
  <c r="AG8" i="1"/>
  <c r="X8" i="1"/>
  <c r="V8" i="1"/>
  <c r="U8" i="1"/>
  <c r="L8" i="1"/>
  <c r="J8" i="1"/>
  <c r="I8" i="1"/>
  <c r="AV7" i="1"/>
  <c r="AT7" i="1"/>
  <c r="AS7" i="1"/>
  <c r="AJ7" i="1"/>
  <c r="AH7" i="1"/>
  <c r="AG7" i="1"/>
  <c r="X7" i="1"/>
  <c r="V7" i="1"/>
  <c r="U7" i="1"/>
  <c r="L7" i="1"/>
  <c r="J7" i="1"/>
  <c r="I7" i="1"/>
  <c r="AV6" i="1"/>
  <c r="AT6" i="1"/>
  <c r="AS6" i="1"/>
  <c r="AJ6" i="1"/>
  <c r="AH6" i="1"/>
  <c r="AG6" i="1"/>
  <c r="X6" i="1"/>
  <c r="V6" i="1"/>
  <c r="U6" i="1"/>
  <c r="L6" i="1"/>
  <c r="J6" i="1"/>
  <c r="I6" i="1"/>
  <c r="AV5" i="1"/>
  <c r="AT5" i="1"/>
  <c r="AS5" i="1"/>
  <c r="AJ5" i="1"/>
  <c r="AH5" i="1"/>
  <c r="AG5" i="1"/>
  <c r="X5" i="1"/>
  <c r="V5" i="1"/>
  <c r="U5" i="1"/>
  <c r="L5" i="1"/>
  <c r="J5" i="1"/>
  <c r="I5" i="1"/>
  <c r="AV4" i="1"/>
  <c r="AT4" i="1"/>
  <c r="AS4" i="1"/>
  <c r="AJ4" i="1"/>
  <c r="AH4" i="1"/>
  <c r="AG4" i="1"/>
  <c r="X4" i="1"/>
  <c r="V4" i="1"/>
  <c r="U4" i="1"/>
  <c r="L4" i="1"/>
  <c r="J4" i="1"/>
  <c r="I4" i="1"/>
  <c r="AV3" i="1"/>
  <c r="AT3" i="1"/>
  <c r="AS3" i="1"/>
  <c r="AJ3" i="1"/>
  <c r="AH3" i="1"/>
  <c r="AG3" i="1"/>
  <c r="X3" i="1"/>
  <c r="V3" i="1"/>
  <c r="U3" i="1"/>
  <c r="L3" i="1"/>
  <c r="J3" i="1"/>
  <c r="I3" i="1"/>
</calcChain>
</file>

<file path=xl/sharedStrings.xml><?xml version="1.0" encoding="utf-8"?>
<sst xmlns="http://schemas.openxmlformats.org/spreadsheetml/2006/main" count="11338" uniqueCount="3043">
  <si>
    <t>QB</t>
  </si>
  <si>
    <t>ESPN</t>
  </si>
  <si>
    <t>RB</t>
  </si>
  <si>
    <t>WR</t>
  </si>
  <si>
    <t>K</t>
  </si>
  <si>
    <t>Rk</t>
  </si>
  <si>
    <t>Player</t>
  </si>
  <si>
    <t>Team</t>
  </si>
  <si>
    <t>Bye</t>
  </si>
  <si>
    <t>Pts</t>
  </si>
  <si>
    <t>VBD</t>
  </si>
  <si>
    <t>Top</t>
  </si>
  <si>
    <t>PPR</t>
  </si>
  <si>
    <t>'+/-</t>
  </si>
  <si>
    <t>$</t>
  </si>
  <si>
    <t>DST</t>
  </si>
  <si>
    <t>TE</t>
  </si>
  <si>
    <t>10x16 ESPN League</t>
  </si>
  <si>
    <t>Total Budget</t>
  </si>
  <si>
    <t>Players Selected</t>
  </si>
  <si>
    <t>Total</t>
  </si>
  <si>
    <t>Start</t>
  </si>
  <si>
    <t>ARBOUR</t>
  </si>
  <si>
    <t>BARTON</t>
  </si>
  <si>
    <t>BROWN</t>
  </si>
  <si>
    <t>FOGG</t>
  </si>
  <si>
    <t>GORE</t>
  </si>
  <si>
    <t>GROOM</t>
  </si>
  <si>
    <t>KELLEHER</t>
  </si>
  <si>
    <t>LOVELL</t>
  </si>
  <si>
    <t>METCALF</t>
  </si>
  <si>
    <t>NESMITH</t>
  </si>
  <si>
    <t>TABER</t>
  </si>
  <si>
    <t>Rank</t>
  </si>
  <si>
    <t>Bid</t>
  </si>
  <si>
    <t>#</t>
  </si>
  <si>
    <t>High</t>
  </si>
  <si>
    <t>Low</t>
  </si>
  <si>
    <t>Tot</t>
  </si>
  <si>
    <t>Bal</t>
  </si>
  <si>
    <t>Max</t>
  </si>
  <si>
    <t>Arbour</t>
  </si>
  <si>
    <t>Barton</t>
  </si>
  <si>
    <t>Brown</t>
  </si>
  <si>
    <t>Fogg</t>
  </si>
  <si>
    <t>Gore</t>
  </si>
  <si>
    <t>Groom</t>
  </si>
  <si>
    <t>Kelleher</t>
  </si>
  <si>
    <t>Lovell</t>
  </si>
  <si>
    <t>Metcalf</t>
  </si>
  <si>
    <t>Nesmith</t>
  </si>
  <si>
    <t>Taber</t>
  </si>
  <si>
    <t>TOTALS</t>
  </si>
  <si>
    <t>Targets</t>
  </si>
  <si>
    <t>Diff</t>
  </si>
  <si>
    <t>Starters</t>
  </si>
  <si>
    <t>Avg</t>
  </si>
  <si>
    <t>Bench</t>
  </si>
  <si>
    <t>Spending</t>
  </si>
  <si>
    <t>Balance</t>
  </si>
  <si>
    <t>% of Budget</t>
  </si>
  <si>
    <t>Max Bid</t>
  </si>
  <si>
    <t>'+/- Summary</t>
  </si>
  <si>
    <t>Positions</t>
  </si>
  <si>
    <t>Remaining</t>
  </si>
  <si>
    <t>F</t>
  </si>
  <si>
    <t>L</t>
  </si>
  <si>
    <t>R</t>
  </si>
  <si>
    <t>X</t>
  </si>
  <si>
    <t>AD</t>
  </si>
  <si>
    <t>AJ</t>
  </si>
  <si>
    <t>AP</t>
  </si>
  <si>
    <t>AV</t>
  </si>
  <si>
    <t>BB</t>
  </si>
  <si>
    <t>BH</t>
  </si>
  <si>
    <t>BN</t>
  </si>
  <si>
    <t>SCORING</t>
  </si>
  <si>
    <t>Tm</t>
  </si>
  <si>
    <t>PLAYER VALUE SETTINGS</t>
  </si>
  <si>
    <t>Passing</t>
  </si>
  <si>
    <t>Cardinals</t>
  </si>
  <si>
    <t>Arizona Cardinals</t>
  </si>
  <si>
    <t>ARI</t>
  </si>
  <si>
    <t>Offset #1</t>
  </si>
  <si>
    <t>Offset #2</t>
  </si>
  <si>
    <t>Count</t>
  </si>
  <si>
    <t>per</t>
  </si>
  <si>
    <t>$1 Rank</t>
  </si>
  <si>
    <t>VBD Base</t>
  </si>
  <si>
    <t>Y-int</t>
  </si>
  <si>
    <t>X1</t>
  </si>
  <si>
    <t>X2</t>
  </si>
  <si>
    <t>X3</t>
  </si>
  <si>
    <t>X4</t>
  </si>
  <si>
    <t>Falcons</t>
  </si>
  <si>
    <t>Atlanta Falcons</t>
  </si>
  <si>
    <t>ATL</t>
  </si>
  <si>
    <t>Ravens</t>
  </si>
  <si>
    <t>Baltimore Ravens</t>
  </si>
  <si>
    <t>BAL</t>
  </si>
  <si>
    <t>Bills</t>
  </si>
  <si>
    <t>Buffalo Bills</t>
  </si>
  <si>
    <t>BUF</t>
  </si>
  <si>
    <t>Rushing</t>
  </si>
  <si>
    <t>Panthers</t>
  </si>
  <si>
    <t>Carolina Panthers</t>
  </si>
  <si>
    <t>CAR</t>
  </si>
  <si>
    <t>Bears</t>
  </si>
  <si>
    <t>Chicago Bears</t>
  </si>
  <si>
    <t>CHI</t>
  </si>
  <si>
    <t>Bengals</t>
  </si>
  <si>
    <t>Cincinnati Bengals</t>
  </si>
  <si>
    <t>CIN</t>
  </si>
  <si>
    <t>Browns</t>
  </si>
  <si>
    <t>Cleveland Browns</t>
  </si>
  <si>
    <t>CLE</t>
  </si>
  <si>
    <t>Receiving</t>
  </si>
  <si>
    <t>Cowboys</t>
  </si>
  <si>
    <t>Dallas Cowboys</t>
  </si>
  <si>
    <t>DAL</t>
  </si>
  <si>
    <t>Broncos</t>
  </si>
  <si>
    <t>Denver Broncos</t>
  </si>
  <si>
    <t>DEN</t>
  </si>
  <si>
    <t>Lions</t>
  </si>
  <si>
    <t>Detroit Lions</t>
  </si>
  <si>
    <t>DET</t>
  </si>
  <si>
    <t>Packers</t>
  </si>
  <si>
    <t>Green Bay Packers</t>
  </si>
  <si>
    <t>GB</t>
  </si>
  <si>
    <t>Miscellaneous</t>
  </si>
  <si>
    <t>Texans</t>
  </si>
  <si>
    <t>Houston Texans</t>
  </si>
  <si>
    <t>HOU</t>
  </si>
  <si>
    <t>Colts</t>
  </si>
  <si>
    <t>Indianapolis Colts</t>
  </si>
  <si>
    <t>IND</t>
  </si>
  <si>
    <t>Kicking</t>
  </si>
  <si>
    <t>Jaguars</t>
  </si>
  <si>
    <t>Jacksonville Jaguars</t>
  </si>
  <si>
    <t>JAC</t>
  </si>
  <si>
    <t>Chiefs</t>
  </si>
  <si>
    <t>Kansas City Chiefs</t>
  </si>
  <si>
    <t>KC</t>
  </si>
  <si>
    <t>Total Roster</t>
  </si>
  <si>
    <t>Dolphins</t>
  </si>
  <si>
    <t>Miami Dolphins</t>
  </si>
  <si>
    <t>MIA</t>
  </si>
  <si>
    <t>Team Defense/Special Teams</t>
  </si>
  <si>
    <t>Vikings</t>
  </si>
  <si>
    <t>Minnesota Vikings</t>
  </si>
  <si>
    <t>MIN</t>
  </si>
  <si>
    <t>Projection Weighting</t>
  </si>
  <si>
    <t>Patriots</t>
  </si>
  <si>
    <t>New England Patriots</t>
  </si>
  <si>
    <t>NE</t>
  </si>
  <si>
    <t>FFToday</t>
  </si>
  <si>
    <t>Saints</t>
  </si>
  <si>
    <t>New Orleans Saints</t>
  </si>
  <si>
    <t>NO</t>
  </si>
  <si>
    <t>Giants</t>
  </si>
  <si>
    <t>New York Giants</t>
  </si>
  <si>
    <t>NYG</t>
  </si>
  <si>
    <t>Sportsline</t>
  </si>
  <si>
    <t>Jets</t>
  </si>
  <si>
    <t>New York Jets</t>
  </si>
  <si>
    <t>NYJ</t>
  </si>
  <si>
    <t>Raiders</t>
  </si>
  <si>
    <t>Oakland Raiders</t>
  </si>
  <si>
    <t>OAK</t>
  </si>
  <si>
    <t>Year</t>
  </si>
  <si>
    <t>Eagles</t>
  </si>
  <si>
    <t>Philadelphia Eagles</t>
  </si>
  <si>
    <t>PHI</t>
  </si>
  <si>
    <t>Steelers</t>
  </si>
  <si>
    <t>Pittsburgh Steelers</t>
  </si>
  <si>
    <t>PIT</t>
  </si>
  <si>
    <t>Chargers</t>
  </si>
  <si>
    <t>San Diego Chargers</t>
  </si>
  <si>
    <t>SD</t>
  </si>
  <si>
    <t>Exceptions List</t>
  </si>
  <si>
    <t>49ers</t>
  </si>
  <si>
    <t>San Francisco 49ers</t>
  </si>
  <si>
    <t>SF</t>
  </si>
  <si>
    <t>Seahawks</t>
  </si>
  <si>
    <t>Seattle Seahawks</t>
  </si>
  <si>
    <t>SEA</t>
  </si>
  <si>
    <t>Adrian Peterson, FA RB</t>
  </si>
  <si>
    <t>BUDGET</t>
  </si>
  <si>
    <t>Rams</t>
  </si>
  <si>
    <t>St. Louis Rams</t>
  </si>
  <si>
    <t>STL</t>
  </si>
  <si>
    <t>Steve Smith, StL WR</t>
  </si>
  <si>
    <t>Buccaneers</t>
  </si>
  <si>
    <t>Tampa Bay Buccaneers</t>
  </si>
  <si>
    <t>TB</t>
  </si>
  <si>
    <t>Mike Williams, Sea WR</t>
  </si>
  <si>
    <t>Titans</t>
  </si>
  <si>
    <t>Tennessee Titans</t>
  </si>
  <si>
    <t>TEN</t>
  </si>
  <si>
    <t>Redskins</t>
  </si>
  <si>
    <t>Washington Redskins</t>
  </si>
  <si>
    <t>WSH</t>
  </si>
  <si>
    <t>Pos</t>
  </si>
  <si>
    <t>QB1</t>
  </si>
  <si>
    <t>QB2</t>
  </si>
  <si>
    <t>QB3</t>
  </si>
  <si>
    <t>QB4</t>
  </si>
  <si>
    <t>RB1</t>
  </si>
  <si>
    <t>RB2</t>
  </si>
  <si>
    <t>RB3</t>
  </si>
  <si>
    <t>RB4</t>
  </si>
  <si>
    <t>RB5</t>
  </si>
  <si>
    <t>RB6</t>
  </si>
  <si>
    <t>RB7</t>
  </si>
  <si>
    <t>RB8</t>
  </si>
  <si>
    <t>WR1</t>
  </si>
  <si>
    <t>WR2</t>
  </si>
  <si>
    <t>WR3</t>
  </si>
  <si>
    <t>WR4</t>
  </si>
  <si>
    <t>WR5</t>
  </si>
  <si>
    <t>WR6</t>
  </si>
  <si>
    <t>WR7</t>
  </si>
  <si>
    <t>WR8</t>
  </si>
  <si>
    <t>WR9</t>
  </si>
  <si>
    <t>TE1</t>
  </si>
  <si>
    <t>TE2</t>
  </si>
  <si>
    <t>TE3</t>
  </si>
  <si>
    <t>K1</t>
  </si>
  <si>
    <t>K2</t>
  </si>
  <si>
    <t>DST1</t>
  </si>
  <si>
    <t>DST2</t>
  </si>
  <si>
    <t>DST3</t>
  </si>
  <si>
    <t>Fan.</t>
  </si>
  <si>
    <t>Tm.</t>
  </si>
  <si>
    <t>C Palmer</t>
  </si>
  <si>
    <t>M Ryan</t>
  </si>
  <si>
    <t>J Flacco</t>
  </si>
  <si>
    <t>D Stanton</t>
  </si>
  <si>
    <t>D Davis</t>
  </si>
  <si>
    <t>T Taylor</t>
  </si>
  <si>
    <t>R Lindley</t>
  </si>
  <si>
    <t>S Renfree</t>
  </si>
  <si>
    <t>R Mendenhall</t>
  </si>
  <si>
    <t>S Jackson</t>
  </si>
  <si>
    <t>R Rice</t>
  </si>
  <si>
    <t>S Taylor</t>
  </si>
  <si>
    <t>J Rodgers</t>
  </si>
  <si>
    <t>B Pierce</t>
  </si>
  <si>
    <t>R Williams</t>
  </si>
  <si>
    <t>J Snelling</t>
  </si>
  <si>
    <t>B Rainey</t>
  </si>
  <si>
    <t>A Ellington</t>
  </si>
  <si>
    <t>FB1</t>
  </si>
  <si>
    <t>B Ewing</t>
  </si>
  <si>
    <t>A Allen</t>
  </si>
  <si>
    <t>A Smith</t>
  </si>
  <si>
    <t>V Leach</t>
  </si>
  <si>
    <t>FB2</t>
  </si>
  <si>
    <t>K Juszczyk</t>
  </si>
  <si>
    <t>D Carter</t>
  </si>
  <si>
    <t>L Fitzgerald</t>
  </si>
  <si>
    <t>R White</t>
  </si>
  <si>
    <t>T Smith</t>
  </si>
  <si>
    <t>M Floyd</t>
  </si>
  <si>
    <t>J Jones</t>
  </si>
  <si>
    <t>A Roberts</t>
  </si>
  <si>
    <t>H Douglas</t>
  </si>
  <si>
    <t>B Stokley</t>
  </si>
  <si>
    <t>R Swope</t>
  </si>
  <si>
    <t>D Thompson</t>
  </si>
  <si>
    <t>J Dillard</t>
  </si>
  <si>
    <t>K Cone</t>
  </si>
  <si>
    <t>T Doss</t>
  </si>
  <si>
    <t>M Thomas</t>
  </si>
  <si>
    <t>A Mellette</t>
  </si>
  <si>
    <t>R Housler</t>
  </si>
  <si>
    <t>T Gonzalez</t>
  </si>
  <si>
    <t>E Dickson</t>
  </si>
  <si>
    <t>J King</t>
  </si>
  <si>
    <t>C Coffman</t>
  </si>
  <si>
    <t>D Clark</t>
  </si>
  <si>
    <t>J Dray</t>
  </si>
  <si>
    <t>L Toilolo</t>
  </si>
  <si>
    <t>TE4</t>
  </si>
  <si>
    <t>B Bajema</t>
  </si>
  <si>
    <t>D Jefferson</t>
  </si>
  <si>
    <t>D Pitta</t>
  </si>
  <si>
    <t>J Feely</t>
  </si>
  <si>
    <t>M Bryant</t>
  </si>
  <si>
    <t>J Tucker</t>
  </si>
  <si>
    <t>K Kolb</t>
  </si>
  <si>
    <t>C Newton</t>
  </si>
  <si>
    <t>J Cutler</t>
  </si>
  <si>
    <t>E Manuel</t>
  </si>
  <si>
    <t>D Anderson</t>
  </si>
  <si>
    <t>J McCown</t>
  </si>
  <si>
    <t>J Tuel</t>
  </si>
  <si>
    <t>J Clausen</t>
  </si>
  <si>
    <t>T Edwards</t>
  </si>
  <si>
    <t>C Spiller</t>
  </si>
  <si>
    <t>D Williams</t>
  </si>
  <si>
    <t>M Forte</t>
  </si>
  <si>
    <t>F Jackson</t>
  </si>
  <si>
    <t>J Stewart</t>
  </si>
  <si>
    <t>M Bush</t>
  </si>
  <si>
    <t>T Choice</t>
  </si>
  <si>
    <t>M Tolbert</t>
  </si>
  <si>
    <t>C McIntyre</t>
  </si>
  <si>
    <t>K Barner</t>
  </si>
  <si>
    <t>T Fiammetta</t>
  </si>
  <si>
    <t>S Johnson</t>
  </si>
  <si>
    <t>S Smith</t>
  </si>
  <si>
    <t>B Marshall</t>
  </si>
  <si>
    <t>R Woods</t>
  </si>
  <si>
    <t>B LaFell</t>
  </si>
  <si>
    <t>A Jeffery</t>
  </si>
  <si>
    <t>T Graham</t>
  </si>
  <si>
    <t>D Hixon</t>
  </si>
  <si>
    <t>E Bennett</t>
  </si>
  <si>
    <t>B Smith</t>
  </si>
  <si>
    <t>T Ginn Jr.</t>
  </si>
  <si>
    <t>D Hester</t>
  </si>
  <si>
    <t>D Rogers</t>
  </si>
  <si>
    <t>A Edwards</t>
  </si>
  <si>
    <t>E Weems</t>
  </si>
  <si>
    <t>M Goodwin</t>
  </si>
  <si>
    <t>J Adams</t>
  </si>
  <si>
    <t>M Wilson</t>
  </si>
  <si>
    <t>D Sampson</t>
  </si>
  <si>
    <t>D Gettis</t>
  </si>
  <si>
    <t>J Knox</t>
  </si>
  <si>
    <t>S Chandler</t>
  </si>
  <si>
    <t>G Olsen</t>
  </si>
  <si>
    <t>M Bennett</t>
  </si>
  <si>
    <t>D Dickerson</t>
  </si>
  <si>
    <t>B Hartsock</t>
  </si>
  <si>
    <t>C Gragg</t>
  </si>
  <si>
    <t>L Smith</t>
  </si>
  <si>
    <t>D Hopkins</t>
  </si>
  <si>
    <t>G Gano</t>
  </si>
  <si>
    <t>R Gould</t>
  </si>
  <si>
    <t>A Dalton</t>
  </si>
  <si>
    <t>B Weeden</t>
  </si>
  <si>
    <t>T Romo</t>
  </si>
  <si>
    <t>J Johnson</t>
  </si>
  <si>
    <t>J Campbell</t>
  </si>
  <si>
    <t>K Orton</t>
  </si>
  <si>
    <t>J Skelton</t>
  </si>
  <si>
    <t>B Hoyer</t>
  </si>
  <si>
    <t>B Green-Ellis</t>
  </si>
  <si>
    <t>T Richardson</t>
  </si>
  <si>
    <t>D Murray</t>
  </si>
  <si>
    <t>G Bernard</t>
  </si>
  <si>
    <t>B Jackson</t>
  </si>
  <si>
    <t>J Randle</t>
  </si>
  <si>
    <t>B Scott</t>
  </si>
  <si>
    <t>M Hardesty</t>
  </si>
  <si>
    <t>L Dunbar</t>
  </si>
  <si>
    <t>R Burkhead</t>
  </si>
  <si>
    <t>C Ogbonnaya</t>
  </si>
  <si>
    <t>P Tanner</t>
  </si>
  <si>
    <t>C Peerman</t>
  </si>
  <si>
    <t>O Marecic</t>
  </si>
  <si>
    <t>D Lewis</t>
  </si>
  <si>
    <t>A Green</t>
  </si>
  <si>
    <t>J Gordon</t>
  </si>
  <si>
    <t>D Bryant</t>
  </si>
  <si>
    <t>M Sanu</t>
  </si>
  <si>
    <t>G Little</t>
  </si>
  <si>
    <t>M Austin</t>
  </si>
  <si>
    <t>M Jones</t>
  </si>
  <si>
    <t>D Bess</t>
  </si>
  <si>
    <t>T Williams</t>
  </si>
  <si>
    <t>A Hawkins</t>
  </si>
  <si>
    <t>T Benjamin</t>
  </si>
  <si>
    <t>D Harris</t>
  </si>
  <si>
    <t>B Tate</t>
  </si>
  <si>
    <t>D Nelson</t>
  </si>
  <si>
    <t>C Beasley</t>
  </si>
  <si>
    <t>C Hamilton</t>
  </si>
  <si>
    <t>J Norwood</t>
  </si>
  <si>
    <t>A Armstrong</t>
  </si>
  <si>
    <t>R Whalen</t>
  </si>
  <si>
    <t>J Gresham</t>
  </si>
  <si>
    <t>J Cameron</t>
  </si>
  <si>
    <t>J Witten</t>
  </si>
  <si>
    <t>T Eifert</t>
  </si>
  <si>
    <t>K Davis</t>
  </si>
  <si>
    <t>G Escobar</t>
  </si>
  <si>
    <t>O Charles</t>
  </si>
  <si>
    <t>G Barnidge</t>
  </si>
  <si>
    <t>J Hanna</t>
  </si>
  <si>
    <t>B Smelley</t>
  </si>
  <si>
    <t>D Rosario</t>
  </si>
  <si>
    <t>M Nugent</t>
  </si>
  <si>
    <t>S Graham</t>
  </si>
  <si>
    <t>D Bailey</t>
  </si>
  <si>
    <t>P Manning</t>
  </si>
  <si>
    <t>M Stafford</t>
  </si>
  <si>
    <t>A Rodgers</t>
  </si>
  <si>
    <t>B Osweiler</t>
  </si>
  <si>
    <t>S Hill</t>
  </si>
  <si>
    <t>V Young</t>
  </si>
  <si>
    <t>Z Dysert</t>
  </si>
  <si>
    <t>K Moore</t>
  </si>
  <si>
    <t>T Lewis</t>
  </si>
  <si>
    <t>M Ball</t>
  </si>
  <si>
    <t>R Bush</t>
  </si>
  <si>
    <t>E Lacy</t>
  </si>
  <si>
    <t>R Hillman</t>
  </si>
  <si>
    <t>J Bell</t>
  </si>
  <si>
    <t>J Franklin</t>
  </si>
  <si>
    <t>K Moreno</t>
  </si>
  <si>
    <t>M Leshoure</t>
  </si>
  <si>
    <t>L Ball</t>
  </si>
  <si>
    <t>T Riddick</t>
  </si>
  <si>
    <t>J Starks</t>
  </si>
  <si>
    <t>J Kuhn</t>
  </si>
  <si>
    <t>D Thomas</t>
  </si>
  <si>
    <t>C Johnson</t>
  </si>
  <si>
    <t>R Cobb</t>
  </si>
  <si>
    <t>E Decker</t>
  </si>
  <si>
    <t>R Broyles</t>
  </si>
  <si>
    <t>J Nelson</t>
  </si>
  <si>
    <t>W Welker</t>
  </si>
  <si>
    <t>N Burleson</t>
  </si>
  <si>
    <t>A Caldwell</t>
  </si>
  <si>
    <t>K Durham</t>
  </si>
  <si>
    <t>J Boykin</t>
  </si>
  <si>
    <t>T King</t>
  </si>
  <si>
    <t>C Fuller</t>
  </si>
  <si>
    <t>K Osgood</t>
  </si>
  <si>
    <t>K Dorsey</t>
  </si>
  <si>
    <t>J Tamme</t>
  </si>
  <si>
    <t>B Pettigrew</t>
  </si>
  <si>
    <t>J Finley</t>
  </si>
  <si>
    <t>J Thomas</t>
  </si>
  <si>
    <t>T Scheffler</t>
  </si>
  <si>
    <t>J Dreessen</t>
  </si>
  <si>
    <t>M Williams</t>
  </si>
  <si>
    <t>A Quarless</t>
  </si>
  <si>
    <t>V Green</t>
  </si>
  <si>
    <t>M Mulligan</t>
  </si>
  <si>
    <t>M Prater</t>
  </si>
  <si>
    <t>D Akers</t>
  </si>
  <si>
    <t>M Crosby</t>
  </si>
  <si>
    <t>M Schaub</t>
  </si>
  <si>
    <t>A Luck</t>
  </si>
  <si>
    <t>B Gabbert</t>
  </si>
  <si>
    <t>T Yates</t>
  </si>
  <si>
    <t>M Hasselbeck</t>
  </si>
  <si>
    <t>C Henne</t>
  </si>
  <si>
    <t>S McGee</t>
  </si>
  <si>
    <t>C Harnish</t>
  </si>
  <si>
    <t>M Scott</t>
  </si>
  <si>
    <t>M Kafka</t>
  </si>
  <si>
    <t>A Foster</t>
  </si>
  <si>
    <t>A Bradshaw</t>
  </si>
  <si>
    <t>M Jones-Drew</t>
  </si>
  <si>
    <t>V Ballard</t>
  </si>
  <si>
    <t>D Robinson</t>
  </si>
  <si>
    <t>G Jones</t>
  </si>
  <si>
    <t>D Brown</t>
  </si>
  <si>
    <t>J Forsett</t>
  </si>
  <si>
    <t>K Williams</t>
  </si>
  <si>
    <t>A Johnson</t>
  </si>
  <si>
    <t>R Wayne</t>
  </si>
  <si>
    <t>C Shorts</t>
  </si>
  <si>
    <t>T Hilton</t>
  </si>
  <si>
    <t>J Blackmon</t>
  </si>
  <si>
    <t>K Martin</t>
  </si>
  <si>
    <t>D Heyward-Bey</t>
  </si>
  <si>
    <t>J Shipley</t>
  </si>
  <si>
    <t>L Jean</t>
  </si>
  <si>
    <t>L Brazill</t>
  </si>
  <si>
    <t>A Sanders</t>
  </si>
  <si>
    <t>D Posey</t>
  </si>
  <si>
    <t>N Palmer</t>
  </si>
  <si>
    <t>T Price</t>
  </si>
  <si>
    <t>A Bonner</t>
  </si>
  <si>
    <t>D Reed</t>
  </si>
  <si>
    <t>T Holliday</t>
  </si>
  <si>
    <t>O Daniels</t>
  </si>
  <si>
    <t>C Fleener</t>
  </si>
  <si>
    <t>M Lewis</t>
  </si>
  <si>
    <t>G Graham</t>
  </si>
  <si>
    <t>D Allen</t>
  </si>
  <si>
    <t>R Griffin</t>
  </si>
  <si>
    <t>J Cunningham</t>
  </si>
  <si>
    <t>R Bullock</t>
  </si>
  <si>
    <t>A Vinatieri</t>
  </si>
  <si>
    <t>J Scobee</t>
  </si>
  <si>
    <t>R Tannehill</t>
  </si>
  <si>
    <t>C Ponder</t>
  </si>
  <si>
    <t>C Daniel</t>
  </si>
  <si>
    <t>M Moore</t>
  </si>
  <si>
    <t>M Cassel</t>
  </si>
  <si>
    <t>T Bray</t>
  </si>
  <si>
    <t>J Charles</t>
  </si>
  <si>
    <t>L Miller</t>
  </si>
  <si>
    <t>A Peterson</t>
  </si>
  <si>
    <t>T Gerhart</t>
  </si>
  <si>
    <t>D McCluster</t>
  </si>
  <si>
    <t>C Clay</t>
  </si>
  <si>
    <t>J Felton</t>
  </si>
  <si>
    <t>S Draughn</t>
  </si>
  <si>
    <t>M Gillislee</t>
  </si>
  <si>
    <t>C Gray</t>
  </si>
  <si>
    <t>E Rodriguez</t>
  </si>
  <si>
    <t>A Sherman</t>
  </si>
  <si>
    <t>B Wilson</t>
  </si>
  <si>
    <t>D Bowe</t>
  </si>
  <si>
    <t>M Wallace</t>
  </si>
  <si>
    <t>G Jennings</t>
  </si>
  <si>
    <t>D Avery</t>
  </si>
  <si>
    <t>B Hartline</t>
  </si>
  <si>
    <t>J Simpson</t>
  </si>
  <si>
    <t>D Wylie</t>
  </si>
  <si>
    <t>B Gibson</t>
  </si>
  <si>
    <t>C Patterson</t>
  </si>
  <si>
    <t>A Jenkins</t>
  </si>
  <si>
    <t>R Matthews</t>
  </si>
  <si>
    <t>J Wright</t>
  </si>
  <si>
    <t>S Burton</t>
  </si>
  <si>
    <t>J Webb</t>
  </si>
  <si>
    <t>A Fasano</t>
  </si>
  <si>
    <t>M Egnew</t>
  </si>
  <si>
    <t>K Rudolph</t>
  </si>
  <si>
    <t>T Kelce</t>
  </si>
  <si>
    <t>D Sims</t>
  </si>
  <si>
    <t>J Carlson</t>
  </si>
  <si>
    <t>T Moeaki</t>
  </si>
  <si>
    <t>D Keller</t>
  </si>
  <si>
    <t>R Ellison</t>
  </si>
  <si>
    <t>R Succop</t>
  </si>
  <si>
    <t>C Sturgis</t>
  </si>
  <si>
    <t>B Walsh</t>
  </si>
  <si>
    <t>T Brady</t>
  </si>
  <si>
    <t>D Brees</t>
  </si>
  <si>
    <t>E Manning</t>
  </si>
  <si>
    <t>R Mallett</t>
  </si>
  <si>
    <t>L McCown</t>
  </si>
  <si>
    <t>D Carr</t>
  </si>
  <si>
    <t>T Tebow</t>
  </si>
  <si>
    <t>R Nassib</t>
  </si>
  <si>
    <t>C Painter</t>
  </si>
  <si>
    <t>S Ridley</t>
  </si>
  <si>
    <t>D Sproles</t>
  </si>
  <si>
    <t>D Wilson</t>
  </si>
  <si>
    <t>S Vereen</t>
  </si>
  <si>
    <t>M Ingram</t>
  </si>
  <si>
    <t>A Brown</t>
  </si>
  <si>
    <t>B Bolden</t>
  </si>
  <si>
    <t>P Thomas</t>
  </si>
  <si>
    <t>D Scott</t>
  </si>
  <si>
    <t>L Washington</t>
  </si>
  <si>
    <t>T Cadet</t>
  </si>
  <si>
    <t>R Torain</t>
  </si>
  <si>
    <t>L Blount</t>
  </si>
  <si>
    <t>M Cox</t>
  </si>
  <si>
    <t>D Amendola</t>
  </si>
  <si>
    <t>M Colston</t>
  </si>
  <si>
    <t>V Cruz</t>
  </si>
  <si>
    <t>K Thompkins</t>
  </si>
  <si>
    <t>L Moore</t>
  </si>
  <si>
    <t>H Nicks</t>
  </si>
  <si>
    <t>J Edelman</t>
  </si>
  <si>
    <t>K Stills</t>
  </si>
  <si>
    <t>R Randle</t>
  </si>
  <si>
    <t>A Dobson</t>
  </si>
  <si>
    <t>N Toon</t>
  </si>
  <si>
    <t>L Murphy</t>
  </si>
  <si>
    <t>J Boyce</t>
  </si>
  <si>
    <t>C Roby</t>
  </si>
  <si>
    <t>J Jernigan</t>
  </si>
  <si>
    <t>M Slater</t>
  </si>
  <si>
    <t>J Morgan</t>
  </si>
  <si>
    <t>R Barden</t>
  </si>
  <si>
    <t>R Gronkowski</t>
  </si>
  <si>
    <t>J Graham</t>
  </si>
  <si>
    <t>B Myers</t>
  </si>
  <si>
    <t>Z Sudfeld</t>
  </si>
  <si>
    <t>B Watson</t>
  </si>
  <si>
    <t>A Robinson</t>
  </si>
  <si>
    <t>J Ballard</t>
  </si>
  <si>
    <t>B Pascoe</t>
  </si>
  <si>
    <t>M Hoomanawanui</t>
  </si>
  <si>
    <t>TE5</t>
  </si>
  <si>
    <t>D Fells</t>
  </si>
  <si>
    <t>S Gostkowski</t>
  </si>
  <si>
    <t>G Hartley</t>
  </si>
  <si>
    <t>J Brown</t>
  </si>
  <si>
    <t>M Sanchez</t>
  </si>
  <si>
    <t>M Flynn</t>
  </si>
  <si>
    <t>M Vick</t>
  </si>
  <si>
    <t>G Smith</t>
  </si>
  <si>
    <t>T Pryor</t>
  </si>
  <si>
    <t>N Foles</t>
  </si>
  <si>
    <t>G McElroy</t>
  </si>
  <si>
    <t>T Wilson</t>
  </si>
  <si>
    <t>M Barkley</t>
  </si>
  <si>
    <t>D Dixon</t>
  </si>
  <si>
    <t>C Ivory</t>
  </si>
  <si>
    <t>D McFadden</t>
  </si>
  <si>
    <t>L McCoy</t>
  </si>
  <si>
    <t>B Powell</t>
  </si>
  <si>
    <t>M Reece</t>
  </si>
  <si>
    <t>B Brown</t>
  </si>
  <si>
    <t>M Goodson</t>
  </si>
  <si>
    <t>R Jennings</t>
  </si>
  <si>
    <t>C Polk</t>
  </si>
  <si>
    <t>T Bohanon</t>
  </si>
  <si>
    <t>L Murray</t>
  </si>
  <si>
    <t>D Moore</t>
  </si>
  <si>
    <t>D Jackson</t>
  </si>
  <si>
    <t>J Kerley</t>
  </si>
  <si>
    <t>R Streater</t>
  </si>
  <si>
    <t>R Cooper</t>
  </si>
  <si>
    <t>S Holmes</t>
  </si>
  <si>
    <t>J Ford</t>
  </si>
  <si>
    <t>J Avant</t>
  </si>
  <si>
    <t>B Obomanu</t>
  </si>
  <si>
    <t>J Criner</t>
  </si>
  <si>
    <t>D Johnson</t>
  </si>
  <si>
    <t>M Massaquoi</t>
  </si>
  <si>
    <t>B Butler</t>
  </si>
  <si>
    <t>J Maclin</t>
  </si>
  <si>
    <t>A Benn</t>
  </si>
  <si>
    <t>K Winslow</t>
  </si>
  <si>
    <t>D Ausberry</t>
  </si>
  <si>
    <t>B Celek</t>
  </si>
  <si>
    <t>J Cumberland</t>
  </si>
  <si>
    <t>N Kasa</t>
  </si>
  <si>
    <t>Z Ertz</t>
  </si>
  <si>
    <t>H Smith</t>
  </si>
  <si>
    <t>M Rivera</t>
  </si>
  <si>
    <t>J Casey</t>
  </si>
  <si>
    <t>R Gordon</t>
  </si>
  <si>
    <t>C Harbor</t>
  </si>
  <si>
    <t>N Folk</t>
  </si>
  <si>
    <t>S Janikowski</t>
  </si>
  <si>
    <t>A Henery</t>
  </si>
  <si>
    <t>B Cundiff</t>
  </si>
  <si>
    <t>B Roethlisberger</t>
  </si>
  <si>
    <t>P Rivers</t>
  </si>
  <si>
    <t>C Kaepernick</t>
  </si>
  <si>
    <t>B Gradkowski</t>
  </si>
  <si>
    <t>C Whitehurst</t>
  </si>
  <si>
    <t>C McCoy</t>
  </si>
  <si>
    <t>L Jones</t>
  </si>
  <si>
    <t>B Sorensen</t>
  </si>
  <si>
    <t>B Daniels</t>
  </si>
  <si>
    <t>S Wallace</t>
  </si>
  <si>
    <t>I Redman</t>
  </si>
  <si>
    <t>R Mathews</t>
  </si>
  <si>
    <t>F Gore</t>
  </si>
  <si>
    <t>J Dwyer</t>
  </si>
  <si>
    <t>D Woodhead</t>
  </si>
  <si>
    <t>K Hunter</t>
  </si>
  <si>
    <t>L Bell</t>
  </si>
  <si>
    <t>R Brown</t>
  </si>
  <si>
    <t>L James</t>
  </si>
  <si>
    <t>L Stephens-Howling</t>
  </si>
  <si>
    <t>L McClain</t>
  </si>
  <si>
    <t>A Dixon</t>
  </si>
  <si>
    <t>B Batch</t>
  </si>
  <si>
    <t>M Lattimore</t>
  </si>
  <si>
    <t>F Jones</t>
  </si>
  <si>
    <t>V Brown</t>
  </si>
  <si>
    <t>A Boldin</t>
  </si>
  <si>
    <t>E Sanders</t>
  </si>
  <si>
    <t>M Manningham</t>
  </si>
  <si>
    <t>J Cotchery</t>
  </si>
  <si>
    <t>E Royal</t>
  </si>
  <si>
    <t>A Collie</t>
  </si>
  <si>
    <t>M Wheaton</t>
  </si>
  <si>
    <t>K Allen</t>
  </si>
  <si>
    <t>J Baldwin</t>
  </si>
  <si>
    <t>R Meachem</t>
  </si>
  <si>
    <t>Q Patton</t>
  </si>
  <si>
    <t>P Burress</t>
  </si>
  <si>
    <t>R Goodman</t>
  </si>
  <si>
    <t>M Crabtree</t>
  </si>
  <si>
    <t>S Ajirotutu</t>
  </si>
  <si>
    <t>L Hawkins</t>
  </si>
  <si>
    <t>D Paulson</t>
  </si>
  <si>
    <t>A Gates</t>
  </si>
  <si>
    <t>V Davis</t>
  </si>
  <si>
    <t>H Miller</t>
  </si>
  <si>
    <t>L Green</t>
  </si>
  <si>
    <t>V McDonald</t>
  </si>
  <si>
    <t>M Spaeth</t>
  </si>
  <si>
    <t>J Phillips</t>
  </si>
  <si>
    <t>M Palmer</t>
  </si>
  <si>
    <t>S Suisham</t>
  </si>
  <si>
    <t>N Novak</t>
  </si>
  <si>
    <t>P Dawson</t>
  </si>
  <si>
    <t>R Wilson</t>
  </si>
  <si>
    <t>S Bradford</t>
  </si>
  <si>
    <t>J Freeman</t>
  </si>
  <si>
    <t>B Quinn</t>
  </si>
  <si>
    <t>A Davis</t>
  </si>
  <si>
    <t>D Orlovsky</t>
  </si>
  <si>
    <t>T Jackson</t>
  </si>
  <si>
    <t>K Clemens</t>
  </si>
  <si>
    <t>M Glennon</t>
  </si>
  <si>
    <t>M Lynch</t>
  </si>
  <si>
    <t>D Richardson</t>
  </si>
  <si>
    <t>D Martin</t>
  </si>
  <si>
    <t>C Michael</t>
  </si>
  <si>
    <t>I Pead</t>
  </si>
  <si>
    <t>M James</t>
  </si>
  <si>
    <t>R Turbin</t>
  </si>
  <si>
    <t>Z Stacy</t>
  </si>
  <si>
    <t>B Leonard</t>
  </si>
  <si>
    <t>M Robinson</t>
  </si>
  <si>
    <t>P Hillis</t>
  </si>
  <si>
    <t>S Ware</t>
  </si>
  <si>
    <t>M Smith</t>
  </si>
  <si>
    <t>E Lorig</t>
  </si>
  <si>
    <t>G Tate</t>
  </si>
  <si>
    <t>C Givens</t>
  </si>
  <si>
    <t>V Jackson</t>
  </si>
  <si>
    <t>S Rice</t>
  </si>
  <si>
    <t>T Austin</t>
  </si>
  <si>
    <t>D Baldwin</t>
  </si>
  <si>
    <t>A Pettis</t>
  </si>
  <si>
    <t>K Ogletree</t>
  </si>
  <si>
    <t>P Harvin</t>
  </si>
  <si>
    <t>B Quick</t>
  </si>
  <si>
    <t>T Underwood</t>
  </si>
  <si>
    <t>C Harper</t>
  </si>
  <si>
    <t>S Bailey</t>
  </si>
  <si>
    <t>D Hagan</t>
  </si>
  <si>
    <t>J Kearse</t>
  </si>
  <si>
    <t>Z Miller</t>
  </si>
  <si>
    <t>J Cook</t>
  </si>
  <si>
    <t>L Stocker</t>
  </si>
  <si>
    <t>L Willson</t>
  </si>
  <si>
    <t>L Kendricks</t>
  </si>
  <si>
    <t>T Crabtree</t>
  </si>
  <si>
    <t>S Hauschka</t>
  </si>
  <si>
    <t>G Zuerlein</t>
  </si>
  <si>
    <t>R Lindell</t>
  </si>
  <si>
    <t>L Tynes</t>
  </si>
  <si>
    <t>K3</t>
  </si>
  <si>
    <t>C Barth</t>
  </si>
  <si>
    <t>J Locker</t>
  </si>
  <si>
    <t>R Griffin III</t>
  </si>
  <si>
    <t>R Fitzpatrick</t>
  </si>
  <si>
    <t>K Cousins</t>
  </si>
  <si>
    <t>R Smith</t>
  </si>
  <si>
    <t>R Grossman</t>
  </si>
  <si>
    <t>P White</t>
  </si>
  <si>
    <t>A Morris</t>
  </si>
  <si>
    <t>S Greene</t>
  </si>
  <si>
    <t>R Helu</t>
  </si>
  <si>
    <t>J Parmele</t>
  </si>
  <si>
    <t>E Royster</t>
  </si>
  <si>
    <t>J Battle</t>
  </si>
  <si>
    <t>Q Johnson</t>
  </si>
  <si>
    <t>C Thompson</t>
  </si>
  <si>
    <t>J Jamison</t>
  </si>
  <si>
    <t>K Britt</t>
  </si>
  <si>
    <t>P Garcon</t>
  </si>
  <si>
    <t>N Washington</t>
  </si>
  <si>
    <t>S Moss</t>
  </si>
  <si>
    <t>K Wright</t>
  </si>
  <si>
    <t>L Hankerson</t>
  </si>
  <si>
    <t>J Hunter</t>
  </si>
  <si>
    <t>K Walter</t>
  </si>
  <si>
    <t>D Briscoe</t>
  </si>
  <si>
    <t>D Walker</t>
  </si>
  <si>
    <t>F Davis</t>
  </si>
  <si>
    <t>C Stevens</t>
  </si>
  <si>
    <t>L Paulsen</t>
  </si>
  <si>
    <t>T Thompson</t>
  </si>
  <si>
    <t>N Paul</t>
  </si>
  <si>
    <t>J Reed</t>
  </si>
  <si>
    <t>R Bironas</t>
  </si>
  <si>
    <t>K Forbath</t>
  </si>
  <si>
    <t>Pos Rk</t>
  </si>
  <si>
    <t>Taken</t>
  </si>
  <si>
    <t>Comp</t>
  </si>
  <si>
    <t>Yds</t>
  </si>
  <si>
    <t>TD</t>
  </si>
  <si>
    <t>Int</t>
  </si>
  <si>
    <t>FL</t>
  </si>
  <si>
    <t>Proj. Pts</t>
  </si>
  <si>
    <t>Rec</t>
  </si>
  <si>
    <t>FGM</t>
  </si>
  <si>
    <t>FGA</t>
  </si>
  <si>
    <t>XPM</t>
  </si>
  <si>
    <t>XPA</t>
  </si>
  <si>
    <t>S</t>
  </si>
  <si>
    <t>FR</t>
  </si>
  <si>
    <t>INT</t>
  </si>
  <si>
    <t>DTD</t>
  </si>
  <si>
    <t>STY</t>
  </si>
  <si>
    <t>PA</t>
  </si>
  <si>
    <t>Dev</t>
  </si>
  <si>
    <t>Top 300</t>
  </si>
  <si>
    <t>Top 300 PPR</t>
  </si>
  <si>
    <t>Basic Settings</t>
  </si>
  <si>
    <t/>
  </si>
  <si>
    <t>League Name</t>
  </si>
  <si>
    <t>MYMPFFL</t>
  </si>
  <si>
    <t>Number of Teams</t>
  </si>
  <si>
    <t>Every 5 passing yards (PY5)</t>
  </si>
  <si>
    <t>TD Pass (PTD)</t>
  </si>
  <si>
    <t>Scoring Type</t>
  </si>
  <si>
    <t>Head to Head Points</t>
  </si>
  <si>
    <t>Interceptions Thrown (INT)</t>
  </si>
  <si>
    <t>2pt Passing Conversion (2PC)</t>
  </si>
  <si>
    <t>Format</t>
  </si>
  <si>
    <t>League Manager</t>
  </si>
  <si>
    <t>300-399 yard passing game (P300)</t>
  </si>
  <si>
    <t>400+ yard passing game (P400)</t>
  </si>
  <si>
    <t>Make League Viewable to Public</t>
  </si>
  <si>
    <t>No</t>
  </si>
  <si>
    <t>Every 5 rushing yards (RY5)</t>
  </si>
  <si>
    <t>TD Rush (RTD)</t>
  </si>
  <si>
    <t>Position</t>
  </si>
  <si>
    <t>Maximum</t>
  </si>
  <si>
    <t>2pt Rushing Conversion (2PR)</t>
  </si>
  <si>
    <t>100-199 yard rushing game (RY100)</t>
  </si>
  <si>
    <t>Quarterback (QB)</t>
  </si>
  <si>
    <t>*2*</t>
  </si>
  <si>
    <t>*4*</t>
  </si>
  <si>
    <t>200+ yard rushing game (RY200)</t>
  </si>
  <si>
    <t>Running Back (RB)</t>
  </si>
  <si>
    <t>*8*</t>
  </si>
  <si>
    <t>Wide Receiver (WR)</t>
  </si>
  <si>
    <t>Every 5 receiving yards (REY5)</t>
  </si>
  <si>
    <t>Each reception (REC)</t>
  </si>
  <si>
    <t>Tight End (TE)</t>
  </si>
  <si>
    <t>*1*</t>
  </si>
  <si>
    <t>*3*</t>
  </si>
  <si>
    <t>TD Reception (RETD)</t>
  </si>
  <si>
    <t>2pt Receiving Conversion (2PRE)</t>
  </si>
  <si>
    <t>Flex (RB/WR/TE)</t>
  </si>
  <si>
    <t>N/A</t>
  </si>
  <si>
    <t>100-199 yard receiving game (REY100)</t>
  </si>
  <si>
    <t>200+ yard receiving game (REY200)</t>
  </si>
  <si>
    <t>Team Defense/Special Teams (D/ST)</t>
  </si>
  <si>
    <t>Place Kicker (K)</t>
  </si>
  <si>
    <t>Total Fumbles Lost (FUML)</t>
  </si>
  <si>
    <t>Bench (BE)</t>
  </si>
  <si>
    <t>*7*</t>
  </si>
  <si>
    <t>Each PAT Made (PAT)</t>
  </si>
  <si>
    <t>FG Made (0-39 yards) (FG0)</t>
  </si>
  <si>
    <t>FG Made (40-49 yards) (FG40)</t>
  </si>
  <si>
    <t>FG Made (50+ yards) (FG50)</t>
  </si>
  <si>
    <t>Each Sack (SK)</t>
  </si>
  <si>
    <t>Interception Return TD (INTTD)</t>
  </si>
  <si>
    <t>Fumble Return TD (FRTD)</t>
  </si>
  <si>
    <t>Kickoff Return TD (KRTD)</t>
  </si>
  <si>
    <t>Punt Return TD (PRTD)</t>
  </si>
  <si>
    <t>Blocked Punt or FG return for TD (BLKKRTD)</t>
  </si>
  <si>
    <t>Each Interception (INT)</t>
  </si>
  <si>
    <t>Each Fumble Recovered (FR)</t>
  </si>
  <si>
    <t>Each Safety (SF)</t>
  </si>
  <si>
    <t>0 points allowed (PA0)</t>
  </si>
  <si>
    <t>1-6 points allowed (PA1)</t>
  </si>
  <si>
    <t>7-13 points allowed (PA7)</t>
  </si>
  <si>
    <t>14-17 points allowed (PA14)</t>
  </si>
  <si>
    <t>22-27 points allowed (PA22)</t>
  </si>
  <si>
    <t>28-34 points allowed (PA28)</t>
  </si>
  <si>
    <t>35-45 points allowed (PA35)</t>
  </si>
  <si>
    <t>46+ points allowed (PA46)</t>
  </si>
  <si>
    <t>Fantasy</t>
  </si>
  <si>
    <t>Average Auction Values</t>
  </si>
  <si>
    <t>*Chg*</t>
  </si>
  <si>
    <t>*Player* 
Sort First:    Last:</t>
  </si>
  <si>
    <t>*Team*</t>
  </si>
  <si>
    <t>*Bye*</t>
  </si>
  <si>
    <t>*Comp*</t>
  </si>
  <si>
    <t>*Att*</t>
  </si>
  <si>
    <t>*Yard*</t>
  </si>
  <si>
    <t>*TD*</t>
  </si>
  <si>
    <t>*INT*</t>
  </si>
  <si>
    <t>*FFPts*</t>
  </si>
  <si>
    <t>*Rec*</t>
  </si>
  <si>
    <t>*Player* 
Sort First:      Last:</t>
  </si>
  <si>
    <t>*FGM*</t>
  </si>
  <si>
    <t>*FGA*</t>
  </si>
  <si>
    <t>*FG%*</t>
  </si>
  <si>
    <t>*EPM*</t>
  </si>
  <si>
    <t>*EPA*</t>
  </si>
  <si>
    <t>*Sack*</t>
  </si>
  <si>
    <t>*FR*</t>
  </si>
  <si>
    <t>*DefTD*</t>
  </si>
  <si>
    <t>*PA*</t>
  </si>
  <si>
    <t>*PaYd/G*</t>
  </si>
  <si>
    <t>*RuYd/G*</t>
  </si>
  <si>
    <t>*Safety*</t>
  </si>
  <si>
    <t>*KickTD*</t>
  </si>
  <si>
    <t>Avg $ Value</t>
  </si>
  <si>
    <t>Peyton Manning</t>
  </si>
  <si>
    <t>Jamaal Charles</t>
  </si>
  <si>
    <t>Demaryius Thomas</t>
  </si>
  <si>
    <t>Jimmy Graham</t>
  </si>
  <si>
    <t>Stephen Gostkowski</t>
  </si>
  <si>
    <t>Arian Foster</t>
  </si>
  <si>
    <t>Drew Brees</t>
  </si>
  <si>
    <t>LeSean McCoy</t>
  </si>
  <si>
    <t>Calvin Johnson</t>
  </si>
  <si>
    <t>Julius Thomas</t>
  </si>
  <si>
    <t>Mason Crosby</t>
  </si>
  <si>
    <t>Ray Rice</t>
  </si>
  <si>
    <t>Aaron Rodgers</t>
  </si>
  <si>
    <t>Adrian Peterson</t>
  </si>
  <si>
    <t>Julio Jones</t>
  </si>
  <si>
    <t>Vernon Davis</t>
  </si>
  <si>
    <t>Phil Dawson</t>
  </si>
  <si>
    <t>GBP</t>
  </si>
  <si>
    <t>Nick Foles</t>
  </si>
  <si>
    <t>Matt Forte</t>
  </si>
  <si>
    <t>Dez Bryant</t>
  </si>
  <si>
    <t>Rob Gronkowski</t>
  </si>
  <si>
    <t>Justin Tucker</t>
  </si>
  <si>
    <t>Cam Newton</t>
  </si>
  <si>
    <t>Toby Gerhart</t>
  </si>
  <si>
    <t>A.J. Green</t>
  </si>
  <si>
    <t>Jordan Cameron</t>
  </si>
  <si>
    <t>Adam Vinatieri</t>
  </si>
  <si>
    <t>Matt Ryan</t>
  </si>
  <si>
    <t>DeMarco Murray</t>
  </si>
  <si>
    <t>Antonio Brown</t>
  </si>
  <si>
    <t>Jordan Reed</t>
  </si>
  <si>
    <t>WAS</t>
  </si>
  <si>
    <t>Matt Prater</t>
  </si>
  <si>
    <t>Tom Brady</t>
  </si>
  <si>
    <t>NEP</t>
  </si>
  <si>
    <t>Andrew Luck</t>
  </si>
  <si>
    <t>Montee Ball</t>
  </si>
  <si>
    <t>Brandon Marshall</t>
  </si>
  <si>
    <t>Greg Olsen</t>
  </si>
  <si>
    <t>Steve Hauschka</t>
  </si>
  <si>
    <t>NOS</t>
  </si>
  <si>
    <t>Matthew Stafford</t>
  </si>
  <si>
    <t>Marshawn Lynch</t>
  </si>
  <si>
    <t>Alshon Jeffery</t>
  </si>
  <si>
    <t>Kyle Rudolph</t>
  </si>
  <si>
    <t>Blair Walsh</t>
  </si>
  <si>
    <t>Chris Johnson</t>
  </si>
  <si>
    <t>Robert Griffin III</t>
  </si>
  <si>
    <t>Eddie Lacy</t>
  </si>
  <si>
    <t>Jordy Nelson</t>
  </si>
  <si>
    <t>Jason Witten</t>
  </si>
  <si>
    <t>Dan Bailey</t>
  </si>
  <si>
    <t>Colin Kaepernick</t>
  </si>
  <si>
    <t>Le'Veon Bell</t>
  </si>
  <si>
    <t>Percy Harvin</t>
  </si>
  <si>
    <t>Dennis Pitta</t>
  </si>
  <si>
    <t>Nick Novak</t>
  </si>
  <si>
    <t>Zac Stacy</t>
  </si>
  <si>
    <t>Victor Cruz</t>
  </si>
  <si>
    <t>Martellus Bennett</t>
  </si>
  <si>
    <t>Shayne Graham</t>
  </si>
  <si>
    <t>Russell Wilson</t>
  </si>
  <si>
    <t>Giovani Bernard</t>
  </si>
  <si>
    <t>Randall Cobb</t>
  </si>
  <si>
    <t>Charles Clay</t>
  </si>
  <si>
    <t>Shaun Suisham</t>
  </si>
  <si>
    <t>Darren McFadden</t>
  </si>
  <si>
    <t>Philip Rivers</t>
  </si>
  <si>
    <t>Keenan Allen</t>
  </si>
  <si>
    <t>Antonio Gates</t>
  </si>
  <si>
    <t>Robbie Gould</t>
  </si>
  <si>
    <t>Ryan Mathews</t>
  </si>
  <si>
    <t>SDC</t>
  </si>
  <si>
    <t>Tony Romo</t>
  </si>
  <si>
    <t>Doug Martin</t>
  </si>
  <si>
    <t>Vincent Jackson</t>
  </si>
  <si>
    <t>Heath Miller</t>
  </si>
  <si>
    <t>Graham Gano</t>
  </si>
  <si>
    <t>Jay Cutler</t>
  </si>
  <si>
    <t>Andre Ellington</t>
  </si>
  <si>
    <t>Roddy White</t>
  </si>
  <si>
    <t>Zach Ertz</t>
  </si>
  <si>
    <t>Dan Carpenter</t>
  </si>
  <si>
    <t>Larry Fitzgerald</t>
  </si>
  <si>
    <t>Ben Roethlisberger</t>
  </si>
  <si>
    <t>Bishop Sankey</t>
  </si>
  <si>
    <t>Michael Floyd</t>
  </si>
  <si>
    <t>Delanie Walker</t>
  </si>
  <si>
    <t>Nick Folk</t>
  </si>
  <si>
    <t>Maurice Jones-Drew</t>
  </si>
  <si>
    <t>Alex Smith</t>
  </si>
  <si>
    <t>Rashad Jennings</t>
  </si>
  <si>
    <t>Cordarrelle Patterson</t>
  </si>
  <si>
    <t>Dwayne Allen</t>
  </si>
  <si>
    <t>Ryan Succop</t>
  </si>
  <si>
    <t>Andy Dalton</t>
  </si>
  <si>
    <t>Jeremy Maclin</t>
  </si>
  <si>
    <t>Ladarius Green</t>
  </si>
  <si>
    <t>Alex Henery</t>
  </si>
  <si>
    <t>Ryan Tannehill</t>
  </si>
  <si>
    <t>Alfred Morris</t>
  </si>
  <si>
    <t>Michael Crabtree</t>
  </si>
  <si>
    <t>Jared Cook</t>
  </si>
  <si>
    <t>Matt Bryant</t>
  </si>
  <si>
    <t>Trent Richardson</t>
  </si>
  <si>
    <t>Carson Palmer</t>
  </si>
  <si>
    <t>T.Y. Hilton</t>
  </si>
  <si>
    <t>Garrett Graham</t>
  </si>
  <si>
    <t>Jay Feely</t>
  </si>
  <si>
    <t>Joe Flacco</t>
  </si>
  <si>
    <t>Marques Colston</t>
  </si>
  <si>
    <t>Tyler Eifert</t>
  </si>
  <si>
    <t>Greg Zuerlein</t>
  </si>
  <si>
    <t>Andre Johnson</t>
  </si>
  <si>
    <t>Eli Manning</t>
  </si>
  <si>
    <t>Frank Gore</t>
  </si>
  <si>
    <t>Torrey Smith</t>
  </si>
  <si>
    <t>Scott Chandler</t>
  </si>
  <si>
    <t>Kai Forbath</t>
  </si>
  <si>
    <t>EJ Manuel</t>
  </si>
  <si>
    <t>Joique Bell</t>
  </si>
  <si>
    <t>Marcedes Lewis</t>
  </si>
  <si>
    <t>Josh Brown</t>
  </si>
  <si>
    <t>Sam Bradford</t>
  </si>
  <si>
    <t>Eric Ebron</t>
  </si>
  <si>
    <t>Mike Nugent</t>
  </si>
  <si>
    <t>Wes Welker</t>
  </si>
  <si>
    <t>Matt Schaub</t>
  </si>
  <si>
    <t>C.J. Spiller</t>
  </si>
  <si>
    <t>Zach Miller</t>
  </si>
  <si>
    <t>Nate Freese</t>
  </si>
  <si>
    <t>KCC</t>
  </si>
  <si>
    <t>Geno Smith</t>
  </si>
  <si>
    <t>Reggie Bush</t>
  </si>
  <si>
    <t>Pierre Garcon</t>
  </si>
  <si>
    <t>Brent Celek</t>
  </si>
  <si>
    <t>Sebastian Janikowski</t>
  </si>
  <si>
    <t>Greg Jennings</t>
  </si>
  <si>
    <t>Johnny Manziel</t>
  </si>
  <si>
    <t>Ben Tate</t>
  </si>
  <si>
    <t>Mike Wallace</t>
  </si>
  <si>
    <t>Travis Kelce</t>
  </si>
  <si>
    <t>Josh Scobee</t>
  </si>
  <si>
    <t>Josh McCown</t>
  </si>
  <si>
    <t>Stevan Ridley</t>
  </si>
  <si>
    <t>DeSean Jackson</t>
  </si>
  <si>
    <t>Mychal Rivera</t>
  </si>
  <si>
    <t>Maikon Bonani</t>
  </si>
  <si>
    <t>Ryan Fitzpatrick</t>
  </si>
  <si>
    <t>Julian Edelman</t>
  </si>
  <si>
    <t>Gavin Escobar</t>
  </si>
  <si>
    <t>Caleb Sturgis</t>
  </si>
  <si>
    <t>Jake Locker</t>
  </si>
  <si>
    <t>Shane Vereen</t>
  </si>
  <si>
    <t>Kendall Wright</t>
  </si>
  <si>
    <t>Coby Fleener</t>
  </si>
  <si>
    <t>Connor Barth</t>
  </si>
  <si>
    <t>Chad Henne</t>
  </si>
  <si>
    <t>Pierre Thomas</t>
  </si>
  <si>
    <t>Brian Hartline</t>
  </si>
  <si>
    <t>Brandon Pettigrew</t>
  </si>
  <si>
    <t>Randy Bullock</t>
  </si>
  <si>
    <t>Darren Sproles</t>
  </si>
  <si>
    <t>Matt Cassel</t>
  </si>
  <si>
    <t>Fred Jackson</t>
  </si>
  <si>
    <t>Dwayne Bowe</t>
  </si>
  <si>
    <t>Jermaine Gresham</t>
  </si>
  <si>
    <t>Billy Cundiff</t>
  </si>
  <si>
    <t>Hakeem Nicks</t>
  </si>
  <si>
    <t>Charlie Whitehurst</t>
  </si>
  <si>
    <t>DeAngelo Williams</t>
  </si>
  <si>
    <t>Emmanuel Sanders</t>
  </si>
  <si>
    <t>Jermichael Finley</t>
  </si>
  <si>
    <t>FA</t>
  </si>
  <si>
    <t>-</t>
  </si>
  <si>
    <t>Teddy Bridgewater</t>
  </si>
  <si>
    <t>Lamar Miller</t>
  </si>
  <si>
    <t>Eric Decker</t>
  </si>
  <si>
    <t>Levine Toilolo</t>
  </si>
  <si>
    <t>Steven Jackson</t>
  </si>
  <si>
    <t>Blake Bortles</t>
  </si>
  <si>
    <t>Tavon Austin</t>
  </si>
  <si>
    <t>Brandon Myers</t>
  </si>
  <si>
    <t>Michael Vick</t>
  </si>
  <si>
    <t>Case Keenum</t>
  </si>
  <si>
    <t>Knowshon Moreno</t>
  </si>
  <si>
    <t>Cecil Shorts</t>
  </si>
  <si>
    <t>Anthony Fasano</t>
  </si>
  <si>
    <t>TBB</t>
  </si>
  <si>
    <t>Brian Hoyer</t>
  </si>
  <si>
    <t>Danny Woodhead</t>
  </si>
  <si>
    <t>Danny Amendola</t>
  </si>
  <si>
    <t>Adrien Robinson</t>
  </si>
  <si>
    <t>Mike Glennon</t>
  </si>
  <si>
    <t>Sammy Watkins</t>
  </si>
  <si>
    <t>Jeff Cumberland</t>
  </si>
  <si>
    <t>Khiry Robinson</t>
  </si>
  <si>
    <t>Reggie Wayne</t>
  </si>
  <si>
    <t>Brandon Bostick</t>
  </si>
  <si>
    <t>Kirk Cousins</t>
  </si>
  <si>
    <t>Jeremy Hill</t>
  </si>
  <si>
    <t>Terrance Williams</t>
  </si>
  <si>
    <t>John Carlson</t>
  </si>
  <si>
    <t>Jason Campbell</t>
  </si>
  <si>
    <t>Terrance West</t>
  </si>
  <si>
    <t>Rueben Randle</t>
  </si>
  <si>
    <t>David Ausberry</t>
  </si>
  <si>
    <t>Derek Carr</t>
  </si>
  <si>
    <t>Lance Dunbar</t>
  </si>
  <si>
    <t>Kelvin Benjamin</t>
  </si>
  <si>
    <t>Lance Kendricks</t>
  </si>
  <si>
    <t>Ahmad Bradshaw</t>
  </si>
  <si>
    <t>Chase Daniel</t>
  </si>
  <si>
    <t>James Jones</t>
  </si>
  <si>
    <t>Ben Watson</t>
  </si>
  <si>
    <t>Brandon Weeden</t>
  </si>
  <si>
    <t>Jonathan Stewart</t>
  </si>
  <si>
    <t>DeAndre Hopkins</t>
  </si>
  <si>
    <t>Luke Willson</t>
  </si>
  <si>
    <t>Thaddeus Lewis</t>
  </si>
  <si>
    <t>Bernard Pierce</t>
  </si>
  <si>
    <t>Kenny Stills</t>
  </si>
  <si>
    <t>Troy Niklas</t>
  </si>
  <si>
    <t>Mark Sanchez</t>
  </si>
  <si>
    <t>Chris Ivory</t>
  </si>
  <si>
    <t>Jarrett Boykin</t>
  </si>
  <si>
    <t>Kellen Davis</t>
  </si>
  <si>
    <t>Michael Turner</t>
  </si>
  <si>
    <t>Bruce Gradkowski</t>
  </si>
  <si>
    <t>Shonn Greene</t>
  </si>
  <si>
    <t>Anquan Boldin</t>
  </si>
  <si>
    <t>Owen Daniels</t>
  </si>
  <si>
    <t>Steve Smith</t>
  </si>
  <si>
    <t>Matt Flynn</t>
  </si>
  <si>
    <t>Ronnie Hillman</t>
  </si>
  <si>
    <t>Golden Tate</t>
  </si>
  <si>
    <t>Richard Rodgers</t>
  </si>
  <si>
    <t>Shaun Hill</t>
  </si>
  <si>
    <t>Mike Tolbert</t>
  </si>
  <si>
    <t>Harry Douglas</t>
  </si>
  <si>
    <t>Zach Sudfeld</t>
  </si>
  <si>
    <t>Tyrod Taylor</t>
  </si>
  <si>
    <t>Marcel Reece</t>
  </si>
  <si>
    <t>Riley Cooper</t>
  </si>
  <si>
    <t>Clay Harbor</t>
  </si>
  <si>
    <t>SFO</t>
  </si>
  <si>
    <t>Miles Austin</t>
  </si>
  <si>
    <t>Tarvaris Jackson</t>
  </si>
  <si>
    <t>Jacquizz Rodgers</t>
  </si>
  <si>
    <t>Mike Williams</t>
  </si>
  <si>
    <t>Jeff King</t>
  </si>
  <si>
    <t>Le'Ron McClain</t>
  </si>
  <si>
    <t>Gary Barnidge</t>
  </si>
  <si>
    <t>Aaron Hernandez</t>
  </si>
  <si>
    <t>Luke McCown</t>
  </si>
  <si>
    <t>Santana Moss</t>
  </si>
  <si>
    <t>Bernard Scott</t>
  </si>
  <si>
    <t>Nate Washington</t>
  </si>
  <si>
    <t>Steve Johnson</t>
  </si>
  <si>
    <t>Mikel Leshoure</t>
  </si>
  <si>
    <t>Davone Bess</t>
  </si>
  <si>
    <t>James Casey</t>
  </si>
  <si>
    <t>David Carr</t>
  </si>
  <si>
    <t>Rashard Mendenhall</t>
  </si>
  <si>
    <t>Kevin Walter</t>
  </si>
  <si>
    <t>D.J. Williams</t>
  </si>
  <si>
    <t>Matt Leinart</t>
  </si>
  <si>
    <t>Dexter McCluster</t>
  </si>
  <si>
    <t>Kevin Ogletree</t>
  </si>
  <si>
    <t>Matt Spaeth</t>
  </si>
  <si>
    <t>Brandon Lloyd</t>
  </si>
  <si>
    <t>Colt McCoy</t>
  </si>
  <si>
    <t>LeGarrette Blount</t>
  </si>
  <si>
    <t>Stephen Hill</t>
  </si>
  <si>
    <t>Craig Stevens</t>
  </si>
  <si>
    <t>Ryan Mallett</t>
  </si>
  <si>
    <t>Taiwan Jones</t>
  </si>
  <si>
    <t>Jonathan Baldwin</t>
  </si>
  <si>
    <t>Evan Moore</t>
  </si>
  <si>
    <t>Brandon Tate</t>
  </si>
  <si>
    <t>David Thomas</t>
  </si>
  <si>
    <t>Randy Moss</t>
  </si>
  <si>
    <t>Donald Lee</t>
  </si>
  <si>
    <t>Brock Osweiler</t>
  </si>
  <si>
    <t>Montario Hardesty</t>
  </si>
  <si>
    <t>Jerome Simpson</t>
  </si>
  <si>
    <t>Michael Palmer</t>
  </si>
  <si>
    <t>Derek Anderson</t>
  </si>
  <si>
    <t>Robert Turbin</t>
  </si>
  <si>
    <t>Devery Henderson</t>
  </si>
  <si>
    <t>DE</t>
  </si>
  <si>
    <t>Jason Pierre-Paul</t>
  </si>
  <si>
    <t>Brandon LaFell</t>
  </si>
  <si>
    <t>Vick Ballard</t>
  </si>
  <si>
    <t>Earl Bennett</t>
  </si>
  <si>
    <t>James Starks</t>
  </si>
  <si>
    <t>Andre Roberts</t>
  </si>
  <si>
    <t>Alex Green</t>
  </si>
  <si>
    <t>David Nelson</t>
  </si>
  <si>
    <t>Javon Ringer</t>
  </si>
  <si>
    <t>Austin Collie</t>
  </si>
  <si>
    <t>LB</t>
  </si>
  <si>
    <t>Patrick Willis</t>
  </si>
  <si>
    <t>Jason Snelling</t>
  </si>
  <si>
    <t>Lance Ball</t>
  </si>
  <si>
    <t>Jacoby Ford</t>
  </si>
  <si>
    <t>BenJarvus Green-Ellis</t>
  </si>
  <si>
    <t>Ronnie Brown</t>
  </si>
  <si>
    <t>Willis McGahee</t>
  </si>
  <si>
    <t>Bilal Powell</t>
  </si>
  <si>
    <t>Brandon Stokley</t>
  </si>
  <si>
    <t>Kenny Britt</t>
  </si>
  <si>
    <t>LaRod Stephens-Howling</t>
  </si>
  <si>
    <t>Jared Allen</t>
  </si>
  <si>
    <t>Dion Lewis</t>
  </si>
  <si>
    <t>Donald Jones</t>
  </si>
  <si>
    <t>Brandon Jacobs</t>
  </si>
  <si>
    <t>Preston Parker</t>
  </si>
  <si>
    <t>Delone Carter</t>
  </si>
  <si>
    <t>Steve Breaston</t>
  </si>
  <si>
    <t>Mike Goodson</t>
  </si>
  <si>
    <t>Eddie Royal</t>
  </si>
  <si>
    <t>D?Qwell Jackson</t>
  </si>
  <si>
    <t>John Kuhn</t>
  </si>
  <si>
    <t>Josh Gordon</t>
  </si>
  <si>
    <t>Leonard Hankerson</t>
  </si>
  <si>
    <t>Leon Washington</t>
  </si>
  <si>
    <t>Jason Avant</t>
  </si>
  <si>
    <t>Isaac Redman</t>
  </si>
  <si>
    <t>Chris Rainey</t>
  </si>
  <si>
    <t>James Laurinaitis</t>
  </si>
  <si>
    <t>Keiland Williams</t>
  </si>
  <si>
    <t>Mohamed Massaquoi</t>
  </si>
  <si>
    <t>Doug Baldwin</t>
  </si>
  <si>
    <t>Donald Brown</t>
  </si>
  <si>
    <t>Michael Jenkins</t>
  </si>
  <si>
    <t>Brian Leonard</t>
  </si>
  <si>
    <t>Devin Hester</t>
  </si>
  <si>
    <t>LaMichael James</t>
  </si>
  <si>
    <t>Roy Helu</t>
  </si>
  <si>
    <t>Ryan Grant</t>
  </si>
  <si>
    <t>LaVon Brazill</t>
  </si>
  <si>
    <t>Mark Ingram</t>
  </si>
  <si>
    <t>Jahvid Best</t>
  </si>
  <si>
    <t>Vincent Brown</t>
  </si>
  <si>
    <t>Beanie Wells</t>
  </si>
  <si>
    <t>Joe McKnight</t>
  </si>
  <si>
    <t>Donnie Avery</t>
  </si>
  <si>
    <t>Peyton Hillis</t>
  </si>
  <si>
    <t>Bryce Brown</t>
  </si>
  <si>
    <t>Rod Streater</t>
  </si>
  <si>
    <t>Justin Blackmon</t>
  </si>
  <si>
    <t>Mario Manningham</t>
  </si>
  <si>
    <t>Mario Williams</t>
  </si>
  <si>
    <t>Justin Forsett</t>
  </si>
  <si>
    <t>Legedu Naanee</t>
  </si>
  <si>
    <t>Fred Davis</t>
  </si>
  <si>
    <t>Chaz Schilens</t>
  </si>
  <si>
    <t>Navorro Bowman</t>
  </si>
  <si>
    <t>Tashard Choice</t>
  </si>
  <si>
    <t>Early Doucet</t>
  </si>
  <si>
    <t>David Wilson</t>
  </si>
  <si>
    <t>Brandon Saine</t>
  </si>
  <si>
    <t>Vonta Leach</t>
  </si>
  <si>
    <t>Brad Smith</t>
  </si>
  <si>
    <t>Cliff Avril</t>
  </si>
  <si>
    <t>Phillip Tanner</t>
  </si>
  <si>
    <t>T.J. Graham</t>
  </si>
  <si>
    <t>Def</t>
  </si>
  <si>
    <t>Jackie Battle</t>
  </si>
  <si>
    <t>Ben Obomanu</t>
  </si>
  <si>
    <t>Derrick Johnson</t>
  </si>
  <si>
    <t>Daryl Richardson</t>
  </si>
  <si>
    <t>Domenik Hixon</t>
  </si>
  <si>
    <t>Denarius Moore</t>
  </si>
  <si>
    <t>CB</t>
  </si>
  <si>
    <t>Patrick Peterson</t>
  </si>
  <si>
    <t>Michael Smith</t>
  </si>
  <si>
    <t>Louis Murphy</t>
  </si>
  <si>
    <t>Titus Young</t>
  </si>
  <si>
    <t>Bradie Ewing</t>
  </si>
  <si>
    <t>Arrelious Benn</t>
  </si>
  <si>
    <t>Robert Meachem</t>
  </si>
  <si>
    <t>Jamie Harper</t>
  </si>
  <si>
    <t>Keshawn Martin</t>
  </si>
  <si>
    <t>Tony Gonzalez</t>
  </si>
  <si>
    <t>Curtis Brinkley</t>
  </si>
  <si>
    <t>Lestar Jean</t>
  </si>
  <si>
    <t>Greg Jones</t>
  </si>
  <si>
    <t>Jordan Norwood</t>
  </si>
  <si>
    <t>Colin McCarthy</t>
  </si>
  <si>
    <t>Owen Marecic</t>
  </si>
  <si>
    <t>Eric Berry</t>
  </si>
  <si>
    <t>Kregg Lumpkin</t>
  </si>
  <si>
    <t>Jeremy Kerley</t>
  </si>
  <si>
    <t>Johnny White</t>
  </si>
  <si>
    <t>Josh Freeman</t>
  </si>
  <si>
    <t>Anthony Dixon</t>
  </si>
  <si>
    <t>Donald Driver</t>
  </si>
  <si>
    <t>Jacoby Jones</t>
  </si>
  <si>
    <t>Paul Posluszny</t>
  </si>
  <si>
    <t>Devin Aromashodu</t>
  </si>
  <si>
    <t>Desmond Bishop</t>
  </si>
  <si>
    <t>Braylon Edwards</t>
  </si>
  <si>
    <t>Jacob Tamme</t>
  </si>
  <si>
    <t>Josh Cribbs</t>
  </si>
  <si>
    <t>Ryan Williams</t>
  </si>
  <si>
    <t>Ryan Broyles</t>
  </si>
  <si>
    <t>Greg Little</t>
  </si>
  <si>
    <t>Chris Givens</t>
  </si>
  <si>
    <t>London Fletcher</t>
  </si>
  <si>
    <t>Mohamed Sanu</t>
  </si>
  <si>
    <t>Darrius Heyward-Bey</t>
  </si>
  <si>
    <t>Andre Caldwell</t>
  </si>
  <si>
    <t>Von Miller</t>
  </si>
  <si>
    <t>Ted Ginn Jr.</t>
  </si>
  <si>
    <t>Kevin Smith</t>
  </si>
  <si>
    <t>Damian Williams</t>
  </si>
  <si>
    <t>Trent Cole</t>
  </si>
  <si>
    <t>Cole Beasley</t>
  </si>
  <si>
    <t>Ray Lewis</t>
  </si>
  <si>
    <t>Josh Morgan</t>
  </si>
  <si>
    <t>Brandon Gibson</t>
  </si>
  <si>
    <t>Armon Binns</t>
  </si>
  <si>
    <t>Luke Kuechly</t>
  </si>
  <si>
    <t>Ramses Barden</t>
  </si>
  <si>
    <t>Roy Williams</t>
  </si>
  <si>
    <t>Plaxico Burress</t>
  </si>
  <si>
    <t>Demarcus Ware</t>
  </si>
  <si>
    <t>Jerricho Cotchery</t>
  </si>
  <si>
    <t>Santonio Holmes</t>
  </si>
  <si>
    <t>Mike Thomas</t>
  </si>
  <si>
    <t>Julius Peppers</t>
  </si>
  <si>
    <t>Kevin Cone</t>
  </si>
  <si>
    <t>David Gettis</t>
  </si>
  <si>
    <t>Kam Chancellor</t>
  </si>
  <si>
    <t>A.J. Jenkins</t>
  </si>
  <si>
    <t>Jerod Mayo</t>
  </si>
  <si>
    <t>Jerrel Jernigan</t>
  </si>
  <si>
    <t>Devon Wylie</t>
  </si>
  <si>
    <t>Sean Weatherspoon</t>
  </si>
  <si>
    <t>Joe Adams</t>
  </si>
  <si>
    <t>Malcom Floyd</t>
  </si>
  <si>
    <t>Dezmon Briscoe</t>
  </si>
  <si>
    <t>Marvin McNutt</t>
  </si>
  <si>
    <t>Curtis Lofton</t>
  </si>
  <si>
    <t>Adrian Arrington</t>
  </si>
  <si>
    <t>Sean Lee</t>
  </si>
  <si>
    <t>Terrance Copper</t>
  </si>
  <si>
    <t>Lavelle Hawkins</t>
  </si>
  <si>
    <t>Daryl Washington</t>
  </si>
  <si>
    <t>Elvis Dumervil</t>
  </si>
  <si>
    <t>Isaiah Pead</t>
  </si>
  <si>
    <t>Tyvon Branch</t>
  </si>
  <si>
    <t>Karlos Dansby</t>
  </si>
  <si>
    <t>Michael Bush</t>
  </si>
  <si>
    <t>Pat Angerer</t>
  </si>
  <si>
    <t>Jason Babin</t>
  </si>
  <si>
    <t>DT</t>
  </si>
  <si>
    <t>Ndamukong Suh</t>
  </si>
  <si>
    <t>Calais Campbell</t>
  </si>
  <si>
    <t>Justin Tuck</t>
  </si>
  <si>
    <t>Clay Matthews</t>
  </si>
  <si>
    <t>Chad Greenway</t>
  </si>
  <si>
    <t>Brian Cushing</t>
  </si>
  <si>
    <t>Charles Tillman</t>
  </si>
  <si>
    <t>James Anderson</t>
  </si>
  <si>
    <t>Haloti Ngata</t>
  </si>
  <si>
    <t>DeMeco Ryans</t>
  </si>
  <si>
    <t>Morgan Burnett</t>
  </si>
  <si>
    <t>Terrell Suggs</t>
  </si>
  <si>
    <t>Sidney Rice</t>
  </si>
  <si>
    <t>Jon Beason</t>
  </si>
  <si>
    <t>Nick Barnett</t>
  </si>
  <si>
    <t>Stephen Tulloch</t>
  </si>
  <si>
    <t>J.J. Watt</t>
  </si>
  <si>
    <t>Lawrence Timmons</t>
  </si>
  <si>
    <t>Mark Barron</t>
  </si>
  <si>
    <t>Aldon Smith</t>
  </si>
  <si>
    <t>Cedric Benson</t>
  </si>
  <si>
    <t>George Wilson</t>
  </si>
  <si>
    <t>Charles Woodson</t>
  </si>
  <si>
    <t>Brian Quick</t>
  </si>
  <si>
    <t>Blaine Gabbert</t>
  </si>
  <si>
    <t>Donald Butler</t>
  </si>
  <si>
    <t>Phil Taylor</t>
  </si>
  <si>
    <t>Rolando McClain</t>
  </si>
  <si>
    <t>Jason McCourty</t>
  </si>
  <si>
    <t>Kevin Kolb</t>
  </si>
  <si>
    <t>Ahtyba Rubin</t>
  </si>
  <si>
    <t>Jabaal Sheard</t>
  </si>
  <si>
    <t>Fletcher Cox</t>
  </si>
  <si>
    <t>Charles Johnson</t>
  </si>
  <si>
    <t>Brandon Flowers</t>
  </si>
  <si>
    <t>Chris Long</t>
  </si>
  <si>
    <t>Jairus Byrd</t>
  </si>
  <si>
    <t>Troy Polamalu</t>
  </si>
  <si>
    <t>Bobby Wagner</t>
  </si>
  <si>
    <t>Roman Harper</t>
  </si>
  <si>
    <t>Antoine Bethea</t>
  </si>
  <si>
    <t>Eric Weddle</t>
  </si>
  <si>
    <t>Lance Moore</t>
  </si>
  <si>
    <t>David Harris</t>
  </si>
  <si>
    <t>Christian Ponder</t>
  </si>
  <si>
    <t>Dont?a Hightower</t>
  </si>
  <si>
    <t>Dustin Keller</t>
  </si>
  <si>
    <t>Kelvin Sheppard</t>
  </si>
  <si>
    <t>Patrick Chung</t>
  </si>
  <si>
    <t>Lardarius Webb</t>
  </si>
  <si>
    <t>Charlie Peprah</t>
  </si>
  <si>
    <t>DJ Williams</t>
  </si>
  <si>
    <t>Lavonte David</t>
  </si>
  <si>
    <t>D.J. Smith</t>
  </si>
  <si>
    <t>Mychal Kendricks</t>
  </si>
  <si>
    <t>Brian Urlacher</t>
  </si>
  <si>
    <t>Daniel Thomas</t>
  </si>
  <si>
    <t>PK</t>
  </si>
  <si>
    <t>Carlos Dunlap</t>
  </si>
  <si>
    <t>Kendall Hunter</t>
  </si>
  <si>
    <t>#VALUE!:blankIndicator:</t>
  </si>
  <si>
    <t>PLAYERS</t>
  </si>
  <si>
    <t>STATUS</t>
  </si>
  <si>
    <t>PASSING</t>
  </si>
  <si>
    <t>RUSHING</t>
  </si>
  <si>
    <t>RECEIVING</t>
  </si>
  <si>
    <t>TOTAL</t>
  </si>
  <si>
    <t>RNK</t>
  </si>
  <si>
    <t>PLAYER, TEAM POS</t>
  </si>
  <si>
    <t>TYPE</t>
  </si>
  <si>
    <t>ACTION</t>
  </si>
  <si>
    <t>C/A</t>
  </si>
  <si>
    <t>YDS</t>
  </si>
  <si>
    <t>RUSH</t>
  </si>
  <si>
    <t>REC</t>
  </si>
  <si>
    <t>PTS</t>
  </si>
  <si>
    <t>Pos. Rank</t>
  </si>
  <si>
    <t>Auction</t>
  </si>
  <si>
    <t>Peyton Manning, Den QB</t>
  </si>
  <si>
    <t>435/640</t>
  </si>
  <si>
    <t>Adrian Peterson, Min RB</t>
  </si>
  <si>
    <t>0/0</t>
  </si>
  <si>
    <t>Calvin Johnson, Det WR</t>
  </si>
  <si>
    <t>Jimmy Graham, NO TE</t>
  </si>
  <si>
    <t>Seahawks D/ST D/ST</t>
  </si>
  <si>
    <t>Matt Prater, Den K</t>
  </si>
  <si>
    <t>Adrian Peterson, MIN</t>
  </si>
  <si>
    <t>Aaron Rodgers, GB QB</t>
  </si>
  <si>
    <t>348/514</t>
  </si>
  <si>
    <t>LeSean McCoy, Phi RB  P</t>
  </si>
  <si>
    <t>Demaryius Thomas, Den WR</t>
  </si>
  <si>
    <t>Julius Thomas, Den TE</t>
  </si>
  <si>
    <t>Panthers D/ST D/ST</t>
  </si>
  <si>
    <t>Stephen Gostkowski, NE K</t>
  </si>
  <si>
    <t>LeSean McCoy, PHI</t>
  </si>
  <si>
    <t>Jamaal Charles, KC</t>
  </si>
  <si>
    <t>Drew Brees, NO QB</t>
  </si>
  <si>
    <t>435/626</t>
  </si>
  <si>
    <t>Jamaal Charles, KC RB  P</t>
  </si>
  <si>
    <t>A.J. Green, Cin WR</t>
  </si>
  <si>
    <t>Rob Gronkowski, NE TE  Q</t>
  </si>
  <si>
    <t>49ers D/ST D/ST</t>
  </si>
  <si>
    <t>Justin Tucker, Bal K</t>
  </si>
  <si>
    <t>Matthew Stafford, Det QB</t>
  </si>
  <si>
    <t>397/649</t>
  </si>
  <si>
    <t>Matt Forte, Chi RB</t>
  </si>
  <si>
    <t>Dez Bryant, Dal WR</t>
  </si>
  <si>
    <t>Vernon Davis, SF TE</t>
  </si>
  <si>
    <t>Broncos D/ST D/ST</t>
  </si>
  <si>
    <t>Mason Crosby, GB K</t>
  </si>
  <si>
    <t>Matt Forte, CHI</t>
  </si>
  <si>
    <t>Cam Newton, Car QB  P</t>
  </si>
  <si>
    <t>276/462</t>
  </si>
  <si>
    <t>Marshawn Lynch, Sea RB</t>
  </si>
  <si>
    <t>Brandon Marshall, Chi WR</t>
  </si>
  <si>
    <t>Jason Witten, Dal TE</t>
  </si>
  <si>
    <t>Cardinals D/ST D/ST</t>
  </si>
  <si>
    <t>Steven Hauschka, Sea K</t>
  </si>
  <si>
    <t>Marshawn Lynch, SEA</t>
  </si>
  <si>
    <t>Andrew Luck, Ind QB</t>
  </si>
  <si>
    <t>357/581</t>
  </si>
  <si>
    <t>Eddie Lacy, GB RB</t>
  </si>
  <si>
    <t>Julio Jones, Atl WR  P</t>
  </si>
  <si>
    <t>Jordan Cameron, Cle TE  P</t>
  </si>
  <si>
    <t>Bengals D/ST D/ST</t>
  </si>
  <si>
    <t>Phil Dawson, SF K</t>
  </si>
  <si>
    <t>Eddie Lacy, GB</t>
  </si>
  <si>
    <t>Robert Griffin III, Wsh QB  P</t>
  </si>
  <si>
    <t>294/490</t>
  </si>
  <si>
    <t>Arian Foster, Hou RB</t>
  </si>
  <si>
    <t>Jordy Nelson, GB WR</t>
  </si>
  <si>
    <t>Greg Olsen, Car TE</t>
  </si>
  <si>
    <t>Rams D/ST D/ST</t>
  </si>
  <si>
    <t>Nick Novak, SD K</t>
  </si>
  <si>
    <t>Calvin Johnson, DET</t>
  </si>
  <si>
    <t>Nick Foles, Phi QB</t>
  </si>
  <si>
    <t>299/467</t>
  </si>
  <si>
    <t>Doug Martin, TB RB</t>
  </si>
  <si>
    <t>Alshon Jeffery, Chi WR</t>
  </si>
  <si>
    <t>Dennis Pitta, Bal TE</t>
  </si>
  <si>
    <t>Chiefs D/ST D/ST</t>
  </si>
  <si>
    <t>Adam Vinatieri, Ind K</t>
  </si>
  <si>
    <t>Peyton Manning, DEN</t>
  </si>
  <si>
    <t>Jimmy Graham, NO</t>
  </si>
  <si>
    <t>Colin Kaepernick, SF QB</t>
  </si>
  <si>
    <t>248/427</t>
  </si>
  <si>
    <t>DeMarco Murray, Dal RB</t>
  </si>
  <si>
    <t>Antonio Brown, Pit WR</t>
  </si>
  <si>
    <t>Kyle Rudolph, Min TE</t>
  </si>
  <si>
    <t>Patriots D/ST D/ST</t>
  </si>
  <si>
    <t>Blair Walsh, Min K</t>
  </si>
  <si>
    <t>Arian Foster, HOU</t>
  </si>
  <si>
    <t>Russell Wilson, Sea QB</t>
  </si>
  <si>
    <t>257/400</t>
  </si>
  <si>
    <t>Le'Veon Bell, Pit RB</t>
  </si>
  <si>
    <t>Randall Cobb, GB WR</t>
  </si>
  <si>
    <t>Jordan Reed, Wsh TE</t>
  </si>
  <si>
    <t>Bills D/ST D/ST</t>
  </si>
  <si>
    <t>Dan Bailey, Dal K</t>
  </si>
  <si>
    <t>Demaryius Thomas, DEN</t>
  </si>
  <si>
    <t>Matt Ryan, Atl QB</t>
  </si>
  <si>
    <t>419/627</t>
  </si>
  <si>
    <t>Zac Stacy, StL RB</t>
  </si>
  <si>
    <t>Andre Johnson, Hou WR</t>
  </si>
  <si>
    <t>Martellus Bennett, Chi TE</t>
  </si>
  <si>
    <t>Buccaneers D/ST D/ST</t>
  </si>
  <si>
    <t>Nick Folk, NYJ K</t>
  </si>
  <si>
    <t>Doug Martin, TB</t>
  </si>
  <si>
    <t>DeMarco Murray, DAL</t>
  </si>
  <si>
    <t>Tom Brady, NE QB</t>
  </si>
  <si>
    <t>402/626</t>
  </si>
  <si>
    <t>Alfred Morris, Wsh RB</t>
  </si>
  <si>
    <t>Vincent Jackson, TB WR</t>
  </si>
  <si>
    <t>Delanie Walker, Ten TE</t>
  </si>
  <si>
    <t>Saints D/ST D/ST</t>
  </si>
  <si>
    <t>Robbie Gould, Chi K</t>
  </si>
  <si>
    <t>Aaron Rodgers, GB</t>
  </si>
  <si>
    <t>Tony Romo, Dal QB</t>
  </si>
  <si>
    <t>413/633</t>
  </si>
  <si>
    <t>Montee Ball, Den RB  P</t>
  </si>
  <si>
    <t>Larry Fitzgerald, Ari WR</t>
  </si>
  <si>
    <t>Zach Ertz, Phi TE</t>
  </si>
  <si>
    <t>Texans D/ST D/ST</t>
  </si>
  <si>
    <t>Shayne Graham, NO K</t>
  </si>
  <si>
    <t>RB9</t>
  </si>
  <si>
    <t>Philip Rivers, SD QB</t>
  </si>
  <si>
    <t>364/544</t>
  </si>
  <si>
    <t>Giovani Bernard, Cin RB</t>
  </si>
  <si>
    <t>Pierre Garcon, Wsh WR</t>
  </si>
  <si>
    <t>Charles Clay, Mia TE</t>
  </si>
  <si>
    <t>Ravens D/ST D/ST</t>
  </si>
  <si>
    <t>Matt Bryant, Atl K</t>
  </si>
  <si>
    <t>Le'Veon Bell, PIT</t>
  </si>
  <si>
    <t>RB10</t>
  </si>
  <si>
    <t>Dez Bryant, DAL</t>
  </si>
  <si>
    <t>Jay Cutler, Chi QB</t>
  </si>
  <si>
    <t>302/485</t>
  </si>
  <si>
    <t>Reggie Bush, Det RB</t>
  </si>
  <si>
    <t>Keenan Allen, SD WR</t>
  </si>
  <si>
    <t>Antonio Gates, SD TE</t>
  </si>
  <si>
    <t>Browns D/ST D/ST</t>
  </si>
  <si>
    <t>Alex Henery, Phi K</t>
  </si>
  <si>
    <t>Ben Roethlisberger, Pit QB</t>
  </si>
  <si>
    <t>319/511</t>
  </si>
  <si>
    <t>Ben Tate, Cle RB</t>
  </si>
  <si>
    <t>Victor Cruz, NYG WR</t>
  </si>
  <si>
    <t>Ladarius Green, SD TE</t>
  </si>
  <si>
    <t>Steelers D/ST D/ST</t>
  </si>
  <si>
    <t>Ryan Succop, KC K</t>
  </si>
  <si>
    <t>A.J. Green, CIN</t>
  </si>
  <si>
    <t>Andy Dalton, Cin QB</t>
  </si>
  <si>
    <t>317/520</t>
  </si>
  <si>
    <t>Ryan Mathews, SD RB</t>
  </si>
  <si>
    <t>Roddy White, Atl WR</t>
  </si>
  <si>
    <t>Coby Fleener, Ind TE</t>
  </si>
  <si>
    <t>Giants D/ST D/ST</t>
  </si>
  <si>
    <t>Graham Gano, Car K</t>
  </si>
  <si>
    <t>Drew Brees, NO</t>
  </si>
  <si>
    <t>Eli Manning, NYG QB</t>
  </si>
  <si>
    <t>340/550</t>
  </si>
  <si>
    <t>C.J. Spiller, Buf RB</t>
  </si>
  <si>
    <t>DeSean Jackson, Wsh WR</t>
  </si>
  <si>
    <t>Eric Ebron, Det TE</t>
  </si>
  <si>
    <t>Eagles D/ST D/ST</t>
  </si>
  <si>
    <t>Mike Nugent, Cin K</t>
  </si>
  <si>
    <t>Montee Ball, DEN</t>
  </si>
  <si>
    <t>RB11</t>
  </si>
  <si>
    <t>Carson Palmer, Ari QB</t>
  </si>
  <si>
    <t>346/566</t>
  </si>
  <si>
    <t>Frank Gore, SF RB</t>
  </si>
  <si>
    <t>Wes Welker, Den WR</t>
  </si>
  <si>
    <t>Heath Miller, Pit TE</t>
  </si>
  <si>
    <t>Lions D/ST D/ST</t>
  </si>
  <si>
    <t>Shaun Suisham, Pit K</t>
  </si>
  <si>
    <t>Zac Stacy, STL</t>
  </si>
  <si>
    <t>Josh McCown, TB QB</t>
  </si>
  <si>
    <t>246/415</t>
  </si>
  <si>
    <t>Andre Ellington, Ari RB</t>
  </si>
  <si>
    <t>Percy Harvin, Sea WR</t>
  </si>
  <si>
    <t>Dwayne Allen, Ind TE</t>
  </si>
  <si>
    <t>Colts D/ST D/ST</t>
  </si>
  <si>
    <t>Greg Zuerlein, StL K</t>
  </si>
  <si>
    <t>Brandon Marshall, CHI</t>
  </si>
  <si>
    <t>Giovani Bernard, CIN</t>
  </si>
  <si>
    <t>RB12</t>
  </si>
  <si>
    <t>Joe Flacco, Bal QB</t>
  </si>
  <si>
    <t>329/554</t>
  </si>
  <si>
    <t>Trent Richardson, Ind RB</t>
  </si>
  <si>
    <t>Michael Crabtree, SF WR</t>
  </si>
  <si>
    <t>Tyler Eifert, Cin TE  P</t>
  </si>
  <si>
    <t>Bears D/ST D/ST</t>
  </si>
  <si>
    <t>Jay Feely, Ari K</t>
  </si>
  <si>
    <t>Julio Jones, ATL</t>
  </si>
  <si>
    <t>Reggie Bush, DET</t>
  </si>
  <si>
    <t>RB13</t>
  </si>
  <si>
    <t>Ryan Tannehill, Mia QB</t>
  </si>
  <si>
    <t>325/545</t>
  </si>
  <si>
    <t>Toby Gerhart, Jac RB</t>
  </si>
  <si>
    <t>Torrey Smith, Bal WR</t>
  </si>
  <si>
    <t>Owen Daniels, Bal TE</t>
  </si>
  <si>
    <t>Raiders D/ST D/ST</t>
  </si>
  <si>
    <t>Dan Carpenter, Buf K</t>
  </si>
  <si>
    <t>Jordy Nelson, GB</t>
  </si>
  <si>
    <t>Matthew Stafford, DET</t>
  </si>
  <si>
    <t>Johnny Manziel, Cle QB</t>
  </si>
  <si>
    <t>195/348</t>
  </si>
  <si>
    <t>Ray Rice, Bal RB  SSPD</t>
  </si>
  <si>
    <t>Michael Floyd, Ari WR  P</t>
  </si>
  <si>
    <t>Austin Seferian-Jenkins, TB TE</t>
  </si>
  <si>
    <t>Jaguars D/ST D/ST</t>
  </si>
  <si>
    <t>Caleb Sturgis, Mia K  P</t>
  </si>
  <si>
    <t>Alfred Morris, WAS</t>
  </si>
  <si>
    <t>RB14</t>
  </si>
  <si>
    <t>Alex Smith, KC QB</t>
  </si>
  <si>
    <t>304/503</t>
  </si>
  <si>
    <t>Rashad Jennings, NYG RB</t>
  </si>
  <si>
    <t>Cordarrelle Patterson, Min WR</t>
  </si>
  <si>
    <t>Jace Amaro, NYJ TE</t>
  </si>
  <si>
    <t>Packers D/ST D/ST</t>
  </si>
  <si>
    <t>Sebastian Janikowski, Oak K</t>
  </si>
  <si>
    <t>Alshon Jeffery, CHI</t>
  </si>
  <si>
    <t>EJ Manuel, Buf QB</t>
  </si>
  <si>
    <t>224/397</t>
  </si>
  <si>
    <t>Chris Johnson, NYJ RB</t>
  </si>
  <si>
    <t>Julian Edelman, NE WR</t>
  </si>
  <si>
    <t>Jared Cook, StL TE</t>
  </si>
  <si>
    <t>Titans D/ST D/ST</t>
  </si>
  <si>
    <t>Randy Bullock, Hou K</t>
  </si>
  <si>
    <t>Cam Newton, CAR</t>
  </si>
  <si>
    <t>QB5</t>
  </si>
  <si>
    <t>Sam Bradford, StL QB</t>
  </si>
  <si>
    <t>288/486</t>
  </si>
  <si>
    <t>Steven Jackson, Atl RB  P</t>
  </si>
  <si>
    <t>Jeremy Maclin, Phi WR  P</t>
  </si>
  <si>
    <t>Ryan Griffin, Hou TE</t>
  </si>
  <si>
    <t>Jets D/ST D/ST</t>
  </si>
  <si>
    <t>Josh Brown, NYG K</t>
  </si>
  <si>
    <t>Geno Smith, NYJ QB</t>
  </si>
  <si>
    <t>162/270</t>
  </si>
  <si>
    <t>Joique Bell, Det RB</t>
  </si>
  <si>
    <t>T.Y. Hilton, Ind WR</t>
  </si>
  <si>
    <t>Garrett Graham, Hou TE</t>
  </si>
  <si>
    <t>Falcons D/ST D/ST</t>
  </si>
  <si>
    <t>Kai Forbath, Wsh K</t>
  </si>
  <si>
    <t>Julius Thomas, DEN</t>
  </si>
  <si>
    <t>Antonio Brown, PIT</t>
  </si>
  <si>
    <t>Jake Locker, Ten QB</t>
  </si>
  <si>
    <t>209/347</t>
  </si>
  <si>
    <t>Shane Vereen, NE RB</t>
  </si>
  <si>
    <t>Reggie Wayne, Ind WR  P</t>
  </si>
  <si>
    <t>Andrew Quarless, GB TE</t>
  </si>
  <si>
    <t>Dolphins D/ST D/ST</t>
  </si>
  <si>
    <t>Connor Barth, TB K</t>
  </si>
  <si>
    <t>Michael Vick, NYJ QB</t>
  </si>
  <si>
    <t>138/244</t>
  </si>
  <si>
    <t>Stevan Ridley, NE RB</t>
  </si>
  <si>
    <t>Marques Colston, NO WR</t>
  </si>
  <si>
    <t>Mychal Rivera, Oak TE</t>
  </si>
  <si>
    <t>Vikings D/ST D/ST</t>
  </si>
  <si>
    <t>Josh Scobee, Jac K</t>
  </si>
  <si>
    <t>RB15</t>
  </si>
  <si>
    <t>Matt Schaub, Oak QB</t>
  </si>
  <si>
    <t>230/388</t>
  </si>
  <si>
    <t>Bishop Sankey, Ten RB</t>
  </si>
  <si>
    <t>Emmanuel Sanders, Den WR  P</t>
  </si>
  <si>
    <t>Jermaine Gresham, Cin TE</t>
  </si>
  <si>
    <t>Redskins D/ST D/ST</t>
  </si>
  <si>
    <t>Billy Cundiff, Cle K</t>
  </si>
  <si>
    <t>Randall Cobb, GB</t>
  </si>
  <si>
    <t>WR10</t>
  </si>
  <si>
    <t>Chad Henne, Jac QB</t>
  </si>
  <si>
    <t>216/366</t>
  </si>
  <si>
    <t>Pierre Thomas, NO RB</t>
  </si>
  <si>
    <t>Golden Tate, Det WR</t>
  </si>
  <si>
    <t>Jermichael Finley, GB TE  Q</t>
  </si>
  <si>
    <t>Chargers D/ST D/ST</t>
  </si>
  <si>
    <t>Nate Freese, Det K</t>
  </si>
  <si>
    <t>Andre Johnson, HOU</t>
  </si>
  <si>
    <t>WR11</t>
  </si>
  <si>
    <t>Ben Tate, CLE</t>
  </si>
  <si>
    <t>Ryan Fitzpatrick, Hou QB</t>
  </si>
  <si>
    <t>245/402</t>
  </si>
  <si>
    <t>Maurice Jones-Drew, Oak RB  P</t>
  </si>
  <si>
    <t>Kendall Wright, Ten WR</t>
  </si>
  <si>
    <t>Scott Chandler, Buf TE</t>
  </si>
  <si>
    <t>Cowboys D/ST D/ST</t>
  </si>
  <si>
    <t>Maikon Bonani, Ten K</t>
  </si>
  <si>
    <t>RB16</t>
  </si>
  <si>
    <t>Matt Cassel, Min QB</t>
  </si>
  <si>
    <t>154/252</t>
  </si>
  <si>
    <t>Fred Jackson, Buf RB</t>
  </si>
  <si>
    <t>Sammy Watkins, Buf WR  P</t>
  </si>
  <si>
    <t>Brandon Pettigrew, Det TE</t>
  </si>
  <si>
    <t>Dustin Hopkins, Buf K</t>
  </si>
  <si>
    <t>Vincent Jackson, TB</t>
  </si>
  <si>
    <t>WR12</t>
  </si>
  <si>
    <t>Andre Ellington, ARI</t>
  </si>
  <si>
    <t>RB17</t>
  </si>
  <si>
    <t>Teddy Bridgewater, Min QB</t>
  </si>
  <si>
    <t>143/235</t>
  </si>
  <si>
    <t>Darren Sproles, Phi RB</t>
  </si>
  <si>
    <t>Mike Wallace, Mia WR</t>
  </si>
  <si>
    <t>Brandon Bostick, GB TE  Q</t>
  </si>
  <si>
    <t>Giorgio Tavecchio, Det K</t>
  </si>
  <si>
    <t>Larry Fitzgerald, ARI</t>
  </si>
  <si>
    <t>WR13</t>
  </si>
  <si>
    <t>Brian Hoyer, Cle QB</t>
  </si>
  <si>
    <t>98/159</t>
  </si>
  <si>
    <t>DeAngelo Williams, Car RB</t>
  </si>
  <si>
    <t>Eric Decker, NYJ WR  P</t>
  </si>
  <si>
    <t>Zach Miller, Sea TE</t>
  </si>
  <si>
    <t>Rob Bironas, Ten K</t>
  </si>
  <si>
    <t>Rob Gronkowski, NE</t>
  </si>
  <si>
    <t>Mike Glennon, TB QB</t>
  </si>
  <si>
    <t>49/78</t>
  </si>
  <si>
    <t>Khiry Robinson, NO RB</t>
  </si>
  <si>
    <t>Terrance Williams, Dal WR</t>
  </si>
  <si>
    <t>C.J. Fiedorowicz, Hou TE</t>
  </si>
  <si>
    <t>David Akers, Det K</t>
  </si>
  <si>
    <t>Pierre Garcon, WAS</t>
  </si>
  <si>
    <t>WR14</t>
  </si>
  <si>
    <t>Trent Richardson, IND</t>
  </si>
  <si>
    <t>RB18</t>
  </si>
  <si>
    <t>Kirk Cousins, Wsh QB</t>
  </si>
  <si>
    <t>51/87</t>
  </si>
  <si>
    <t>Lamar Miller, Mia RB</t>
  </si>
  <si>
    <t>Cecil Shorts, Jac WR  P</t>
  </si>
  <si>
    <t>Marcedes Lewis, Jac TE</t>
  </si>
  <si>
    <t>Rian Lindell, TB K</t>
  </si>
  <si>
    <t>Ryan Mathews, SD</t>
  </si>
  <si>
    <t>Blake Bortles, Jac QB</t>
  </si>
  <si>
    <t>79/142</t>
  </si>
  <si>
    <t>Chris Ivory, NYJ RB  P</t>
  </si>
  <si>
    <t>Anquan Boldin, SF WR</t>
  </si>
  <si>
    <t>Travis Kelce, KC TE</t>
  </si>
  <si>
    <t>John Kasay, FA K</t>
  </si>
  <si>
    <t>--/--</t>
  </si>
  <si>
    <t>--</t>
  </si>
  <si>
    <t>Keenan Allen, SD</t>
  </si>
  <si>
    <t>WR15</t>
  </si>
  <si>
    <t>Shaun Hill, StL QB</t>
  </si>
  <si>
    <t>50/79</t>
  </si>
  <si>
    <t>Danny Woodhead, SD RB</t>
  </si>
  <si>
    <t>DeAndre Hopkins, Hou WR</t>
  </si>
  <si>
    <t>Brent Celek, Phi TE</t>
  </si>
  <si>
    <t>Jason Hanson, FA K</t>
  </si>
  <si>
    <t>Ray Rice, BAL</t>
  </si>
  <si>
    <t>RB19</t>
  </si>
  <si>
    <t>Mark Sanchez, Phi QB</t>
  </si>
  <si>
    <t>14/26</t>
  </si>
  <si>
    <t>Knowshon Moreno, Mia RB</t>
  </si>
  <si>
    <t>Riley Cooper, Phi WR</t>
  </si>
  <si>
    <t>John Carlson, Ari TE</t>
  </si>
  <si>
    <t>Olindo Mare, FA K</t>
  </si>
  <si>
    <t>C.J. Spiller, BUF</t>
  </si>
  <si>
    <t>Andrew Luck, IND</t>
  </si>
  <si>
    <t>QB6</t>
  </si>
  <si>
    <t>Frank Gore, SF</t>
  </si>
  <si>
    <t>Victor Cruz, NYG</t>
  </si>
  <si>
    <t>WR16</t>
  </si>
  <si>
    <t>Matt Flynn, GB QB</t>
  </si>
  <si>
    <t>28/47</t>
  </si>
  <si>
    <t>Shonn Greene, Ten RB  P</t>
  </si>
  <si>
    <t>Danny Amendola, NE WR</t>
  </si>
  <si>
    <t>Timothy Wright, TB TE</t>
  </si>
  <si>
    <t>Roddy White, ATL</t>
  </si>
  <si>
    <t>WR17</t>
  </si>
  <si>
    <t>RB20</t>
  </si>
  <si>
    <t>Christian Ponder, Min QB</t>
  </si>
  <si>
    <t>Darren McFadden, Oak RB</t>
  </si>
  <si>
    <t>Greg Jennings, Min WR</t>
  </si>
  <si>
    <t>Ed Dickson, Car TE</t>
  </si>
  <si>
    <t>DeSean Jackson, WAS</t>
  </si>
  <si>
    <t>WR18</t>
  </si>
  <si>
    <t>Brandon Weeden, Dal QB</t>
  </si>
  <si>
    <t>22/38</t>
  </si>
  <si>
    <t>Bernard Pierce, Bal RB</t>
  </si>
  <si>
    <t>Steve Smith, Bal WR</t>
  </si>
  <si>
    <t>Joseph Fauria, Det TE</t>
  </si>
  <si>
    <t>Thad Lewis, Buf QB</t>
  </si>
  <si>
    <t>59/102</t>
  </si>
  <si>
    <t>Mark Ingram, NO RB</t>
  </si>
  <si>
    <t>Dwayne Bowe, KC WR  SSPD</t>
  </si>
  <si>
    <t>Richard Rodgers, GB TE</t>
  </si>
  <si>
    <t>Brock Osweiler, Den QB</t>
  </si>
  <si>
    <t>Christine Michael, Sea RB</t>
  </si>
  <si>
    <t>Justin Hunter, Ten WR</t>
  </si>
  <si>
    <t>Jeff Cumberland, NYJ TE  P</t>
  </si>
  <si>
    <t>Wes Welker, DEN</t>
  </si>
  <si>
    <t>WR19</t>
  </si>
  <si>
    <t>Robert Griffin III, WAS</t>
  </si>
  <si>
    <t>QB7</t>
  </si>
  <si>
    <t>Jimmy Clausen, Chi QB</t>
  </si>
  <si>
    <t>43/78</t>
  </si>
  <si>
    <t>Donald Brown, SD RB</t>
  </si>
  <si>
    <t>Hakeem Nicks, Ind WR</t>
  </si>
  <si>
    <t>Anthony Fasano, KC TE</t>
  </si>
  <si>
    <t>Shane Vereen, NE</t>
  </si>
  <si>
    <t>RB21</t>
  </si>
  <si>
    <t>Bruce Gradkowski, Pit QB</t>
  </si>
  <si>
    <t>40/69</t>
  </si>
  <si>
    <t>Jeremy Hill, Cin RB  P</t>
  </si>
  <si>
    <t>Mike Evans, TB WR</t>
  </si>
  <si>
    <t>Gavin Escobar, Dal TE  P</t>
  </si>
  <si>
    <t>Percy Harvin, SEA</t>
  </si>
  <si>
    <t>WR20</t>
  </si>
  <si>
    <t>Vernon Davis, SF</t>
  </si>
  <si>
    <t>Derek Carr, Oak QB  P</t>
  </si>
  <si>
    <t>68/126</t>
  </si>
  <si>
    <t>Terrance West, Cle RB</t>
  </si>
  <si>
    <t>Rueben Randle, NYG WR</t>
  </si>
  <si>
    <t>Levine Toilolo, Atl TE</t>
  </si>
  <si>
    <t>RB22</t>
  </si>
  <si>
    <t>Case Keenum, Hou QB</t>
  </si>
  <si>
    <t>60/101</t>
  </si>
  <si>
    <t>LeGarrette Blount, Pit RB</t>
  </si>
  <si>
    <t>Tavon Austin, StL WR</t>
  </si>
  <si>
    <t>Dante Rosario, Chi TE</t>
  </si>
  <si>
    <t>Michael Crabtree, SF</t>
  </si>
  <si>
    <t>T.J. Yates, Atl QB</t>
  </si>
  <si>
    <t>Carlos Hyde, SF RB</t>
  </si>
  <si>
    <t>Jarrett Boykin, GB WR</t>
  </si>
  <si>
    <t>Troy Niklas, Ari TE  P</t>
  </si>
  <si>
    <t>Toby Gerhart, JAC</t>
  </si>
  <si>
    <t>Julian Edelman, NE</t>
  </si>
  <si>
    <t>Terrelle Pryor, Sea QB</t>
  </si>
  <si>
    <t>Tre Mason, StL RB</t>
  </si>
  <si>
    <t>Brandin Cooks, NO WR</t>
  </si>
  <si>
    <t>Rob Housler, Ari TE</t>
  </si>
  <si>
    <t>WR21</t>
  </si>
  <si>
    <t>RB23</t>
  </si>
  <si>
    <t>Blaine Gabbert, SF QB</t>
  </si>
  <si>
    <t>James Starks, GB RB</t>
  </si>
  <si>
    <t>Markus Wheaton, Pit WR</t>
  </si>
  <si>
    <t>Luke Willson, Sea TE</t>
  </si>
  <si>
    <t>Tarvaris Jackson, Sea QB</t>
  </si>
  <si>
    <t>Knile Davis, KC RB</t>
  </si>
  <si>
    <t>James Jones, Oak WR</t>
  </si>
  <si>
    <t>Michael Hoomanawanui, NE TE</t>
  </si>
  <si>
    <t>Rashad Jennings, NYG</t>
  </si>
  <si>
    <t>RB24</t>
  </si>
  <si>
    <t>Chris Johnson, NYJ</t>
  </si>
  <si>
    <t>Matt Moore, Mia QB</t>
  </si>
  <si>
    <t>C.J. Anderson, Den RB</t>
  </si>
  <si>
    <t>Steve Johnson, SF WR</t>
  </si>
  <si>
    <t>Vance McDonald, SF TE</t>
  </si>
  <si>
    <t>Torrey Smith, BAL</t>
  </si>
  <si>
    <t>WR22</t>
  </si>
  <si>
    <t>Nick Foles, PHI</t>
  </si>
  <si>
    <t>QB8</t>
  </si>
  <si>
    <t>Matt Hasselbeck, Ind QB</t>
  </si>
  <si>
    <t>Roy Helu, Wsh RB</t>
  </si>
  <si>
    <t>Andrew Hawkins, Cle WR</t>
  </si>
  <si>
    <t>Jacob Tamme, Den TE</t>
  </si>
  <si>
    <t>RB25</t>
  </si>
  <si>
    <t>Ryan Mallett, NE QB</t>
  </si>
  <si>
    <t>Andre Williams, NYG RB</t>
  </si>
  <si>
    <t>Brandon LaFell, NE WR</t>
  </si>
  <si>
    <t>Lance Kendricks, StL TE</t>
  </si>
  <si>
    <t>Steven Jackson, ATL</t>
  </si>
  <si>
    <t>RB26</t>
  </si>
  <si>
    <t>Joique Bell, DET</t>
  </si>
  <si>
    <t>Kellen Clemens, SD QB</t>
  </si>
  <si>
    <t>Jonathan Stewart, Car RB</t>
  </si>
  <si>
    <t>Doug Baldwin, Sea WR</t>
  </si>
  <si>
    <t>Brandon Myers, TB TE</t>
  </si>
  <si>
    <t>Michael Floyd, ARI</t>
  </si>
  <si>
    <t>WR23</t>
  </si>
  <si>
    <t>Reggie Wayne, IND</t>
  </si>
  <si>
    <t>Tyrod Taylor, Bal QB  P</t>
  </si>
  <si>
    <t>Devonta Freeman, Atl RB</t>
  </si>
  <si>
    <t>Dexter McCluster, Ten WR, RB</t>
  </si>
  <si>
    <t>MarQueis Gray, Cle TE, RB</t>
  </si>
  <si>
    <t>RB27</t>
  </si>
  <si>
    <t>Jason Campbell, Cin QB  P</t>
  </si>
  <si>
    <t>Ahmad Bradshaw, Ind RB  P</t>
  </si>
  <si>
    <t>Kenny Stills, NO WR  P</t>
  </si>
  <si>
    <t>Taylor Thompson, Ten TE</t>
  </si>
  <si>
    <t>Cordarrelle Patterson, MIN</t>
  </si>
  <si>
    <t>WR24</t>
  </si>
  <si>
    <t>Ryan Nassib, NYG QB</t>
  </si>
  <si>
    <t>Jordan Todman, Jac RB</t>
  </si>
  <si>
    <t>Denarius Moore, Oak WR</t>
  </si>
  <si>
    <t>Clay Harbor, Jac TE  Q</t>
  </si>
  <si>
    <t>Colin Kaepernick, SF</t>
  </si>
  <si>
    <t>QB9</t>
  </si>
  <si>
    <t>Matt Barkley, Phi QB</t>
  </si>
  <si>
    <t>Latavius Murray, Oak RB</t>
  </si>
  <si>
    <t>Rod Streater, Oak WR</t>
  </si>
  <si>
    <t>Larry Donnell, NYG TE</t>
  </si>
  <si>
    <t>Matt McGloin, Oak QB</t>
  </si>
  <si>
    <t>Ka'Deem Carey, Chi RB</t>
  </si>
  <si>
    <t>Marqise Lee, Jac WR</t>
  </si>
  <si>
    <t>Kellen Davis, NYG TE</t>
  </si>
  <si>
    <t>WR25</t>
  </si>
  <si>
    <t>Golden Tate, DET</t>
  </si>
  <si>
    <t>Charlie Whitehurst, Ten QB  P</t>
  </si>
  <si>
    <t>36/66</t>
  </si>
  <si>
    <t>BenJarvus Green-Ellis, Cin RB</t>
  </si>
  <si>
    <t>Odell Beckham, NYG WR  Q</t>
  </si>
  <si>
    <t>Mickey Shuler, Atl TE  P</t>
  </si>
  <si>
    <t>Jeremy Maclin, PHI</t>
  </si>
  <si>
    <t>WR26</t>
  </si>
  <si>
    <t>AJ McCarron, Cin QB  Q</t>
  </si>
  <si>
    <t>Chris Polk, Phi RB  P</t>
  </si>
  <si>
    <t>Brian Hartline, Mia WR</t>
  </si>
  <si>
    <t>Gary Barnidge, Cle TE</t>
  </si>
  <si>
    <t>RB28</t>
  </si>
  <si>
    <t>Russell Wilson, SEA</t>
  </si>
  <si>
    <t>QB10</t>
  </si>
  <si>
    <t>Drew Stanton, Ari QB</t>
  </si>
  <si>
    <t>Bryce Brown, Buf RB</t>
  </si>
  <si>
    <t>Aaron Dobson, NE WR  P</t>
  </si>
  <si>
    <t>Michael Palmer, Pit TE</t>
  </si>
  <si>
    <t>T.Y. Hilton, IND</t>
  </si>
  <si>
    <t>WR27</t>
  </si>
  <si>
    <t>Chase Daniel, KC QB</t>
  </si>
  <si>
    <t>Jerricho Cotchery, Car WR</t>
  </si>
  <si>
    <t>Logan Paulsen, Wsh TE</t>
  </si>
  <si>
    <t>Stevan Ridley, NE</t>
  </si>
  <si>
    <t>RB29</t>
  </si>
  <si>
    <t>Jordan Cameron, CLE</t>
  </si>
  <si>
    <t>Jordan Palmer, Chi QB</t>
  </si>
  <si>
    <t>Lance Dunbar, Dal RB</t>
  </si>
  <si>
    <t>Kelvin Benjamin, Car WR</t>
  </si>
  <si>
    <t>Adrien Robinson, NYG TE</t>
  </si>
  <si>
    <t>WR28</t>
  </si>
  <si>
    <t>Jimmy Garoppolo, NE QB</t>
  </si>
  <si>
    <t>Jonathan Dwyer, Ari RB</t>
  </si>
  <si>
    <t>Josh Gordon, Cle WR  SSPD</t>
  </si>
  <si>
    <t>James Casey, Phi TE</t>
  </si>
  <si>
    <t>Marques Colston, NO</t>
  </si>
  <si>
    <t>WR29</t>
  </si>
  <si>
    <t>Luke McCown, NO QB</t>
  </si>
  <si>
    <t>Marcel Reece, Oak RB  P</t>
  </si>
  <si>
    <t>Mike Williams, Buf WR</t>
  </si>
  <si>
    <t>Michael Higgins, Min TE</t>
  </si>
  <si>
    <t>Tom Savage, Hou QB</t>
  </si>
  <si>
    <t>Robert Turbin, Sea RB</t>
  </si>
  <si>
    <t>Andre Roberts, Wsh WR</t>
  </si>
  <si>
    <t>Zach Sudfeld, NYJ TE</t>
  </si>
  <si>
    <t>Bishop Sankey, TEN</t>
  </si>
  <si>
    <t>RB30</t>
  </si>
  <si>
    <t>Matt Ryan, ATL</t>
  </si>
  <si>
    <t>QB11</t>
  </si>
  <si>
    <t>Derek Anderson, Car QB</t>
  </si>
  <si>
    <t>Mike Tolbert, Car RB</t>
  </si>
  <si>
    <t>Kenny Britt, StL WR</t>
  </si>
  <si>
    <t>Dion Sims, Mia TE</t>
  </si>
  <si>
    <t>Emmanuel Sanders, DEN</t>
  </si>
  <si>
    <t>WR30</t>
  </si>
  <si>
    <t>Kendall Wright, TEN</t>
  </si>
  <si>
    <t>Dan Orlovsky, Det QB</t>
  </si>
  <si>
    <t>Brandon Bolden, NE RB</t>
  </si>
  <si>
    <t>Jerome Simpson, Min WR  Q</t>
  </si>
  <si>
    <t>Tony Moeaki, Buf TE  P</t>
  </si>
  <si>
    <t>WR31</t>
  </si>
  <si>
    <t>Aaron Murray, KC QB</t>
  </si>
  <si>
    <t>Jonathan Grimes, Hou RB</t>
  </si>
  <si>
    <t>Robert Woods, Buf WR</t>
  </si>
  <si>
    <t>Josh Hill, NO TE</t>
  </si>
  <si>
    <t>Jason Witten, DAL</t>
  </si>
  <si>
    <t>Colt McCoy, Wsh QB</t>
  </si>
  <si>
    <t>Bobby Rainey, TB RB</t>
  </si>
  <si>
    <t>Jordan Matthews, Phi WR</t>
  </si>
  <si>
    <t>Luke Stocker, TB TE</t>
  </si>
  <si>
    <t>WR32</t>
  </si>
  <si>
    <t>Tom Brady, NE</t>
  </si>
  <si>
    <t>QB12</t>
  </si>
  <si>
    <t>Landry Jones, Pit QB</t>
  </si>
  <si>
    <t>Stepfan Taylor, Ari RB</t>
  </si>
  <si>
    <t>Andre Holmes, Oak WR</t>
  </si>
  <si>
    <t>Bear Pascoe, Atl TE</t>
  </si>
  <si>
    <t>Pierre Thomas, NO</t>
  </si>
  <si>
    <t>RB31</t>
  </si>
  <si>
    <t>Logan Thomas, Ari QB</t>
  </si>
  <si>
    <t>Jacquizz Rodgers, Atl RB</t>
  </si>
  <si>
    <t>Harry Douglas, Atl WR</t>
  </si>
  <si>
    <t>David Ausberry, Oak TE  Q</t>
  </si>
  <si>
    <t>Sammy Watkins, BUF</t>
  </si>
  <si>
    <t>WR33</t>
  </si>
  <si>
    <t>TE6</t>
  </si>
  <si>
    <t>Tyler Bray, KC QB</t>
  </si>
  <si>
    <t>Jerick McKinnon, Min RB</t>
  </si>
  <si>
    <t>Malcom Floyd, SD WR</t>
  </si>
  <si>
    <t>Chris Gragg, Buf TE</t>
  </si>
  <si>
    <t>Mike Wallace, MIA</t>
  </si>
  <si>
    <t>WR34</t>
  </si>
  <si>
    <t>Zach Mettenberger, Ten QB</t>
  </si>
  <si>
    <t>14/25</t>
  </si>
  <si>
    <t>Benny Cunningham, StL RB</t>
  </si>
  <si>
    <t>Kenbrell Thompkins, NE WR</t>
  </si>
  <si>
    <t>Nick Kasa*, Oak TE  O</t>
  </si>
  <si>
    <t>Maurice Jones-Drew, OAK</t>
  </si>
  <si>
    <t>RB32</t>
  </si>
  <si>
    <t>Brad Sorensen, SD QB</t>
  </si>
  <si>
    <t>Daniel Thomas, Mia RB  P</t>
  </si>
  <si>
    <t>Lance Moore, Pit WR</t>
  </si>
  <si>
    <t>Zach Miller*, Chi TE  IR</t>
  </si>
  <si>
    <t>Eric Decker, NYJ</t>
  </si>
  <si>
    <t>WR35</t>
  </si>
  <si>
    <t>Curtis Painter, NYG QB</t>
  </si>
  <si>
    <t>James White, NE RB</t>
  </si>
  <si>
    <t>Nate Washington, Ten WR</t>
  </si>
  <si>
    <t>Sean McGrath, KC TE</t>
  </si>
  <si>
    <t>Terrance Williams, DAL</t>
  </si>
  <si>
    <t>WR36</t>
  </si>
  <si>
    <t>Cecil Shorts, JAC</t>
  </si>
  <si>
    <t>WR37</t>
  </si>
  <si>
    <t>Fred Jackson, BUF</t>
  </si>
  <si>
    <t>RB33</t>
  </si>
  <si>
    <t>Danny Woodhead, SD</t>
  </si>
  <si>
    <t>Ronnie Hillman, Den RB</t>
  </si>
  <si>
    <t>Marvin Jones*, Cin WR  O</t>
  </si>
  <si>
    <t>Jake Ballard, Ari TE</t>
  </si>
  <si>
    <t>Darren Sproles, PHI</t>
  </si>
  <si>
    <t>RB34</t>
  </si>
  <si>
    <t>Andre Brown, Hou RB</t>
  </si>
  <si>
    <t>Donnie Avery, KC WR</t>
  </si>
  <si>
    <t>Tony Gonzalez, Atl TE</t>
  </si>
  <si>
    <t>DeAngelo Williams, CAR</t>
  </si>
  <si>
    <t>RB35</t>
  </si>
  <si>
    <t>Anquan Boldin, SF</t>
  </si>
  <si>
    <t>Isaiah Crowell, Cle RB</t>
  </si>
  <si>
    <t>Jermaine Kearse, Sea WR</t>
  </si>
  <si>
    <t>Reggie Kelly, FA TE</t>
  </si>
  <si>
    <t>Khiry Robinson, NO</t>
  </si>
  <si>
    <t>RB36</t>
  </si>
  <si>
    <t>WR38</t>
  </si>
  <si>
    <t>Denard Robinson, Jac RB</t>
  </si>
  <si>
    <t>Marlon Brown, Bal WR</t>
  </si>
  <si>
    <t>Jimmy Kleinsasser, FA TE</t>
  </si>
  <si>
    <t>DeAndre Hopkins, HOU</t>
  </si>
  <si>
    <t>WR39</t>
  </si>
  <si>
    <t>Joseph Randle, Dal RB</t>
  </si>
  <si>
    <t>Jeremy Kerley, NYJ WR</t>
  </si>
  <si>
    <t>Desmond Clark, FA TE</t>
  </si>
  <si>
    <t>Lamar Miller, MIA</t>
  </si>
  <si>
    <t>RB37</t>
  </si>
  <si>
    <t>Riley Cooper, PHI</t>
  </si>
  <si>
    <t>WR40</t>
  </si>
  <si>
    <t>Ronnie Brown, SD RB</t>
  </si>
  <si>
    <t>Eddie Royal, SD WR</t>
  </si>
  <si>
    <t>Anthony Becht, FA TE</t>
  </si>
  <si>
    <t>Matt Asiata, Min RB</t>
  </si>
  <si>
    <t>Ted Ginn, Ari WR  P</t>
  </si>
  <si>
    <t>Brian Jennings, FA TE</t>
  </si>
  <si>
    <t>Chris Ivory, NYJ</t>
  </si>
  <si>
    <t>RB38</t>
  </si>
  <si>
    <t>Danny Amendola, NE</t>
  </si>
  <si>
    <t>WR41</t>
  </si>
  <si>
    <t>Bilal Powell, NYJ RB</t>
  </si>
  <si>
    <t>Nate Burleson, Cle WR  P</t>
  </si>
  <si>
    <t>Justin Snow, FA TE</t>
  </si>
  <si>
    <t>RB39</t>
  </si>
  <si>
    <t>Greg Jennings, MIN</t>
  </si>
  <si>
    <t>WR42</t>
  </si>
  <si>
    <t>Shaun Draughn, Chi RB</t>
  </si>
  <si>
    <t>Jerrel Jernigan, NYG WR</t>
  </si>
  <si>
    <t>Todd Heap, FA TE</t>
  </si>
  <si>
    <t>Knowshon Moreno, MIA</t>
  </si>
  <si>
    <t>RB40</t>
  </si>
  <si>
    <t>Dwayne Bowe, KC</t>
  </si>
  <si>
    <t>WR43</t>
  </si>
  <si>
    <t>Mike James, TB RB  Q</t>
  </si>
  <si>
    <t>Jarvis Landry, Mia WR</t>
  </si>
  <si>
    <t>Alge Crumpler, FA TE</t>
  </si>
  <si>
    <t>Travaris Cadet, NO RB</t>
  </si>
  <si>
    <t>Chris Givens, StL WR</t>
  </si>
  <si>
    <t>Brandon Manumaleuna, FA TE</t>
  </si>
  <si>
    <t>Steve Smith, BAL</t>
  </si>
  <si>
    <t>WR44</t>
  </si>
  <si>
    <t>Storm Johnson, Jac RB</t>
  </si>
  <si>
    <t>Davante Adams, GB WR</t>
  </si>
  <si>
    <t>Tony Stewart, FA TE</t>
  </si>
  <si>
    <t>Mike Evans, TB</t>
  </si>
  <si>
    <t>WR45</t>
  </si>
  <si>
    <t>Lorenzo Taliaferro, Bal RB</t>
  </si>
  <si>
    <t>Greg Little, Oak WR</t>
  </si>
  <si>
    <t>David Martin, FA TE</t>
  </si>
  <si>
    <t>Hakeem Nicks, IND</t>
  </si>
  <si>
    <t>WR46</t>
  </si>
  <si>
    <t>De'Anthony Thomas, KC RB</t>
  </si>
  <si>
    <t>Cole Beasley, Dal WR</t>
  </si>
  <si>
    <t>Jeremy Shockey, FA TE</t>
  </si>
  <si>
    <t>Seattle Seahawks D/ST</t>
  </si>
  <si>
    <t>DEF1</t>
  </si>
  <si>
    <t>Tony Romo, DAL</t>
  </si>
  <si>
    <t>QB13</t>
  </si>
  <si>
    <t>Theo Riddick, Det RB</t>
  </si>
  <si>
    <t>Jason Avant, Car WR</t>
  </si>
  <si>
    <t>Daniel Graham, FA TE</t>
  </si>
  <si>
    <t>Peyton Hillis, NYG RB  Q</t>
  </si>
  <si>
    <t>Miles Austin, Cle WR</t>
  </si>
  <si>
    <t>Chris Baker, FA TE</t>
  </si>
  <si>
    <t>James Jones, OAK</t>
  </si>
  <si>
    <t>WR47</t>
  </si>
  <si>
    <t>Ryan Williams, Dal RB</t>
  </si>
  <si>
    <t>Allen Robinson, Jac WR  Q</t>
  </si>
  <si>
    <t>Justin Peelle, FA TE</t>
  </si>
  <si>
    <t>Marcus Lattimore, SF RB  Q</t>
  </si>
  <si>
    <t>Martavis Bryant, Pit WR</t>
  </si>
  <si>
    <t>Randy McMichael, FA TE</t>
  </si>
  <si>
    <t>Shonn Greene, TEN</t>
  </si>
  <si>
    <t>RB41</t>
  </si>
  <si>
    <t>Dennis Pitta, BAL</t>
  </si>
  <si>
    <t>TE7</t>
  </si>
  <si>
    <t>Lache Seastrunk, Wsh RB</t>
  </si>
  <si>
    <t>Mohamed Sanu, Cin WR</t>
  </si>
  <si>
    <t>Robert Royal, FA TE</t>
  </si>
  <si>
    <t>Darren McFadden, OAK</t>
  </si>
  <si>
    <t>RB42</t>
  </si>
  <si>
    <t>Edwin Baker, Cle RB</t>
  </si>
  <si>
    <t>Vincent Brown, SD WR  Q</t>
  </si>
  <si>
    <t>John Gilmore, FA TE</t>
  </si>
  <si>
    <t>Greg Olsen, CAR</t>
  </si>
  <si>
    <t>Philip Rivers, SD</t>
  </si>
  <si>
    <t>QB14</t>
  </si>
  <si>
    <t>Kenjon Barner, Car RB</t>
  </si>
  <si>
    <t>Ace Sanders, Jac WR  SSPD</t>
  </si>
  <si>
    <t>Dallas Clark, Bal TE</t>
  </si>
  <si>
    <t>Bernard Pierce, BAL</t>
  </si>
  <si>
    <t>RB43</t>
  </si>
  <si>
    <t>TE8</t>
  </si>
  <si>
    <t>Dan Herron, Ind RB</t>
  </si>
  <si>
    <t>Cody Latimer, Den WR</t>
  </si>
  <si>
    <t>Visanthe Shiancoe, Ten TE</t>
  </si>
  <si>
    <t>Justin Forsett, Bal RB</t>
  </si>
  <si>
    <t>John Brown, Ari WR</t>
  </si>
  <si>
    <t>Donald Lee, FA TE</t>
  </si>
  <si>
    <t>Mark Ingram, NO</t>
  </si>
  <si>
    <t>RB44</t>
  </si>
  <si>
    <t>Dion Lewis, Cle RB</t>
  </si>
  <si>
    <t>Jacoby Jones, Bal WR</t>
  </si>
  <si>
    <t>Will Heller, FA TE</t>
  </si>
  <si>
    <t>Christine Michael, SEA</t>
  </si>
  <si>
    <t>RB45</t>
  </si>
  <si>
    <t>Justin Hunter, TEN</t>
  </si>
  <si>
    <t>WR48</t>
  </si>
  <si>
    <t>DuJuan Harris, GB RB</t>
  </si>
  <si>
    <t>Josh Boyce, NE WR</t>
  </si>
  <si>
    <t>Kellen Winslow, NYJ TE</t>
  </si>
  <si>
    <t>Donald Brown, SD</t>
  </si>
  <si>
    <t>RB46</t>
  </si>
  <si>
    <t>Mike Gillislee, Mia RB  P</t>
  </si>
  <si>
    <t>David Nelson, NYJ WR</t>
  </si>
  <si>
    <t>Benjamin Watson, NO TE</t>
  </si>
  <si>
    <t>Jordan Reed, WAS</t>
  </si>
  <si>
    <t>TE9</t>
  </si>
  <si>
    <t>Cierre Wood, Bal RB</t>
  </si>
  <si>
    <t>Kris Durham, Det WR</t>
  </si>
  <si>
    <t>Kris Wilson, FA TE</t>
  </si>
  <si>
    <t>Markus Wheaton, PIT</t>
  </si>
  <si>
    <t>WR49</t>
  </si>
  <si>
    <t>Dri Archer, Pit RB</t>
  </si>
  <si>
    <t>Ryan Broyles, Det WR</t>
  </si>
  <si>
    <t>Ben Hartsock, NE TE</t>
  </si>
  <si>
    <t>Jeremy Hill, CIN</t>
  </si>
  <si>
    <t>RB47</t>
  </si>
  <si>
    <t>Jarrett Boykin, GB</t>
  </si>
  <si>
    <t>WR50</t>
  </si>
  <si>
    <t>Chris Thompson, Wsh RB  P</t>
  </si>
  <si>
    <t>A.J. Jenkins, KC WR</t>
  </si>
  <si>
    <t>Chris Cooley, FA TE</t>
  </si>
  <si>
    <t>Jay Cutler, CHI</t>
  </si>
  <si>
    <t>QB15</t>
  </si>
  <si>
    <t>Daryl Richardson, NYJ RB</t>
  </si>
  <si>
    <t>Josh Morgan, Chi WR</t>
  </si>
  <si>
    <t>Ernest Wilford, FA TE</t>
  </si>
  <si>
    <t>Terrance West, CLE</t>
  </si>
  <si>
    <t>RB48</t>
  </si>
  <si>
    <t>Mikel Leshoure, Det RB</t>
  </si>
  <si>
    <t>Chris Owusu, TB WR</t>
  </si>
  <si>
    <t>Jeff Dugan, FA TE</t>
  </si>
  <si>
    <t>Kyle Rudolph, MIN</t>
  </si>
  <si>
    <t>TE10</t>
  </si>
  <si>
    <t>LaMichael James, SF RB  Q</t>
  </si>
  <si>
    <t>Stephen Hill, NYJ WR</t>
  </si>
  <si>
    <t>Alex Smith, Cin TE</t>
  </si>
  <si>
    <t>LeGarrette Blount, PIT</t>
  </si>
  <si>
    <t>RB49</t>
  </si>
  <si>
    <t>Isaiah Pead*, StL RB  O</t>
  </si>
  <si>
    <t>DeVier Posey, Hou WR</t>
  </si>
  <si>
    <t>Bo Scaife, FA TE</t>
  </si>
  <si>
    <t>Rueben Randle, NYG</t>
  </si>
  <si>
    <t>WR51</t>
  </si>
  <si>
    <t>Michael Cox, NYG RB</t>
  </si>
  <si>
    <t>Marquise Goodwin, Buf WR  P</t>
  </si>
  <si>
    <t>Joel Dreessen, Den TE</t>
  </si>
  <si>
    <t>Martellus Bennett, CHI</t>
  </si>
  <si>
    <t>TE11</t>
  </si>
  <si>
    <t>Chris Ogbonnaya, Cle RB</t>
  </si>
  <si>
    <t>Dwayne Harris, Dal WR</t>
  </si>
  <si>
    <t>Billy Bajema, Bal TE</t>
  </si>
  <si>
    <t>San Francisco 49ers D/ST</t>
  </si>
  <si>
    <t>DEF3</t>
  </si>
  <si>
    <t>Antone Smith, Atl RB</t>
  </si>
  <si>
    <t>Austin Pettis, StL WR</t>
  </si>
  <si>
    <t>Stephen Spach, FA TE</t>
  </si>
  <si>
    <t>Ben Roethlisberger, PIT</t>
  </si>
  <si>
    <t>QB16</t>
  </si>
  <si>
    <t>Charles Sims*, TB RB  O</t>
  </si>
  <si>
    <t>Andre Caldwell, Den WR</t>
  </si>
  <si>
    <t>J.P. Foschi, FA TE</t>
  </si>
  <si>
    <t>Carlos Hyde, SF</t>
  </si>
  <si>
    <t>RB50</t>
  </si>
  <si>
    <t>Marion Grice, SD RB</t>
  </si>
  <si>
    <t>Travis Benjamin, Cle WR  P</t>
  </si>
  <si>
    <t>Tony Curtis, FA TE</t>
  </si>
  <si>
    <t>Tre Mason, STL</t>
  </si>
  <si>
    <t>RB51</t>
  </si>
  <si>
    <t>Andrew Hawkins, CLE</t>
  </si>
  <si>
    <t>WR52</t>
  </si>
  <si>
    <t>Dennis Johnson, Hou RB</t>
  </si>
  <si>
    <t>Robert Meachem, NO WR</t>
  </si>
  <si>
    <t>Tory Humphrey*, FA TE  IR</t>
  </si>
  <si>
    <t>Denver Broncos D/ST</t>
  </si>
  <si>
    <t>DEF4</t>
  </si>
  <si>
    <t>David Wilson*, NYG RB  IR</t>
  </si>
  <si>
    <t>Mike Brown, Jac WR</t>
  </si>
  <si>
    <t>Tony Scheffler, Det TE  Q</t>
  </si>
  <si>
    <t>James Starks, GB</t>
  </si>
  <si>
    <t>RB52</t>
  </si>
  <si>
    <t>Delanie Walker, TEN</t>
  </si>
  <si>
    <t>TE12</t>
  </si>
  <si>
    <t>Knile Davis, KC</t>
  </si>
  <si>
    <t>RB53</t>
  </si>
  <si>
    <t>Andy Dalton, CIN</t>
  </si>
  <si>
    <t>QB17</t>
  </si>
  <si>
    <t>Kendall Hunter*, SF RB  IR</t>
  </si>
  <si>
    <t>Joe Morgan, NO WR</t>
  </si>
  <si>
    <t>C.J. Anderson, DEN</t>
  </si>
  <si>
    <t>RB54</t>
  </si>
  <si>
    <t>Brandin Cooks, NO</t>
  </si>
  <si>
    <t>WR53</t>
  </si>
  <si>
    <t>Vick Ballard*, Ind RB  O</t>
  </si>
  <si>
    <t>Quinton Patton, SF WR</t>
  </si>
  <si>
    <t>Roy Helu, WAS</t>
  </si>
  <si>
    <t>RB55</t>
  </si>
  <si>
    <t>Louis Murphy, TB WR</t>
  </si>
  <si>
    <t>Andre Williams, NYG</t>
  </si>
  <si>
    <t>RB56</t>
  </si>
  <si>
    <t>Charles Clay, MIA</t>
  </si>
  <si>
    <t>TE13</t>
  </si>
  <si>
    <t>Tyler Gaffney*, NE RB  O</t>
  </si>
  <si>
    <t>Paul Richardson, Sea WR</t>
  </si>
  <si>
    <t>Jonathan Stewart, CAR</t>
  </si>
  <si>
    <t>RB57</t>
  </si>
  <si>
    <t>Tavon Austin, STL</t>
  </si>
  <si>
    <t>WR54</t>
  </si>
  <si>
    <t>Johnathan Franklin*, GB RB  O</t>
  </si>
  <si>
    <t>Donte Moncrief, Ind WR</t>
  </si>
  <si>
    <t>Brian Hartline, MIA</t>
  </si>
  <si>
    <t>WR55</t>
  </si>
  <si>
    <t>Mike Sellers, FA RB</t>
  </si>
  <si>
    <t>Da'Rick Rogers, Ind WR</t>
  </si>
  <si>
    <t>Kevin Faulk, FA RB</t>
  </si>
  <si>
    <t>Jarius Wright, Min WR  P</t>
  </si>
  <si>
    <t>Doug Baldwin, SEA</t>
  </si>
  <si>
    <t>WR56</t>
  </si>
  <si>
    <t>Thomas Jones, FA RB</t>
  </si>
  <si>
    <t>Marquess Wilson*, Chi WR  O</t>
  </si>
  <si>
    <t>Devonta Freeman, ATL</t>
  </si>
  <si>
    <t>RB58</t>
  </si>
  <si>
    <t>Zach Ertz, PHI</t>
  </si>
  <si>
    <t>TE14</t>
  </si>
  <si>
    <t>Sammy Morris, FA RB</t>
  </si>
  <si>
    <t>Santana Moss, Wsh WR</t>
  </si>
  <si>
    <t>Eli Manning, NYG</t>
  </si>
  <si>
    <t>QB18</t>
  </si>
  <si>
    <t>LaDainian Tomlinson, FA RB</t>
  </si>
  <si>
    <t>Brandon Gibson, Mia WR</t>
  </si>
  <si>
    <t>Steve Johnson, SF</t>
  </si>
  <si>
    <t>WR57</t>
  </si>
  <si>
    <t>Moran Norris, FA RB</t>
  </si>
  <si>
    <t>Mike Thomas, Hou WR</t>
  </si>
  <si>
    <t>Carolina Panthers D/ST</t>
  </si>
  <si>
    <t>DEF2</t>
  </si>
  <si>
    <t>Jerricho Cotchery, CAR</t>
  </si>
  <si>
    <t>WR58</t>
  </si>
  <si>
    <t>Correll Buckhalter, FA RB</t>
  </si>
  <si>
    <t>Dane Sanzenbacher, Cin WR</t>
  </si>
  <si>
    <t>Chris Taylor, FA RB</t>
  </si>
  <si>
    <t>Brandon Lloyd, SF WR</t>
  </si>
  <si>
    <t>Brandon LaFell, NE</t>
  </si>
  <si>
    <t>WR59</t>
  </si>
  <si>
    <t>Dominic Rhodes, FA RB</t>
  </si>
  <si>
    <t>Tavarres King, Car WR</t>
  </si>
  <si>
    <t>Arizona Cardinals D/ST</t>
  </si>
  <si>
    <t>DEF5</t>
  </si>
  <si>
    <t>Clinton Portis, FA RB</t>
  </si>
  <si>
    <t>Darrius Heyward-Bey, Pit WR</t>
  </si>
  <si>
    <t>Maurice Morris, FA RB</t>
  </si>
  <si>
    <t>Tiquan Underwood, Car WR</t>
  </si>
  <si>
    <t>Mike Williams, BUF</t>
  </si>
  <si>
    <t>WR60</t>
  </si>
  <si>
    <t>Ladell Betts, FA RB</t>
  </si>
  <si>
    <t>Bruce Ellington, SF WR</t>
  </si>
  <si>
    <t>Cincinnati Bengals D/ST</t>
  </si>
  <si>
    <t>DEF6</t>
  </si>
  <si>
    <t>Brian Westbrook, FA RB</t>
  </si>
  <si>
    <t>Santonio Holmes, NYJ WR</t>
  </si>
  <si>
    <t>St. Louis Rams D/ST</t>
  </si>
  <si>
    <t>DEF7</t>
  </si>
  <si>
    <t>Antonio Gates, SD</t>
  </si>
  <si>
    <t>TE15</t>
  </si>
  <si>
    <t>Rock Cartwright, FA RB</t>
  </si>
  <si>
    <t>Mario Manningham, NYG WR</t>
  </si>
  <si>
    <t>Kansas City Chiefs D/ST</t>
  </si>
  <si>
    <t>DEF8</t>
  </si>
  <si>
    <t>Chester Taylor, FA RB</t>
  </si>
  <si>
    <t>Devin Hester, Atl WR</t>
  </si>
  <si>
    <t>Carson Palmer, ARI</t>
  </si>
  <si>
    <t>QB19</t>
  </si>
  <si>
    <t>Corey McIntyre, FA RB</t>
  </si>
  <si>
    <t>Stedman Bailey, StL WR  SSPD</t>
  </si>
  <si>
    <t>Jason McKie, FA RB</t>
  </si>
  <si>
    <t>Leonard Hankerson*, Wsh WR  O</t>
  </si>
  <si>
    <t>New England Patriots D/ST</t>
  </si>
  <si>
    <t>DEF9</t>
  </si>
  <si>
    <t>Willis McGahee, Cle RB</t>
  </si>
  <si>
    <t>Brian Quick, StL WR</t>
  </si>
  <si>
    <t>Buffalo Bills D/ST</t>
  </si>
  <si>
    <t>DEF10</t>
  </si>
  <si>
    <t>Larry Johnson, FA RB</t>
  </si>
  <si>
    <t>Junior Hemingway, KC WR  P</t>
  </si>
  <si>
    <t>Ahmad Bradshaw, IND</t>
  </si>
  <si>
    <t>RB59</t>
  </si>
  <si>
    <t>Ovie Mughelli, FA RB</t>
  </si>
  <si>
    <t>Rishard Matthews, Mia WR</t>
  </si>
  <si>
    <t>Matt Prater, DEN</t>
  </si>
  <si>
    <t>Earnest Graham, FA RB</t>
  </si>
  <si>
    <t>Jacoby Ford, NYJ WR</t>
  </si>
  <si>
    <t>Stephen Gostkowski, NE</t>
  </si>
  <si>
    <t>Kevin Jones, FA RB</t>
  </si>
  <si>
    <t>Michael Preston, Ten WR  P</t>
  </si>
  <si>
    <t>Justin Tucker, BAL</t>
  </si>
  <si>
    <t>Julius Jones, FA RB</t>
  </si>
  <si>
    <t>Shaq Evans, NYJ WR</t>
  </si>
  <si>
    <t>Mason Crosby, GB</t>
  </si>
  <si>
    <t>K4</t>
  </si>
  <si>
    <t>Greg Jones, Hou RB</t>
  </si>
  <si>
    <t>LaVon Brazill, Ind WR  SSPD</t>
  </si>
  <si>
    <t>Steven Hauschka, SEA</t>
  </si>
  <si>
    <t>K5</t>
  </si>
  <si>
    <t>Mewelde Moore, FA RB</t>
  </si>
  <si>
    <t>Justin Blackmon, Jac WR  SSPD</t>
  </si>
  <si>
    <t>Phil Dawson, SF</t>
  </si>
  <si>
    <t>K6</t>
  </si>
  <si>
    <t>Michael Turner, FA RB</t>
  </si>
  <si>
    <t>Sidney Rice, Sea WR</t>
  </si>
  <si>
    <t>Nick Novak, SD</t>
  </si>
  <si>
    <t>K7</t>
  </si>
  <si>
    <t>Mike Karney, FA RB</t>
  </si>
  <si>
    <t>Terrell Owens, FA WR</t>
  </si>
  <si>
    <t>Adam Vinatieri, IND</t>
  </si>
  <si>
    <t>K8</t>
  </si>
  <si>
    <t>Derrick Ward, FA RB</t>
  </si>
  <si>
    <t>Randy Moss, FA WR</t>
  </si>
  <si>
    <t>Blair Walsh, MIN</t>
  </si>
  <si>
    <t>K9</t>
  </si>
  <si>
    <t>Lousaka Polite, FA RB</t>
  </si>
  <si>
    <t>Brandon Stokley, Bal WR</t>
  </si>
  <si>
    <t>Dan Bailey, DAL</t>
  </si>
  <si>
    <t>K10</t>
  </si>
  <si>
    <t>Vonta Leach, Bal RB</t>
  </si>
  <si>
    <t>Donald Driver, FA WR</t>
  </si>
  <si>
    <t>Denarius Moore, OAK</t>
  </si>
  <si>
    <t>WR61</t>
  </si>
  <si>
    <t>Cedric Benson, FA RB</t>
  </si>
  <si>
    <t>Brian Finneran, FA WR</t>
  </si>
  <si>
    <t>Cadillac Williams, FA RB</t>
  </si>
  <si>
    <t>Plaxico Burress, Pit WR  P</t>
  </si>
  <si>
    <t>Jordan Todman, JAC</t>
  </si>
  <si>
    <t>RB60</t>
  </si>
  <si>
    <t>Ladarius Green, SD</t>
  </si>
  <si>
    <t>TE16</t>
  </si>
  <si>
    <t>Brandon Jacobs, NYG RB  Q</t>
  </si>
  <si>
    <t>Chad Johnson, FA WR</t>
  </si>
  <si>
    <t>Latavius Murray, OAK</t>
  </si>
  <si>
    <t>RB61</t>
  </si>
  <si>
    <t>Aaron Dobson, NE</t>
  </si>
  <si>
    <t>WR62</t>
  </si>
  <si>
    <t>Madison Hedgecock, FA RB</t>
  </si>
  <si>
    <t>Chris Chambers, FA WR</t>
  </si>
  <si>
    <t>Kelvin Benjamin, CAR</t>
  </si>
  <si>
    <t>WR63</t>
  </si>
  <si>
    <t>Leonard Weaver, FA RB</t>
  </si>
  <si>
    <t>T.J. Houshmandzadeh, FA WR</t>
  </si>
  <si>
    <t>Ka'Deem Carey, CHI</t>
  </si>
  <si>
    <t>RB62</t>
  </si>
  <si>
    <t>Heath Miller, PIT</t>
  </si>
  <si>
    <t>TE17</t>
  </si>
  <si>
    <t>Josh McCown, TB</t>
  </si>
  <si>
    <t>QB20</t>
  </si>
  <si>
    <t>BenJarvus Green-Ellis, CIN</t>
  </si>
  <si>
    <t>RB63</t>
  </si>
  <si>
    <t>Marqise Lee, JAC</t>
  </si>
  <si>
    <t>WR64</t>
  </si>
  <si>
    <t>Rod Streater, OAK</t>
  </si>
  <si>
    <t>WR65</t>
  </si>
  <si>
    <t>Chris Polk, PHI</t>
  </si>
  <si>
    <t>RB64</t>
  </si>
  <si>
    <t>Coby Fleener, IND</t>
  </si>
  <si>
    <t>TE18</t>
  </si>
  <si>
    <t>Bryce Brown, BUF</t>
  </si>
  <si>
    <t>RB65</t>
  </si>
  <si>
    <t>Kenny Stills, NO</t>
  </si>
  <si>
    <t>WR66</t>
  </si>
  <si>
    <t>Joe Flacco, BAL</t>
  </si>
  <si>
    <t>QB21</t>
  </si>
  <si>
    <t>Dexter McCluster, TEN</t>
  </si>
  <si>
    <t>RB66</t>
  </si>
  <si>
    <t>Odell Beckham, NYG</t>
  </si>
  <si>
    <t>WR67</t>
  </si>
  <si>
    <t>Eric Ebron, DET</t>
  </si>
  <si>
    <t>TE19</t>
  </si>
  <si>
    <t>Ryan Tannehill, MIA</t>
  </si>
  <si>
    <t>QB22</t>
  </si>
  <si>
    <t>Tyler Eifert, CIN</t>
  </si>
  <si>
    <t>TE20</t>
  </si>
  <si>
    <t>Lance Dunbar, DAL</t>
  </si>
  <si>
    <t>RB67</t>
  </si>
  <si>
    <t>Harry Douglas, ATL</t>
  </si>
  <si>
    <t>WR68</t>
  </si>
  <si>
    <t>Johnny Manziel, CLE</t>
  </si>
  <si>
    <t>QB23</t>
  </si>
  <si>
    <t>Andre Roberts, WAS</t>
  </si>
  <si>
    <t>WR69</t>
  </si>
  <si>
    <t>Jonathan Dwyer, ARI</t>
  </si>
  <si>
    <t>RB68</t>
  </si>
  <si>
    <t>Jared Cook, STL</t>
  </si>
  <si>
    <t>TE21</t>
  </si>
  <si>
    <t>Alex Smith, KC</t>
  </si>
  <si>
    <t>QB24</t>
  </si>
  <si>
    <t>Marcel Reece, OAK</t>
  </si>
  <si>
    <t>RB69</t>
  </si>
  <si>
    <t>Malcom Floyd, SD</t>
  </si>
  <si>
    <t>WR70</t>
  </si>
  <si>
    <t>Jerome Simpson, MIN</t>
  </si>
  <si>
    <t>WR71</t>
  </si>
  <si>
    <t>Robert Turbin, SEA</t>
  </si>
  <si>
    <t>RB70</t>
  </si>
  <si>
    <t>Donnie Avery, KC</t>
  </si>
  <si>
    <t>WR72</t>
  </si>
  <si>
    <t>Dwayne Allen, IND</t>
  </si>
  <si>
    <t>TE22</t>
  </si>
  <si>
    <t>Tampa Bay Buccaneers D/ST</t>
  </si>
  <si>
    <t>DEF11</t>
  </si>
  <si>
    <t>Kenny Britt, STL</t>
  </si>
  <si>
    <t>WR73</t>
  </si>
  <si>
    <t>New Orleans Saints D/ST</t>
  </si>
  <si>
    <t>DEF12</t>
  </si>
  <si>
    <t>Nick Folk, NYJ</t>
  </si>
  <si>
    <t>K11</t>
  </si>
  <si>
    <t>Lance Moore, PIT</t>
  </si>
  <si>
    <t>WR74</t>
  </si>
  <si>
    <t>Robbie Gould, CHI</t>
  </si>
  <si>
    <t>K12</t>
  </si>
  <si>
    <t>Mike Tolbert, CAR</t>
  </si>
  <si>
    <t>RB71</t>
  </si>
  <si>
    <t>Ryan Griffin, HOU</t>
  </si>
  <si>
    <t>TE23</t>
  </si>
  <si>
    <t>Robert Woods, BUF</t>
  </si>
  <si>
    <t>WR75</t>
  </si>
  <si>
    <t>Austin Seferian-Jenkins, TB</t>
  </si>
  <si>
    <t>TE24</t>
  </si>
  <si>
    <t>Brandon Bolden, NE</t>
  </si>
  <si>
    <t>RB72</t>
  </si>
  <si>
    <t>Jeremy Kerley, NYJ</t>
  </si>
  <si>
    <t>WR76</t>
  </si>
  <si>
    <t>Josh Gordon, CLE</t>
  </si>
  <si>
    <t>Jonathan Grimes, HOU</t>
  </si>
  <si>
    <t>RB73</t>
  </si>
  <si>
    <t>Marvin Jones, CIN</t>
  </si>
  <si>
    <t>WR77</t>
  </si>
  <si>
    <t>Owen Daniels, BAL</t>
  </si>
  <si>
    <t>TE25</t>
  </si>
  <si>
    <t>Bobby Rainey, TB</t>
  </si>
  <si>
    <t>RB74</t>
  </si>
  <si>
    <t>Houston Texans D/ST</t>
  </si>
  <si>
    <t>DEF13</t>
  </si>
  <si>
    <t>Stepfan Taylor, ARI</t>
  </si>
  <si>
    <t>RB75</t>
  </si>
  <si>
    <t>Jordan Matthews, PHI</t>
  </si>
  <si>
    <t>WR78</t>
  </si>
  <si>
    <t>Jacquizz Rodgers, ATL</t>
  </si>
  <si>
    <t>RB76</t>
  </si>
  <si>
    <t>Jerick McKinnon, MIN</t>
  </si>
  <si>
    <t>RB77</t>
  </si>
  <si>
    <t>#N/A:explicit</t>
  </si>
  <si>
    <t>RB78</t>
  </si>
  <si>
    <t>Mychal Rivera, OAK</t>
  </si>
  <si>
    <t>TE26</t>
  </si>
  <si>
    <t>Benny Cunningham, STL</t>
  </si>
  <si>
    <t>RB79</t>
  </si>
  <si>
    <t>Baltimore Ravens D/ST</t>
  </si>
  <si>
    <t>DEF14</t>
  </si>
  <si>
    <t>Kenbrell Thompkins, NE</t>
  </si>
  <si>
    <t>WR79</t>
  </si>
  <si>
    <t>Daniel Thomas, MIA</t>
  </si>
  <si>
    <t>RB80</t>
  </si>
  <si>
    <t>Jace Amaro, NYJ</t>
  </si>
  <si>
    <t>TE27</t>
  </si>
  <si>
    <t>Nate Washington, TEN</t>
  </si>
  <si>
    <t>WR80</t>
  </si>
  <si>
    <t>EJ Manuel, BUF</t>
  </si>
  <si>
    <t>QB25</t>
  </si>
  <si>
    <t>WR81</t>
  </si>
  <si>
    <t>James White, NE</t>
  </si>
  <si>
    <t>RB81</t>
  </si>
  <si>
    <t>Andrew Quarless, GB</t>
  </si>
  <si>
    <t>TE28</t>
  </si>
  <si>
    <t>Andre Holmes, OAK</t>
  </si>
  <si>
    <t>WR82</t>
  </si>
  <si>
    <t>Chris Givens, STL</t>
  </si>
  <si>
    <t>WR83</t>
  </si>
  <si>
    <t>Ronnie Hillman, DEN</t>
  </si>
  <si>
    <t>RB82</t>
  </si>
  <si>
    <t>Scott Chandler, BUF</t>
  </si>
  <si>
    <t>TE29</t>
  </si>
  <si>
    <t>Jermaine Kearse, SEA</t>
  </si>
  <si>
    <t>WR84</t>
  </si>
  <si>
    <t>Garrett Graham, HOU</t>
  </si>
  <si>
    <t>TE30</t>
  </si>
  <si>
    <t>Andre Brown, FA</t>
  </si>
  <si>
    <t>RB83</t>
  </si>
  <si>
    <t>Isaiah Crowell, CLE</t>
  </si>
  <si>
    <t>RB84</t>
  </si>
  <si>
    <t>Eddie Royal, SD</t>
  </si>
  <si>
    <t>WR85</t>
  </si>
  <si>
    <t>Cleveland Browns D/ST</t>
  </si>
  <si>
    <t>DEF15</t>
  </si>
  <si>
    <t>Denard Robinson, JAC</t>
  </si>
  <si>
    <t>RB85</t>
  </si>
  <si>
    <t>Marlon Brown, BAL</t>
  </si>
  <si>
    <t>WR86</t>
  </si>
  <si>
    <t>Nate Burleson, CLE</t>
  </si>
  <si>
    <t>WR87</t>
  </si>
  <si>
    <t>Joseph Randle, DAL</t>
  </si>
  <si>
    <t>RB86</t>
  </si>
  <si>
    <t>Sam Bradford, STL</t>
  </si>
  <si>
    <t>QB26</t>
  </si>
  <si>
    <t>Ronnie Brown, HOU</t>
  </si>
  <si>
    <t>RB87</t>
  </si>
  <si>
    <t>Shayne Graham, NO</t>
  </si>
  <si>
    <t>K13</t>
  </si>
  <si>
    <t>Pittsburgh Steelers D/ST</t>
  </si>
  <si>
    <t>DEF16</t>
  </si>
  <si>
    <t>Matt Asiata, MIN</t>
  </si>
  <si>
    <t>RB88</t>
  </si>
  <si>
    <t>Bilal Powell, NYJ</t>
  </si>
  <si>
    <t>RB89</t>
  </si>
  <si>
    <t>Jermaine Gresham, CIN</t>
  </si>
  <si>
    <t>TE31</t>
  </si>
  <si>
    <t>Ted Ginn, ARI</t>
  </si>
  <si>
    <t>WR88</t>
  </si>
  <si>
    <t>Shaun Draughn, CHI</t>
  </si>
  <si>
    <t>RB90</t>
  </si>
  <si>
    <t>Marcedes Lewis, JAC</t>
  </si>
  <si>
    <t>TE32</t>
  </si>
  <si>
    <t>Mike James, TB</t>
  </si>
  <si>
    <t>RB91</t>
  </si>
  <si>
    <t>Mohamed Sanu, CIN</t>
  </si>
  <si>
    <t>WR89</t>
  </si>
  <si>
    <t>Matt Bryant, ATL</t>
  </si>
  <si>
    <t>K14</t>
  </si>
  <si>
    <t>Travaris Cadet, NO</t>
  </si>
  <si>
    <t>RB92</t>
  </si>
  <si>
    <t>Jarvis Landry, MIA</t>
  </si>
  <si>
    <t>WR90</t>
  </si>
  <si>
    <t>New York Giants D/ST</t>
  </si>
  <si>
    <t>DEF17</t>
  </si>
  <si>
    <t>Storm Johnson, JAC</t>
  </si>
  <si>
    <t>RB93</t>
  </si>
  <si>
    <t>Geno Smith, NYJ</t>
  </si>
  <si>
    <t>QB27</t>
  </si>
  <si>
    <t>Lorenzo Taliaferro, BAL</t>
  </si>
  <si>
    <t>RB94</t>
  </si>
  <si>
    <t>De'Anthony Thomas, KC</t>
  </si>
  <si>
    <t>RB95</t>
  </si>
  <si>
    <t>Alex Henery, PHI</t>
  </si>
  <si>
    <t>K15</t>
  </si>
  <si>
    <t>Jermichael Finley, FA</t>
  </si>
  <si>
    <t>TE33</t>
  </si>
  <si>
    <t>Theo Riddick, DET</t>
  </si>
  <si>
    <t>RB96</t>
  </si>
  <si>
    <t>Peyton Hillis, NYG</t>
  </si>
  <si>
    <t>RB97</t>
  </si>
  <si>
    <t>Cole Beasley, DAL</t>
  </si>
  <si>
    <t>WR91</t>
  </si>
  <si>
    <t>Philadelphia Eagles D/ST</t>
  </si>
  <si>
    <t>DEF18</t>
  </si>
  <si>
    <t>Ryan Williams, DAL</t>
  </si>
  <si>
    <t>RB98</t>
  </si>
  <si>
    <t>Ryan Succop, KC</t>
  </si>
  <si>
    <t>K16</t>
  </si>
  <si>
    <t>Marcus Lattimore, SF</t>
  </si>
  <si>
    <t>RB99</t>
  </si>
  <si>
    <t>Jerrel Jernigan, NYG</t>
  </si>
  <si>
    <t>WR92</t>
  </si>
  <si>
    <t>Jake Locker, TEN</t>
  </si>
  <si>
    <t>QB28</t>
  </si>
  <si>
    <t>Lache Seastrunk, WAS</t>
  </si>
  <si>
    <t>RB100</t>
  </si>
  <si>
    <t>Jason Avant, CAR</t>
  </si>
  <si>
    <t>WR93</t>
  </si>
  <si>
    <t>Graham Gano, CAR</t>
  </si>
  <si>
    <t>K17</t>
  </si>
  <si>
    <t>Detroit Lions D/ST</t>
  </si>
  <si>
    <t>DEF19</t>
  </si>
  <si>
    <t>Davante Adams, GB</t>
  </si>
  <si>
    <t>WR94</t>
  </si>
  <si>
    <t>Edwin Baker, CLE</t>
  </si>
  <si>
    <t>RB101</t>
  </si>
  <si>
    <t>Zach Miller, SEA</t>
  </si>
  <si>
    <t>TE34</t>
  </si>
  <si>
    <t>Greg Little, OAK</t>
  </si>
  <si>
    <t>WR95</t>
  </si>
  <si>
    <t>Mike Nugent, CIN</t>
  </si>
  <si>
    <t>K18</t>
  </si>
  <si>
    <t>Allen Robinson, JAC</t>
  </si>
  <si>
    <t>WR96</t>
  </si>
  <si>
    <t>Kenjon Barner, CAR</t>
  </si>
  <si>
    <t>RB102</t>
  </si>
  <si>
    <t>Brandon Bostick, GB</t>
  </si>
  <si>
    <t>TE35</t>
  </si>
  <si>
    <t>Alfred Blue D/ST</t>
  </si>
  <si>
    <t>RB103</t>
  </si>
  <si>
    <t>Martavis Bryant, PIT</t>
  </si>
  <si>
    <t>WR97</t>
  </si>
  <si>
    <t>Dan Herron, IND</t>
  </si>
  <si>
    <t>RB104</t>
  </si>
  <si>
    <t>Miles Austin, CLE</t>
  </si>
  <si>
    <t>WR98</t>
  </si>
  <si>
    <t>Justin Forsett, BAL</t>
  </si>
  <si>
    <t>RB105</t>
  </si>
  <si>
    <t>Dion Lewis, CLE</t>
  </si>
  <si>
    <t>RB106</t>
  </si>
  <si>
    <t>Ace Sanders, JAC</t>
  </si>
  <si>
    <t>WR99</t>
  </si>
  <si>
    <t>Brandon Pettigrew, DET</t>
  </si>
  <si>
    <t>TE36</t>
  </si>
  <si>
    <t>Michael Vick, NYJ</t>
  </si>
  <si>
    <t>QB29</t>
  </si>
  <si>
    <t>Indianapolis Colts D/ST</t>
  </si>
  <si>
    <t>DEF20</t>
  </si>
  <si>
    <t>DuJuan Harris, GB</t>
  </si>
  <si>
    <t>RB107</t>
  </si>
  <si>
    <t>Vincent Brown, SD</t>
  </si>
  <si>
    <t>WR100</t>
  </si>
  <si>
    <t>Mike Gillislee, MIA</t>
  </si>
  <si>
    <t>RB108</t>
  </si>
  <si>
    <t>Travis Kelce, KC</t>
  </si>
  <si>
    <t>TE37</t>
  </si>
  <si>
    <t>Cody Latimer, DEN</t>
  </si>
  <si>
    <t>WR101</t>
  </si>
  <si>
    <t>Branden Oliver, SD</t>
  </si>
  <si>
    <t>RB109</t>
  </si>
  <si>
    <t>Shaun Suisham, PIT</t>
  </si>
  <si>
    <t>K19</t>
  </si>
  <si>
    <t>Cierre Wood, BAL</t>
  </si>
  <si>
    <t>RB110</t>
  </si>
  <si>
    <t>John Brown, ARI</t>
  </si>
  <si>
    <t>WR102</t>
  </si>
  <si>
    <t>Jacoby Jones, BAL</t>
  </si>
  <si>
    <t>WR103</t>
  </si>
  <si>
    <t>Greg Zuerlein, STL</t>
  </si>
  <si>
    <t>K20</t>
  </si>
  <si>
    <t>Matt Schaub, OAK</t>
  </si>
  <si>
    <t>QB30</t>
  </si>
  <si>
    <t>Brent Celek, PHI</t>
  </si>
  <si>
    <t>TE38</t>
  </si>
  <si>
    <t>Dri Archer, PIT</t>
  </si>
  <si>
    <t>RB111</t>
  </si>
  <si>
    <t>A.J. Jenkins, KC</t>
  </si>
  <si>
    <t>WR104</t>
  </si>
  <si>
    <t>Chris Thompson, WAS</t>
  </si>
  <si>
    <t>RB112</t>
  </si>
  <si>
    <t>C.J. Fiedorowicz, HOU</t>
  </si>
  <si>
    <t>TE39</t>
  </si>
  <si>
    <t>Josh Boyce, NE</t>
  </si>
  <si>
    <t>WR105</t>
  </si>
  <si>
    <t>Chad Henne, JAC</t>
  </si>
  <si>
    <t>QB31</t>
  </si>
  <si>
    <t>David Nelson, NYJ</t>
  </si>
  <si>
    <t>WR106</t>
  </si>
  <si>
    <t>Quarterbacks 2014 Standard Stats -- Average</t>
  </si>
  <si>
    <t>Running Backs 2014 Standard Stats -- Average</t>
  </si>
  <si>
    <t>Wide Receivers 2014 Standard Stats -- Average</t>
  </si>
  <si>
    <t>Tight Ends 2014 Standard Stats -- Average</t>
  </si>
  <si>
    <t>Kickers 2014 Standard Stats -- Average</t>
  </si>
  <si>
    <t>Defensive Special Teams 2014 Standard Stats -- Average</t>
  </si>
  <si>
    <t>Misc</t>
  </si>
  <si>
    <t>FG</t>
  </si>
  <si>
    <t>XP</t>
  </si>
  <si>
    <t>FPTS</t>
  </si>
  <si>
    <t>DFR</t>
  </si>
  <si>
    <t>FF</t>
  </si>
  <si>
    <t>SACK</t>
  </si>
  <si>
    <t>TYdA</t>
  </si>
  <si>
    <t>Att</t>
  </si>
  <si>
    <t>Cmp</t>
  </si>
  <si>
    <t>Yd</t>
  </si>
  <si>
    <t>CmpPct</t>
  </si>
  <si>
    <t>YAtt</t>
  </si>
  <si>
    <t>Recpt</t>
  </si>
  <si>
    <t>Seahawks, SEA</t>
  </si>
  <si>
    <t>Cardinals, ARI</t>
  </si>
  <si>
    <t>Panthers, CAR</t>
  </si>
  <si>
    <t>Rams, STL</t>
  </si>
  <si>
    <t>49ers, SF</t>
  </si>
  <si>
    <t>Patriots, NE</t>
  </si>
  <si>
    <t>Broncos, DEN</t>
  </si>
  <si>
    <t>Chiefs, KC</t>
  </si>
  <si>
    <t>Buccaneers, TB</t>
  </si>
  <si>
    <t>Bears, CHI</t>
  </si>
  <si>
    <t>Packers, GB</t>
  </si>
  <si>
    <t>Bills, BUF</t>
  </si>
  <si>
    <t>Bengals, CIN</t>
  </si>
  <si>
    <t>Caleb Sturgis, MIA</t>
  </si>
  <si>
    <t>Steelers, PIT</t>
  </si>
  <si>
    <t>Vikings, MIN</t>
  </si>
  <si>
    <t>Sebastian Janikowski, OAK</t>
  </si>
  <si>
    <t>Ravens, BAL</t>
  </si>
  <si>
    <t>Dan Carpenter, BUF</t>
  </si>
  <si>
    <t>Browns, CLE</t>
  </si>
  <si>
    <t>Jay Feely, ARI</t>
  </si>
  <si>
    <t>Dolphins, MIA</t>
  </si>
  <si>
    <t>Saints, NO</t>
  </si>
  <si>
    <t>Texans, HOU</t>
  </si>
  <si>
    <t>Eagles, PHI</t>
  </si>
  <si>
    <t>Chargers, SD</t>
  </si>
  <si>
    <t>Giants, NYG</t>
  </si>
  <si>
    <t>Josh Brown, NYG</t>
  </si>
  <si>
    <t>Lions, DET</t>
  </si>
  <si>
    <t>Connor Barth, TB</t>
  </si>
  <si>
    <t>Jets, NYJ</t>
  </si>
  <si>
    <t>Jaguars, JAC</t>
  </si>
  <si>
    <t>Teddy Bridgewater, MIN</t>
  </si>
  <si>
    <t>Randy Bullock, HOU</t>
  </si>
  <si>
    <t>Falcons, ATL</t>
  </si>
  <si>
    <t>Josh Scobee, JAC</t>
  </si>
  <si>
    <t>Redskins, WAS</t>
  </si>
  <si>
    <t>Timothy Wright, TB</t>
  </si>
  <si>
    <t>Billy Cundiff, CLE</t>
  </si>
  <si>
    <t>Colts, IND</t>
  </si>
  <si>
    <t>Kai Forbath, WAS</t>
  </si>
  <si>
    <t>Titans, TEN</t>
  </si>
  <si>
    <t>Levine Toilolo, ATL</t>
  </si>
  <si>
    <t>Maikon Bonani, TEN</t>
  </si>
  <si>
    <t>Raiders, OAK</t>
  </si>
  <si>
    <t>Ryan Fitzpatrick, HOU</t>
  </si>
  <si>
    <t>Nate Freese, DET</t>
  </si>
  <si>
    <t>Cowboys, DAL</t>
  </si>
  <si>
    <t>Giorgio Tavecchio, DET</t>
  </si>
  <si>
    <t>Blake Bortles, JAC</t>
  </si>
  <si>
    <t>Dustin Hopkins, BUF</t>
  </si>
  <si>
    <t>Tom Savage, HOU</t>
  </si>
  <si>
    <t>Adrien Robinson, NYG</t>
  </si>
  <si>
    <t>Derek Carr, OAK</t>
  </si>
  <si>
    <t>Jeff Cumberland, NYJ</t>
  </si>
  <si>
    <t>Brian Hoyer, CLE</t>
  </si>
  <si>
    <t>Thad Lewis, BUF</t>
  </si>
  <si>
    <t>Matt Cassel, MIN</t>
  </si>
  <si>
    <t>Kirk Cousins, WAS</t>
  </si>
  <si>
    <t>Anthony Fasano, KC</t>
  </si>
  <si>
    <t>Mike Glennon, TB</t>
  </si>
  <si>
    <t>Ed Dickson, CAR</t>
  </si>
  <si>
    <t>Shaun Hill, STL</t>
  </si>
  <si>
    <t>Lance Kendricks, STL</t>
  </si>
  <si>
    <t>Jordan Palmer, CHI</t>
  </si>
  <si>
    <t>Luke Willson, SEA</t>
  </si>
  <si>
    <t>Zach Mettenberger, TEN</t>
  </si>
  <si>
    <t>Charlie Whitehurst, TEN</t>
  </si>
  <si>
    <t>Mark Sanchez, PHI</t>
  </si>
  <si>
    <t>John Carlson, ARI</t>
  </si>
  <si>
    <t>Derek Anderson, CAR</t>
  </si>
  <si>
    <t>Joseph Fauria, DET</t>
  </si>
  <si>
    <t>Josh Freeman, NYG</t>
  </si>
  <si>
    <t>Rob Housler, ARI</t>
  </si>
  <si>
    <t>Matt Flynn, GB</t>
  </si>
  <si>
    <t>Brandon Myers, TB</t>
  </si>
  <si>
    <t>Blaine Gabbert, SF</t>
  </si>
  <si>
    <t>Gavin Escobar, DAL</t>
  </si>
  <si>
    <t>Brandon Weeden, DAL</t>
  </si>
  <si>
    <t>Matt Moore, MIA</t>
  </si>
  <si>
    <t>Clay Harbor, JAC</t>
  </si>
  <si>
    <t>Jason Campbell, CIN</t>
  </si>
  <si>
    <t>Vance McDonald, SF</t>
  </si>
  <si>
    <t>Brock Osweiler, DEN</t>
  </si>
  <si>
    <t>Jermichael Finley, GB</t>
  </si>
  <si>
    <t>*Pages: 1 2 All*</t>
  </si>
  <si>
    <t>Troy Niklas, ARI</t>
  </si>
  <si>
    <t>Benjamin Watson, NO</t>
  </si>
  <si>
    <t>Tony Moeaki, BUF</t>
  </si>
  <si>
    <t>Logan Paulsen, WAS</t>
  </si>
  <si>
    <t>Jacob Tamme, DEN</t>
  </si>
  <si>
    <t>Zach Sudfeld, NYJ</t>
  </si>
  <si>
    <t>David Ausberry, OAK</t>
  </si>
  <si>
    <t>Dion Sims, MIA</t>
  </si>
  <si>
    <t>Gary Barnidge, CLE</t>
  </si>
  <si>
    <t>Michael Hoomanawanui, NE</t>
  </si>
  <si>
    <t>Virgil Green, DEN</t>
  </si>
  <si>
    <t>Cory Harkey, STL</t>
  </si>
  <si>
    <t>Josh Hill, NO</t>
  </si>
  <si>
    <t>Dante Rosario, CHI</t>
  </si>
  <si>
    <t>Rhett Ellison, MIN</t>
  </si>
  <si>
    <t>Bear Pascoe, ATL</t>
  </si>
  <si>
    <t>Matt Spaeth, PIT</t>
  </si>
  <si>
    <t>James Hanna, DAL</t>
  </si>
  <si>
    <t>James Casey, PHI</t>
  </si>
  <si>
    <t>Anthony McCoy, SEA</t>
  </si>
  <si>
    <t>Jim Dray, CLE</t>
  </si>
  <si>
    <t>Chris Gragg, BUF</t>
  </si>
  <si>
    <t>Arthur Lynch, MIA</t>
  </si>
  <si>
    <t>Nick Kasa, OAK</t>
  </si>
  <si>
    <t>Sean McGrath, KC</t>
  </si>
  <si>
    <t>Larry Donnell, NYG</t>
  </si>
  <si>
    <t>Jake Ballard, ARI</t>
  </si>
  <si>
    <t>Kellen Davis, NYG</t>
  </si>
  <si>
    <t>Crockett Gillmore, BAL</t>
  </si>
  <si>
    <t>Joel Dreessen, DEN</t>
  </si>
  <si>
    <t>Emil Igwenagu, PHI</t>
  </si>
  <si>
    <t>Brian Quick, STL</t>
  </si>
  <si>
    <t>Chase Ford, MIN</t>
  </si>
  <si>
    <t>David Paulson, PIT</t>
  </si>
  <si>
    <t>Taylor Thompson, TEN</t>
  </si>
  <si>
    <t>Lee Smith, BUF</t>
  </si>
  <si>
    <t>John Phillips, SD</t>
  </si>
  <si>
    <t>Austin Pettis, STL</t>
  </si>
  <si>
    <t>Ryan Taylor, GB</t>
  </si>
  <si>
    <t>Alfred Blue, HOU</t>
  </si>
  <si>
    <t>Paul Richardson, SEA</t>
  </si>
  <si>
    <t>Craig Stevens, TEN</t>
  </si>
  <si>
    <t>Demetrius Harris, KC</t>
  </si>
  <si>
    <t>Anthony Dixon, BUF</t>
  </si>
  <si>
    <t>Brandon Gibson, MIA</t>
  </si>
  <si>
    <t>Michael Egnew, MIA</t>
  </si>
  <si>
    <t>Darrel Young, WAS</t>
  </si>
  <si>
    <t>Junior Hemingway, KC</t>
  </si>
  <si>
    <t>Mickey Shuler, ATL</t>
  </si>
  <si>
    <t>Marquise Goodwin, BUF</t>
  </si>
  <si>
    <t>Jack Doyle, IND</t>
  </si>
  <si>
    <t>D.J. Williams, NE</t>
  </si>
  <si>
    <t>Jackie Battle, TEN</t>
  </si>
  <si>
    <t>Kevin Brock, CIN</t>
  </si>
  <si>
    <t>Charles Sims, TB</t>
  </si>
  <si>
    <t>Gerell Robinson, DEN</t>
  </si>
  <si>
    <t>MarQueis Gray, CLE</t>
  </si>
  <si>
    <t>John Kuhn, GB</t>
  </si>
  <si>
    <t>Allen Reisner, MIN</t>
  </si>
  <si>
    <t>Chris Ogbonnaya, CLE</t>
  </si>
  <si>
    <t>Marquess Wilson, CHI</t>
  </si>
  <si>
    <t>David Johnson, SD</t>
  </si>
  <si>
    <t>Brandon Barden, JAC</t>
  </si>
  <si>
    <t>Weslye Saunders, IND</t>
  </si>
  <si>
    <t>Konrad Reuland, NYJ</t>
  </si>
  <si>
    <t>Derrick Coleman, SEA</t>
  </si>
  <si>
    <t>Matthew Mulligan, CHI</t>
  </si>
  <si>
    <t>Jed Collins, DET</t>
  </si>
  <si>
    <t>Zach Miller, CHI</t>
  </si>
  <si>
    <t>Anthony Sherman, KC</t>
  </si>
  <si>
    <t>DeVier Posey, HOU</t>
  </si>
  <si>
    <t>Niles Paul, WAS</t>
  </si>
  <si>
    <t>Kevin Ogletree, DET</t>
  </si>
  <si>
    <t>Darren Fells, ARI</t>
  </si>
  <si>
    <t>Mikel Leshoure, DET</t>
  </si>
  <si>
    <t>Robert Meachem, NO</t>
  </si>
  <si>
    <t>Fendi Onobun, JAC</t>
  </si>
  <si>
    <t>Erik Lorig, NO</t>
  </si>
  <si>
    <t>Devin Street, DAL</t>
  </si>
  <si>
    <t>Andrew Szczerba, ATL</t>
  </si>
  <si>
    <t>Frank Summers, BUF</t>
  </si>
  <si>
    <t>Stephen Hill, NYJ</t>
  </si>
  <si>
    <t>Daniel Fells, NYG</t>
  </si>
  <si>
    <t>Bruce Miller, SF</t>
  </si>
  <si>
    <t>Kris Durham, DET</t>
  </si>
  <si>
    <t>Luke Stocker, TB</t>
  </si>
  <si>
    <t>Michael Ford, CHI</t>
  </si>
  <si>
    <t>Garrett Celek, SF</t>
  </si>
  <si>
    <t>Santana Moss, WAS</t>
  </si>
  <si>
    <t>Mike McNeill, CAR</t>
  </si>
  <si>
    <t>Kyle Juszczyk, BAL</t>
  </si>
  <si>
    <t>Ryan Broyles, DET</t>
  </si>
  <si>
    <t>Michael Palmer, PIT</t>
  </si>
  <si>
    <t>Daryl Richardson, NYJ</t>
  </si>
  <si>
    <t>Brandon Lloyd, SF</t>
  </si>
  <si>
    <t>Ted Bolser, WAS</t>
  </si>
  <si>
    <t>Cyrus Gray, KC</t>
  </si>
  <si>
    <t>Tiquan Underwood, CAR</t>
  </si>
  <si>
    <t>Brad Smelley, STL</t>
  </si>
  <si>
    <t>Jalen Saunders, NYJ</t>
  </si>
  <si>
    <t>Brandon Williams, CAR</t>
  </si>
  <si>
    <t>Tommy Bohanon, NYJ</t>
  </si>
  <si>
    <t>Stedman Bailey, STL</t>
  </si>
  <si>
    <t>Richie Brockel, CAR</t>
  </si>
  <si>
    <t>Richard Gordon, KC</t>
  </si>
  <si>
    <t>James Develin, NE</t>
  </si>
  <si>
    <t>Donte Moncrief, IND</t>
  </si>
  <si>
    <t>*Pages: 1 2 3 All*</t>
  </si>
  <si>
    <t>Will Johnson, PIT</t>
  </si>
  <si>
    <t>Mike Brown, JAC</t>
  </si>
  <si>
    <t>Marion Grice, SD</t>
  </si>
  <si>
    <t>Joe Morgan, NO</t>
  </si>
  <si>
    <t>Cedric Peerman, CIN</t>
  </si>
  <si>
    <t>Jarius Wright, MIN</t>
  </si>
  <si>
    <t>Antone Smith, ATL</t>
  </si>
  <si>
    <t>Leonard Hankerson, WAS</t>
  </si>
  <si>
    <t>Tony Fiammetta, CHI</t>
  </si>
  <si>
    <t>Darrius Heyward-Bey, PIT</t>
  </si>
  <si>
    <t>Stanley Havili, IND</t>
  </si>
  <si>
    <t>Damian Williams, MIA</t>
  </si>
  <si>
    <t>Henry Hynoski, NYG</t>
  </si>
  <si>
    <t>Drew Davis, ATL</t>
  </si>
  <si>
    <t>Robert Herron, TB</t>
  </si>
  <si>
    <t>Jorvorskie Lane, TB</t>
  </si>
  <si>
    <t>Jerome Felton, MIN</t>
  </si>
  <si>
    <t>Shaq Evans, NYJ</t>
  </si>
  <si>
    <t>Orson Charles, CIN</t>
  </si>
  <si>
    <t>Keshawn Martin, HOU</t>
  </si>
  <si>
    <t>Collin Mooney, TEN</t>
  </si>
  <si>
    <t>Andre Caldwell, DEN</t>
  </si>
  <si>
    <t>Tyler Clutts, DAL</t>
  </si>
  <si>
    <t>Louis Murphy, TB</t>
  </si>
  <si>
    <t>Josh Huff, PHI</t>
  </si>
  <si>
    <t>Dennis Johnson, HOU</t>
  </si>
  <si>
    <t>Kevin Norwood, SEA</t>
  </si>
  <si>
    <t>Leon Washington, TEN</t>
  </si>
  <si>
    <t>Allen Hurns, JAC</t>
  </si>
  <si>
    <t>LaMichael James, SF</t>
  </si>
  <si>
    <t>Travis Benjamin, CLE</t>
  </si>
  <si>
    <t>Isaiah Pead, STL</t>
  </si>
  <si>
    <t>Mario Manningham, NYG</t>
  </si>
  <si>
    <t>Jalen Parmele, ARI</t>
  </si>
  <si>
    <t>Quinton Patton, SF</t>
  </si>
  <si>
    <t>Rishard Matthews, MIA</t>
  </si>
  <si>
    <t>Jeremy Stewart, OAK</t>
  </si>
  <si>
    <t>Aldrick Robinson, WAS</t>
  </si>
  <si>
    <t>Griff Whalen, IND</t>
  </si>
  <si>
    <t>Jay Prosch, HOU</t>
  </si>
  <si>
    <t>Earl Bennett, CLE</t>
  </si>
  <si>
    <t>Chris Rainey, IND</t>
  </si>
  <si>
    <t>Kyle Williams, KC</t>
  </si>
  <si>
    <t>Michael Cox, NYG</t>
  </si>
  <si>
    <t>Patrick DiMarco, ATL</t>
  </si>
  <si>
    <t>Juron Criner, OAK</t>
  </si>
  <si>
    <t>Joe McKnight, KC</t>
  </si>
  <si>
    <t>Chris Owusu, TB</t>
  </si>
  <si>
    <t>Miguel Maysonet, PIT</t>
  </si>
  <si>
    <t>Santonio Holmes, CHI</t>
  </si>
  <si>
    <t>Alvester Alexander, PIT</t>
  </si>
  <si>
    <t>Josh Morgan, CHI</t>
  </si>
  <si>
    <t>Will Ta'ufo'ou, JAC</t>
  </si>
  <si>
    <t>Jaron Brown, ARI</t>
  </si>
  <si>
    <t>Evan Royster, WAS</t>
  </si>
  <si>
    <t>Charles Johnson, CLE</t>
  </si>
  <si>
    <t>Lonnie Pryor, TB</t>
  </si>
  <si>
    <t>Jacoby Ford, NYJ</t>
  </si>
  <si>
    <t>Spencer Ware, SEA</t>
  </si>
  <si>
    <t>T.J. Graham, BUF</t>
  </si>
  <si>
    <t>Robert Hughes, ARI</t>
  </si>
  <si>
    <t>Bruce Ellington, SF</t>
  </si>
  <si>
    <t>*Pages: 1 2 3 4 All*</t>
  </si>
  <si>
    <t>Ricardo Lockette, SEA</t>
  </si>
  <si>
    <t>Jon Baldwin, DET</t>
  </si>
  <si>
    <t>Jared Abbrederis, GB</t>
  </si>
  <si>
    <t>Chris Hogan, BUF</t>
  </si>
  <si>
    <t>Arrelious Benn, PHI</t>
  </si>
  <si>
    <t>Da'Rick Rogers, IND</t>
  </si>
  <si>
    <t>Jeff Janis, GB</t>
  </si>
  <si>
    <t>Justin Brown, PIT</t>
  </si>
  <si>
    <t>Devin Hester, ATL</t>
  </si>
  <si>
    <t>Marcus Harris, NYG</t>
  </si>
  <si>
    <t>Dane Sanzenbacher, CIN</t>
  </si>
  <si>
    <t>Tavarres King, CAR</t>
  </si>
  <si>
    <t>Dwayne Harris, DAL</t>
  </si>
  <si>
    <t>Nick Toon, NO</t>
  </si>
  <si>
    <t>Darius Johnson, ATL</t>
  </si>
  <si>
    <t>Derek Moye, PIT</t>
  </si>
  <si>
    <t>Myles White, GB</t>
  </si>
  <si>
    <t>Ryan Whalen, CIN</t>
  </si>
  <si>
    <t>Mike Thomas, HOU</t>
  </si>
  <si>
    <t>Brice Butler, OAK</t>
  </si>
  <si>
    <t>Damaris Johnson, PHI</t>
  </si>
  <si>
    <t>Lavelle Hawkins, TB</t>
  </si>
  <si>
    <t>Seyi Ajirotutu, SD</t>
  </si>
  <si>
    <t>Brenton Bersin, CAR</t>
  </si>
  <si>
    <t>Anthony Armstrong, CLE</t>
  </si>
  <si>
    <t>Kealoha Pilares, CAR</t>
  </si>
  <si>
    <t>Greg Salas, NYJ</t>
  </si>
  <si>
    <t>T.J. Jones, DET</t>
  </si>
  <si>
    <t>Alan Bonner, HOU</t>
  </si>
  <si>
    <t>Clyde Gates, NYJ</t>
  </si>
  <si>
    <t>Tandon Doss, JAC</t>
  </si>
  <si>
    <t>Rodney Smith, MIN</t>
  </si>
  <si>
    <t>Armon Binns, MIA</t>
  </si>
  <si>
    <t>Adam Thielen, MIN</t>
  </si>
  <si>
    <t>Naaman Roosevelt, BUF</t>
  </si>
  <si>
    <t>Michael Campanaro, BAL</t>
  </si>
  <si>
    <t>Brittan Golden, ARI</t>
  </si>
  <si>
    <t>Deonte Thompson, BAL</t>
  </si>
  <si>
    <t>Kevin Dorsey, GB</t>
  </si>
  <si>
    <t>Nick Williams, WAS</t>
  </si>
  <si>
    <t>Michael Preston, TEN</t>
  </si>
  <si>
    <t>Lestar Jean, MIN</t>
  </si>
  <si>
    <t>Kamar Aiken, BAL</t>
  </si>
  <si>
    <t>Pat Edwards, DET</t>
  </si>
  <si>
    <t>Brad Smith, PHI</t>
  </si>
  <si>
    <t>Terrence Toliver, CHI</t>
  </si>
  <si>
    <t>Jeremy Ross, DET</t>
  </si>
  <si>
    <t>Tevin Reese, SD</t>
  </si>
  <si>
    <t>Kassim Osgood, SF</t>
  </si>
  <si>
    <t>Tommy Streeter, TB</t>
  </si>
  <si>
    <t>Jeff Maehl, PHI</t>
  </si>
  <si>
    <t>Ryan Grant, WAS</t>
  </si>
  <si>
    <t>Corey Fuller, DET</t>
  </si>
  <si>
    <t>Andy Tanner, NO</t>
  </si>
  <si>
    <t>Marc Mariani, TEN</t>
  </si>
  <si>
    <t>Marvin McNutt, CAR</t>
  </si>
  <si>
    <t>Russell Shepard, TB</t>
  </si>
  <si>
    <t>Eric Weems, CHI</t>
  </si>
  <si>
    <t>Eric Page, TB</t>
  </si>
  <si>
    <t>Brandon Tate, CIN</t>
  </si>
  <si>
    <t>*Pages: 1 2 3 4 5 All*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</si>
</sst>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0.0"/>
    <numFmt numFmtId="166" formatCode="&quot;$&quot;#,##0.00"/>
    <numFmt numFmtId="168" formatCode="m/d/yyyy;@"/>
  </numFmts>
  <fonts count="214" x14ac:knownFonts="1">
    <font>
      <sz val="10"/>
      <color rgb="FF000000"/>
      <name val="Arial"/>
    </font>
    <font>
      <b/>
      <sz val="9"/>
      <color rgb="FF000000"/>
      <name val="Arial"/>
    </font>
    <font>
      <sz val="9"/>
      <color rgb="FF000000"/>
      <name val="Arial"/>
    </font>
    <font>
      <b/>
      <i/>
      <sz val="9"/>
      <color rgb="FF000000"/>
      <name val="Arial"/>
    </font>
    <font>
      <b/>
      <sz val="9"/>
      <color rgb="FFFFFFFF"/>
      <name val="Arial"/>
    </font>
    <font>
      <b/>
      <sz val="9"/>
      <color rgb="FFFFFFFF"/>
      <name val="Arial"/>
    </font>
    <font>
      <b/>
      <sz val="10"/>
      <color rgb="FF000000"/>
      <name val="Arial"/>
    </font>
    <font>
      <sz val="9"/>
      <color rgb="FF000000"/>
      <name val="Arial"/>
    </font>
    <font>
      <sz val="9"/>
      <color rgb="FF000000"/>
      <name val="Arial"/>
    </font>
    <font>
      <b/>
      <sz val="9"/>
      <color rgb="FF000000"/>
      <name val="Arial"/>
    </font>
    <font>
      <sz val="9"/>
      <color rgb="FF000000"/>
      <name val="Arial"/>
    </font>
    <font>
      <b/>
      <sz val="9"/>
      <color rgb="FF000000"/>
      <name val="Arial"/>
    </font>
    <font>
      <b/>
      <sz val="9"/>
      <color rgb="FF000000"/>
      <name val="Arial"/>
    </font>
    <font>
      <b/>
      <sz val="9"/>
      <color rgb="FFFFFFFF"/>
      <name val="Arial"/>
    </font>
    <font>
      <b/>
      <sz val="9"/>
      <color rgb="FF000000"/>
      <name val="Arial"/>
    </font>
    <font>
      <b/>
      <sz val="9"/>
      <color rgb="FF000000"/>
      <name val="Arial"/>
    </font>
    <font>
      <b/>
      <sz val="9"/>
      <color rgb="FFFFFFFF"/>
      <name val="Arial"/>
    </font>
    <font>
      <sz val="9"/>
      <color rgb="FF000000"/>
      <name val="Arial"/>
    </font>
    <font>
      <b/>
      <sz val="9"/>
      <color rgb="FFFFFFFF"/>
      <name val="Arial"/>
    </font>
    <font>
      <b/>
      <sz val="9"/>
      <color rgb="FFFFFFFF"/>
      <name val="Arial"/>
    </font>
    <font>
      <sz val="9"/>
      <color rgb="FF000000"/>
      <name val="Arial"/>
    </font>
    <font>
      <sz val="9"/>
      <color rgb="FF000000"/>
      <name val="Arial"/>
    </font>
    <font>
      <sz val="9"/>
      <color rgb="FF000000"/>
      <name val="Arial"/>
    </font>
    <font>
      <b/>
      <sz val="9"/>
      <color rgb="FFFFFFFF"/>
      <name val="Arial"/>
    </font>
    <font>
      <b/>
      <sz val="9"/>
      <color rgb="FFFFFFFF"/>
      <name val="Arial"/>
    </font>
    <font>
      <sz val="9"/>
      <color rgb="FF000000"/>
      <name val="Arial"/>
    </font>
    <font>
      <b/>
      <sz val="9"/>
      <color rgb="FF0000FF"/>
      <name val="Arial"/>
    </font>
    <font>
      <b/>
      <sz val="10"/>
      <color rgb="FF000000"/>
      <name val="Arial"/>
    </font>
    <font>
      <b/>
      <sz val="9"/>
      <color rgb="FF000000"/>
      <name val="Arial"/>
    </font>
    <font>
      <sz val="9"/>
      <color rgb="FFFFFFFF"/>
      <name val="Arial"/>
    </font>
    <font>
      <b/>
      <sz val="9"/>
      <color rgb="FF000000"/>
      <name val="Arial"/>
    </font>
    <font>
      <b/>
      <sz val="9"/>
      <color rgb="FF000000"/>
      <name val="Arial"/>
    </font>
    <font>
      <b/>
      <sz val="10"/>
      <color rgb="FF000000"/>
      <name val="Arial"/>
    </font>
    <font>
      <sz val="9"/>
      <color rgb="FF000000"/>
      <name val="Arial"/>
    </font>
    <font>
      <b/>
      <sz val="9"/>
      <color rgb="FF0000FF"/>
      <name val="Arial"/>
    </font>
    <font>
      <b/>
      <sz val="9"/>
      <color rgb="FFFFFFFF"/>
      <name val="Arial"/>
    </font>
    <font>
      <b/>
      <sz val="9"/>
      <color rgb="FF000000"/>
      <name val="Arial"/>
    </font>
    <font>
      <b/>
      <sz val="9"/>
      <color rgb="FFFFFFFF"/>
      <name val="Arial"/>
    </font>
    <font>
      <sz val="9"/>
      <color rgb="FF000000"/>
      <name val="Arial"/>
    </font>
    <font>
      <b/>
      <sz val="9"/>
      <color rgb="FF0000FF"/>
      <name val="Arial"/>
    </font>
    <font>
      <sz val="9"/>
      <color rgb="FF000000"/>
      <name val="Arial"/>
    </font>
    <font>
      <b/>
      <sz val="9"/>
      <color rgb="FFFFFFFF"/>
      <name val="Arial"/>
    </font>
    <font>
      <b/>
      <sz val="9"/>
      <color rgb="FFFFFFFF"/>
      <name val="Arial"/>
    </font>
    <font>
      <b/>
      <sz val="9"/>
      <color rgb="FF000000"/>
      <name val="Arial"/>
    </font>
    <font>
      <b/>
      <sz val="9"/>
      <color rgb="FF000000"/>
      <name val="Arial"/>
    </font>
    <font>
      <sz val="9"/>
      <color rgb="FF000000"/>
      <name val="Arial"/>
    </font>
    <font>
      <b/>
      <sz val="9"/>
      <color rgb="FF000000"/>
      <name val="Arial"/>
    </font>
    <font>
      <b/>
      <sz val="9"/>
      <color rgb="FF000000"/>
      <name val="Arial"/>
    </font>
    <font>
      <sz val="9"/>
      <color rgb="FF000000"/>
      <name val="Arial"/>
    </font>
    <font>
      <b/>
      <sz val="9"/>
      <color rgb="FFFFFFFF"/>
      <name val="Arial"/>
    </font>
    <font>
      <sz val="9"/>
      <color rgb="FFFFFFFF"/>
      <name val="Arial"/>
    </font>
    <font>
      <sz val="9"/>
      <color rgb="FF000000"/>
      <name val="Arial"/>
    </font>
    <font>
      <sz val="9"/>
      <color rgb="FF000000"/>
      <name val="Arial"/>
    </font>
    <font>
      <b/>
      <sz val="9"/>
      <color rgb="FF000000"/>
      <name val="Arial"/>
    </font>
    <font>
      <b/>
      <sz val="9"/>
      <color rgb="FF000000"/>
      <name val="Arial"/>
    </font>
    <font>
      <u/>
      <sz val="10"/>
      <color rgb="FF000000"/>
      <name val="Arial"/>
    </font>
    <font>
      <sz val="9"/>
      <color rgb="FF000000"/>
      <name val="Arial"/>
    </font>
    <font>
      <b/>
      <sz val="9"/>
      <color rgb="FF000000"/>
      <name val="Arial"/>
    </font>
    <font>
      <b/>
      <sz val="9"/>
      <color rgb="FF0000FF"/>
      <name val="Arial"/>
    </font>
    <font>
      <b/>
      <sz val="9"/>
      <color rgb="FF000000"/>
      <name val="Arial"/>
    </font>
    <font>
      <b/>
      <sz val="9"/>
      <color rgb="FF000000"/>
      <name val="Arial"/>
    </font>
    <font>
      <sz val="9"/>
      <color rgb="FF0000FF"/>
      <name val="Arial"/>
    </font>
    <font>
      <b/>
      <i/>
      <sz val="9"/>
      <color rgb="FF000000"/>
      <name val="Arial"/>
    </font>
    <font>
      <b/>
      <sz val="9"/>
      <color rgb="FF000000"/>
      <name val="Arial"/>
    </font>
    <font>
      <sz val="9"/>
      <color rgb="FF000000"/>
      <name val="Arial"/>
    </font>
    <font>
      <sz val="9"/>
      <color rgb="FF000000"/>
      <name val="Arial"/>
    </font>
    <font>
      <b/>
      <sz val="9"/>
      <color rgb="FF000000"/>
      <name val="Arial"/>
    </font>
    <font>
      <sz val="9"/>
      <color rgb="FF000000"/>
      <name val="Arial"/>
    </font>
    <font>
      <b/>
      <sz val="9"/>
      <color rgb="FF000000"/>
      <name val="Arial"/>
    </font>
    <font>
      <b/>
      <sz val="9"/>
      <color rgb="FF000000"/>
      <name val="Arial"/>
    </font>
    <font>
      <sz val="9"/>
      <color rgb="FF000000"/>
      <name val="Arial"/>
    </font>
    <font>
      <b/>
      <sz val="9"/>
      <color rgb="FF000000"/>
      <name val="Arial"/>
    </font>
    <font>
      <sz val="9"/>
      <color rgb="FF000000"/>
      <name val="Arial"/>
    </font>
    <font>
      <b/>
      <sz val="9"/>
      <color rgb="FFFFFFFF"/>
      <name val="Arial"/>
    </font>
    <font>
      <sz val="9"/>
      <color rgb="FF000000"/>
      <name val="Arial"/>
    </font>
    <font>
      <sz val="9"/>
      <color rgb="FF000000"/>
      <name val="Arial"/>
    </font>
    <font>
      <b/>
      <sz val="9"/>
      <color rgb="FF000000"/>
      <name val="Arial"/>
    </font>
    <font>
      <b/>
      <sz val="9"/>
      <color rgb="FF0000FF"/>
      <name val="Arial"/>
    </font>
    <font>
      <sz val="9"/>
      <color rgb="FF000000"/>
      <name val="Arial"/>
    </font>
    <font>
      <b/>
      <sz val="9"/>
      <color rgb="FF000000"/>
      <name val="Arial"/>
    </font>
    <font>
      <b/>
      <sz val="9"/>
      <color rgb="FF000000"/>
      <name val="Arial"/>
    </font>
    <font>
      <b/>
      <i/>
      <sz val="9"/>
      <color rgb="FF0000FF"/>
      <name val="Arial"/>
    </font>
    <font>
      <sz val="9"/>
      <color rgb="FF000000"/>
      <name val="Arial"/>
    </font>
    <font>
      <sz val="9"/>
      <color rgb="FF000000"/>
      <name val="Arial"/>
    </font>
    <font>
      <sz val="9"/>
      <color rgb="FF000000"/>
      <name val="Arial"/>
    </font>
    <font>
      <b/>
      <sz val="9"/>
      <color rgb="FFFFFFFF"/>
      <name val="Arial"/>
    </font>
    <font>
      <b/>
      <sz val="9"/>
      <color rgb="FF000000"/>
      <name val="Arial"/>
    </font>
    <font>
      <b/>
      <i/>
      <sz val="9"/>
      <color rgb="FF000000"/>
      <name val="Arial"/>
    </font>
    <font>
      <b/>
      <i/>
      <u/>
      <sz val="9"/>
      <color rgb="FF000000"/>
      <name val="Arial"/>
    </font>
    <font>
      <sz val="9"/>
      <color rgb="FFEFEFEF"/>
      <name val="Arial"/>
    </font>
    <font>
      <sz val="9"/>
      <color rgb="FF000000"/>
      <name val="Arial"/>
    </font>
    <font>
      <sz val="9"/>
      <color rgb="FF000000"/>
      <name val="Arial"/>
    </font>
    <font>
      <b/>
      <sz val="9"/>
      <color rgb="FF000000"/>
      <name val="Arial"/>
    </font>
    <font>
      <b/>
      <sz val="9"/>
      <color rgb="FF0000FF"/>
      <name val="Arial"/>
    </font>
    <font>
      <sz val="9"/>
      <color rgb="FF000000"/>
      <name val="Arial"/>
    </font>
    <font>
      <b/>
      <sz val="9"/>
      <color rgb="FFFFFFFF"/>
      <name val="Arial"/>
    </font>
    <font>
      <sz val="9"/>
      <color rgb="FFFFFFFF"/>
      <name val="Arial"/>
    </font>
    <font>
      <b/>
      <sz val="9"/>
      <color rgb="FF000000"/>
      <name val="Arial"/>
    </font>
    <font>
      <b/>
      <sz val="9"/>
      <color rgb="FF000000"/>
      <name val="Arial"/>
    </font>
    <font>
      <b/>
      <sz val="9"/>
      <color rgb="FF000000"/>
      <name val="Arial"/>
    </font>
    <font>
      <sz val="9"/>
      <color rgb="FF000000"/>
      <name val="Arial"/>
    </font>
    <font>
      <b/>
      <sz val="9"/>
      <color rgb="FFFFFFFF"/>
      <name val="Arial"/>
    </font>
    <font>
      <b/>
      <sz val="9"/>
      <color rgb="FF000000"/>
      <name val="Arial"/>
    </font>
    <font>
      <sz val="9"/>
      <color rgb="FF000000"/>
      <name val="Arial"/>
    </font>
    <font>
      <b/>
      <sz val="9"/>
      <color rgb="FFFFFFFF"/>
      <name val="Arial"/>
    </font>
    <font>
      <b/>
      <sz val="9"/>
      <color rgb="FF000000"/>
      <name val="Arial"/>
    </font>
    <font>
      <b/>
      <sz val="9"/>
      <color rgb="FF000000"/>
      <name val="Arial"/>
    </font>
    <font>
      <b/>
      <i/>
      <sz val="9"/>
      <color rgb="FF000000"/>
      <name val="Arial"/>
    </font>
    <font>
      <sz val="9"/>
      <color rgb="FF000000"/>
      <name val="Arial"/>
    </font>
    <font>
      <b/>
      <sz val="9"/>
      <color rgb="FFFFFFFF"/>
      <name val="Arial"/>
    </font>
    <font>
      <b/>
      <sz val="9"/>
      <color rgb="FF0000FF"/>
      <name val="Arial"/>
    </font>
    <font>
      <sz val="9"/>
      <color rgb="FF000000"/>
      <name val="Arial"/>
    </font>
    <font>
      <b/>
      <sz val="9"/>
      <color rgb="FF000000"/>
      <name val="Arial"/>
    </font>
    <font>
      <sz val="9"/>
      <color rgb="FF000000"/>
      <name val="Arial"/>
    </font>
    <font>
      <sz val="9"/>
      <color rgb="FF000000"/>
      <name val="Arial"/>
    </font>
    <font>
      <b/>
      <sz val="9"/>
      <color rgb="FF000000"/>
      <name val="Arial"/>
    </font>
    <font>
      <b/>
      <sz val="9"/>
      <color rgb="FF000000"/>
      <name val="Arial"/>
    </font>
    <font>
      <sz val="9"/>
      <color rgb="FF000000"/>
      <name val="Arial"/>
    </font>
    <font>
      <b/>
      <sz val="9"/>
      <color rgb="FF000000"/>
      <name val="Arial"/>
    </font>
    <font>
      <sz val="9"/>
      <color rgb="FF000000"/>
      <name val="Arial"/>
    </font>
    <font>
      <sz val="9"/>
      <color rgb="FF000000"/>
      <name val="Arial"/>
    </font>
    <font>
      <sz val="9"/>
      <color rgb="FF000000"/>
      <name val="Arial"/>
    </font>
    <font>
      <sz val="9"/>
      <color rgb="FF000000"/>
      <name val="Arial"/>
    </font>
    <font>
      <b/>
      <sz val="9"/>
      <color rgb="FF000000"/>
      <name val="Arial"/>
    </font>
    <font>
      <b/>
      <sz val="9"/>
      <color rgb="FF000000"/>
      <name val="Arial"/>
    </font>
    <font>
      <b/>
      <sz val="9"/>
      <color rgb="FF000000"/>
      <name val="Arial"/>
    </font>
    <font>
      <b/>
      <sz val="9"/>
      <color rgb="FF000000"/>
      <name val="Arial"/>
    </font>
    <font>
      <b/>
      <sz val="9"/>
      <color rgb="FFFFFFFF"/>
      <name val="Arial"/>
    </font>
    <font>
      <sz val="9"/>
      <color rgb="FF000000"/>
      <name val="Arial"/>
    </font>
    <font>
      <b/>
      <sz val="9"/>
      <color rgb="FF000000"/>
      <name val="Arial"/>
    </font>
    <font>
      <u/>
      <sz val="9"/>
      <color rgb="FF000000"/>
      <name val="Arial"/>
    </font>
    <font>
      <sz val="9"/>
      <color rgb="FF000000"/>
      <name val="Arial"/>
    </font>
    <font>
      <sz val="9"/>
      <color rgb="FF000000"/>
      <name val="Arial"/>
    </font>
    <font>
      <sz val="9"/>
      <color rgb="FF000000"/>
      <name val="Arial"/>
    </font>
    <font>
      <b/>
      <sz val="9"/>
      <color rgb="FFFFFFFF"/>
      <name val="Arial"/>
    </font>
    <font>
      <b/>
      <sz val="9"/>
      <color rgb="FF000000"/>
      <name val="Arial"/>
    </font>
    <font>
      <b/>
      <sz val="9"/>
      <color rgb="FF0000FF"/>
      <name val="Arial"/>
    </font>
    <font>
      <b/>
      <sz val="10"/>
      <color rgb="FF000000"/>
      <name val="Arial"/>
    </font>
    <font>
      <b/>
      <sz val="9"/>
      <color rgb="FF000000"/>
      <name val="Arial"/>
    </font>
    <font>
      <b/>
      <sz val="9"/>
      <color rgb="FFFFFFFF"/>
      <name val="Arial"/>
    </font>
    <font>
      <b/>
      <sz val="9"/>
      <color rgb="FF000000"/>
      <name val="Arial"/>
    </font>
    <font>
      <b/>
      <sz val="9"/>
      <color rgb="FF000000"/>
      <name val="Arial"/>
    </font>
    <font>
      <b/>
      <i/>
      <sz val="9"/>
      <color rgb="FF000000"/>
      <name val="Arial"/>
    </font>
    <font>
      <b/>
      <sz val="9"/>
      <color rgb="FF000000"/>
      <name val="Arial"/>
    </font>
    <font>
      <b/>
      <sz val="9"/>
      <color rgb="FF0000FF"/>
      <name val="Arial"/>
    </font>
    <font>
      <b/>
      <sz val="9"/>
      <color rgb="FF0000FF"/>
      <name val="Arial"/>
    </font>
    <font>
      <b/>
      <sz val="9"/>
      <color rgb="FF000000"/>
      <name val="Arial"/>
    </font>
    <font>
      <b/>
      <sz val="10"/>
      <color rgb="FF000000"/>
      <name val="Arial"/>
    </font>
    <font>
      <b/>
      <sz val="9"/>
      <color rgb="FF0000FF"/>
      <name val="Arial"/>
    </font>
    <font>
      <b/>
      <i/>
      <u/>
      <sz val="9"/>
      <color rgb="FF000000"/>
      <name val="Arial"/>
    </font>
    <font>
      <b/>
      <i/>
      <sz val="9"/>
      <color rgb="FF000000"/>
      <name val="Arial"/>
    </font>
    <font>
      <b/>
      <sz val="9"/>
      <color rgb="FF000000"/>
      <name val="Arial"/>
    </font>
    <font>
      <b/>
      <sz val="9"/>
      <color rgb="FF000000"/>
      <name val="Arial"/>
    </font>
    <font>
      <b/>
      <sz val="9"/>
      <color rgb="FF000000"/>
      <name val="Arial"/>
    </font>
    <font>
      <sz val="9"/>
      <color rgb="FF000000"/>
      <name val="Arial"/>
    </font>
    <font>
      <b/>
      <sz val="9"/>
      <color rgb="FF000000"/>
      <name val="Arial"/>
    </font>
    <font>
      <b/>
      <sz val="9"/>
      <color rgb="FF000000"/>
      <name val="Arial"/>
    </font>
    <font>
      <sz val="9"/>
      <color rgb="FF000000"/>
      <name val="Arial"/>
    </font>
    <font>
      <b/>
      <sz val="9"/>
      <color rgb="FF000000"/>
      <name val="Arial"/>
    </font>
    <font>
      <b/>
      <sz val="9"/>
      <color rgb="FFFFFFFF"/>
      <name val="Arial"/>
    </font>
    <font>
      <b/>
      <sz val="9"/>
      <color rgb="FF000000"/>
      <name val="Arial"/>
    </font>
    <font>
      <sz val="9"/>
      <color rgb="FF000000"/>
      <name val="Arial"/>
    </font>
    <font>
      <b/>
      <i/>
      <sz val="9"/>
      <color rgb="FF0000FF"/>
      <name val="Arial"/>
    </font>
    <font>
      <b/>
      <sz val="9"/>
      <color rgb="FFFFFFFF"/>
      <name val="Arial"/>
    </font>
    <font>
      <b/>
      <sz val="9"/>
      <color rgb="FFFFFFFF"/>
      <name val="Arial"/>
    </font>
    <font>
      <sz val="9"/>
      <color rgb="FF000000"/>
      <name val="Arial"/>
    </font>
    <font>
      <b/>
      <sz val="9"/>
      <color rgb="FF000000"/>
      <name val="Arial"/>
    </font>
    <font>
      <b/>
      <sz val="9"/>
      <color rgb="FF000000"/>
      <name val="Arial"/>
    </font>
    <font>
      <b/>
      <sz val="9"/>
      <color rgb="FF0000FF"/>
      <name val="Arial"/>
    </font>
    <font>
      <sz val="9"/>
      <color rgb="FF000000"/>
      <name val="Arial"/>
    </font>
    <font>
      <b/>
      <sz val="9"/>
      <color rgb="FFFFFFFF"/>
      <name val="Arial"/>
    </font>
    <font>
      <b/>
      <sz val="10"/>
      <color rgb="FF000000"/>
      <name val="Arial"/>
    </font>
    <font>
      <sz val="9"/>
      <color rgb="FF000000"/>
      <name val="Arial"/>
    </font>
    <font>
      <sz val="9"/>
      <color rgb="FF000000"/>
      <name val="Arial"/>
    </font>
    <font>
      <b/>
      <sz val="9"/>
      <color rgb="FFFFFFFF"/>
      <name val="Arial"/>
    </font>
    <font>
      <b/>
      <sz val="10"/>
      <color rgb="FF000000"/>
      <name val="Arial"/>
    </font>
    <font>
      <b/>
      <sz val="9"/>
      <color rgb="FF0000FF"/>
      <name val="Arial"/>
    </font>
    <font>
      <sz val="9"/>
      <color rgb="FF000000"/>
      <name val="Arial"/>
    </font>
    <font>
      <b/>
      <sz val="9"/>
      <color rgb="FF000000"/>
      <name val="Arial"/>
    </font>
    <font>
      <sz val="9"/>
      <color rgb="FF000000"/>
      <name val="Arial"/>
    </font>
    <font>
      <b/>
      <sz val="9"/>
      <color rgb="FF000000"/>
      <name val="Arial"/>
    </font>
    <font>
      <b/>
      <sz val="9"/>
      <color rgb="FF000000"/>
      <name val="Arial"/>
    </font>
    <font>
      <b/>
      <sz val="9"/>
      <color rgb="FFFFFFFF"/>
      <name val="Arial"/>
    </font>
    <font>
      <sz val="9"/>
      <color rgb="FF000000"/>
      <name val="Arial"/>
    </font>
    <font>
      <sz val="9"/>
      <color rgb="FF000000"/>
      <name val="Arial"/>
    </font>
    <font>
      <b/>
      <sz val="9"/>
      <color rgb="FF000000"/>
      <name val="Arial"/>
    </font>
    <font>
      <b/>
      <u/>
      <sz val="9"/>
      <color rgb="FF000000"/>
      <name val="Arial"/>
    </font>
    <font>
      <sz val="9"/>
      <color rgb="FF0000FF"/>
      <name val="Arial"/>
    </font>
    <font>
      <sz val="9"/>
      <color rgb="FF000000"/>
      <name val="Arial"/>
    </font>
    <font>
      <b/>
      <sz val="10"/>
      <color rgb="FF000000"/>
      <name val="Arial"/>
    </font>
    <font>
      <b/>
      <sz val="9"/>
      <color rgb="FF0000FF"/>
      <name val="Arial"/>
    </font>
    <font>
      <b/>
      <sz val="9"/>
      <color rgb="FF000000"/>
      <name val="Arial"/>
    </font>
    <font>
      <sz val="9"/>
      <color rgb="FF000000"/>
      <name val="Arial"/>
    </font>
    <font>
      <b/>
      <sz val="9"/>
      <color rgb="FF000000"/>
      <name val="Arial"/>
    </font>
    <font>
      <sz val="9"/>
      <color rgb="FF000000"/>
      <name val="Arial"/>
    </font>
    <font>
      <sz val="9"/>
      <color rgb="FF000000"/>
      <name val="Arial"/>
    </font>
    <font>
      <b/>
      <sz val="9"/>
      <color rgb="FF000000"/>
      <name val="Arial"/>
    </font>
    <font>
      <sz val="9"/>
      <color rgb="FF000000"/>
      <name val="Arial"/>
    </font>
    <font>
      <b/>
      <sz val="9"/>
      <color rgb="FF0000FF"/>
      <name val="Arial"/>
    </font>
    <font>
      <b/>
      <sz val="9"/>
      <color rgb="FFFFFFFF"/>
      <name val="Arial"/>
    </font>
    <font>
      <b/>
      <sz val="9"/>
      <color rgb="FF000000"/>
      <name val="Arial"/>
    </font>
    <font>
      <b/>
      <sz val="10"/>
      <color rgb="FF0000FF"/>
      <name val="Arial"/>
    </font>
    <font>
      <sz val="9"/>
      <color rgb="FF000000"/>
      <name val="Arial"/>
    </font>
    <font>
      <sz val="9"/>
      <color rgb="FF000000"/>
      <name val="Arial"/>
    </font>
    <font>
      <sz val="9"/>
      <color rgb="FF000000"/>
      <name val="Arial"/>
    </font>
    <font>
      <b/>
      <sz val="9"/>
      <color rgb="FFFFFFFF"/>
      <name val="Arial"/>
    </font>
    <font>
      <sz val="9"/>
      <color rgb="FF000000"/>
      <name val="Arial"/>
    </font>
    <font>
      <sz val="9"/>
      <color rgb="FF000000"/>
      <name val="Arial"/>
    </font>
    <font>
      <b/>
      <u/>
      <sz val="9"/>
      <color rgb="FF000000"/>
      <name val="Arial"/>
    </font>
    <font>
      <sz val="9"/>
      <color rgb="FF000000"/>
      <name val="Arial"/>
    </font>
    <font>
      <sz val="9"/>
      <color rgb="FF000000"/>
      <name val="Arial"/>
    </font>
    <font>
      <b/>
      <sz val="10"/>
      <color rgb="FF000000"/>
      <name val="Arial"/>
    </font>
    <font>
      <b/>
      <sz val="9"/>
      <color rgb="FF000000"/>
      <name val="Arial"/>
    </font>
    <font>
      <b/>
      <i/>
      <sz val="9"/>
      <color rgb="FF0000FF"/>
      <name val="Arial"/>
    </font>
  </fonts>
  <fills count="98">
    <fill>
      <patternFill patternType="none"/>
    </fill>
    <fill>
      <patternFill patternType="gray125"/>
    </fill>
    <fill>
      <patternFill patternType="solid">
        <fgColor rgb="FFFF00FF"/>
        <bgColor indexed="64"/>
      </patternFill>
    </fill>
    <fill>
      <patternFill patternType="solid">
        <fgColor rgb="FF4A86E8"/>
        <bgColor indexed="64"/>
      </patternFill>
    </fill>
    <fill>
      <patternFill patternType="solid">
        <fgColor rgb="FF0000FF"/>
        <bgColor indexed="64"/>
      </patternFill>
    </fill>
    <fill>
      <patternFill patternType="solid">
        <fgColor rgb="FFC9DAF8"/>
        <bgColor indexed="64"/>
      </patternFill>
    </fill>
    <fill>
      <patternFill patternType="solid">
        <fgColor rgb="FFFFF2CC"/>
        <bgColor indexed="64"/>
      </patternFill>
    </fill>
    <fill>
      <patternFill patternType="solid">
        <fgColor rgb="FFFFFF00"/>
        <bgColor indexed="64"/>
      </patternFill>
    </fill>
    <fill>
      <patternFill patternType="solid">
        <fgColor rgb="FFFFFFFF"/>
        <bgColor indexed="64"/>
      </patternFill>
    </fill>
    <fill>
      <patternFill patternType="solid">
        <fgColor rgb="FFC9DAF8"/>
        <bgColor indexed="64"/>
      </patternFill>
    </fill>
    <fill>
      <patternFill patternType="solid">
        <fgColor rgb="FFC9DAF8"/>
        <bgColor indexed="64"/>
      </patternFill>
    </fill>
    <fill>
      <patternFill patternType="solid">
        <fgColor rgb="FF0000FF"/>
        <bgColor indexed="64"/>
      </patternFill>
    </fill>
    <fill>
      <patternFill patternType="solid">
        <fgColor rgb="FF00FFFF"/>
        <bgColor indexed="64"/>
      </patternFill>
    </fill>
    <fill>
      <patternFill patternType="solid">
        <fgColor rgb="FFFFF2CC"/>
        <bgColor indexed="64"/>
      </patternFill>
    </fill>
    <fill>
      <patternFill patternType="solid">
        <fgColor rgb="FF0000FF"/>
        <bgColor indexed="64"/>
      </patternFill>
    </fill>
    <fill>
      <patternFill patternType="solid">
        <fgColor rgb="FF0000FF"/>
        <bgColor indexed="64"/>
      </patternFill>
    </fill>
    <fill>
      <patternFill patternType="solid">
        <fgColor rgb="FF4A86E8"/>
        <bgColor indexed="64"/>
      </patternFill>
    </fill>
    <fill>
      <patternFill patternType="solid">
        <fgColor rgb="FFFFFFFF"/>
        <bgColor indexed="64"/>
      </patternFill>
    </fill>
    <fill>
      <patternFill patternType="solid">
        <fgColor rgb="FF4A86E8"/>
        <bgColor indexed="64"/>
      </patternFill>
    </fill>
    <fill>
      <patternFill patternType="solid">
        <fgColor rgb="FF0000FF"/>
        <bgColor indexed="64"/>
      </patternFill>
    </fill>
    <fill>
      <patternFill patternType="solid">
        <fgColor rgb="FF274E13"/>
        <bgColor indexed="64"/>
      </patternFill>
    </fill>
    <fill>
      <patternFill patternType="solid">
        <fgColor rgb="FFFFF2CC"/>
        <bgColor indexed="64"/>
      </patternFill>
    </fill>
    <fill>
      <patternFill patternType="solid">
        <fgColor rgb="FFC9DAF8"/>
        <bgColor indexed="64"/>
      </patternFill>
    </fill>
    <fill>
      <patternFill patternType="solid">
        <fgColor rgb="FFC9DAF8"/>
        <bgColor indexed="64"/>
      </patternFill>
    </fill>
    <fill>
      <patternFill patternType="solid">
        <fgColor rgb="FF4A86E8"/>
        <bgColor indexed="64"/>
      </patternFill>
    </fill>
    <fill>
      <patternFill patternType="solid">
        <fgColor rgb="FFC9DAF8"/>
        <bgColor indexed="64"/>
      </patternFill>
    </fill>
    <fill>
      <patternFill patternType="solid">
        <fgColor rgb="FFFFF2CC"/>
        <bgColor indexed="64"/>
      </patternFill>
    </fill>
    <fill>
      <patternFill patternType="solid">
        <fgColor rgb="FF0000FF"/>
        <bgColor indexed="64"/>
      </patternFill>
    </fill>
    <fill>
      <patternFill patternType="solid">
        <fgColor rgb="FFFFF2CC"/>
        <bgColor indexed="64"/>
      </patternFill>
    </fill>
    <fill>
      <patternFill patternType="solid">
        <fgColor rgb="FF9900FF"/>
        <bgColor indexed="64"/>
      </patternFill>
    </fill>
    <fill>
      <patternFill patternType="solid">
        <fgColor rgb="FFFFF2CC"/>
        <bgColor indexed="64"/>
      </patternFill>
    </fill>
    <fill>
      <patternFill patternType="solid">
        <fgColor rgb="FFFFFF00"/>
        <bgColor indexed="64"/>
      </patternFill>
    </fill>
    <fill>
      <patternFill patternType="solid">
        <fgColor rgb="FF0000FF"/>
        <bgColor indexed="64"/>
      </patternFill>
    </fill>
    <fill>
      <patternFill patternType="solid">
        <fgColor rgb="FF0000FF"/>
        <bgColor indexed="64"/>
      </patternFill>
    </fill>
    <fill>
      <patternFill patternType="solid">
        <fgColor rgb="FFFFFFFF"/>
        <bgColor indexed="64"/>
      </patternFill>
    </fill>
    <fill>
      <patternFill patternType="solid">
        <fgColor rgb="FF0000FF"/>
        <bgColor indexed="64"/>
      </patternFill>
    </fill>
    <fill>
      <patternFill patternType="solid">
        <fgColor rgb="FF9900FF"/>
        <bgColor indexed="64"/>
      </patternFill>
    </fill>
    <fill>
      <patternFill patternType="solid">
        <fgColor rgb="FFC9DAF8"/>
        <bgColor indexed="64"/>
      </patternFill>
    </fill>
    <fill>
      <patternFill patternType="solid">
        <fgColor rgb="FFFFFFFF"/>
        <bgColor indexed="64"/>
      </patternFill>
    </fill>
    <fill>
      <patternFill patternType="solid">
        <fgColor rgb="FFFF9900"/>
        <bgColor indexed="64"/>
      </patternFill>
    </fill>
    <fill>
      <patternFill patternType="solid">
        <fgColor rgb="FFC9DAF8"/>
        <bgColor indexed="64"/>
      </patternFill>
    </fill>
    <fill>
      <patternFill patternType="solid">
        <fgColor rgb="FFB6D7A8"/>
        <bgColor indexed="64"/>
      </patternFill>
    </fill>
    <fill>
      <patternFill patternType="solid">
        <fgColor rgb="FF0000FF"/>
        <bgColor indexed="64"/>
      </patternFill>
    </fill>
    <fill>
      <patternFill patternType="solid">
        <fgColor rgb="FF00FFFF"/>
        <bgColor indexed="64"/>
      </patternFill>
    </fill>
    <fill>
      <patternFill patternType="solid">
        <fgColor rgb="FF0000FF"/>
        <bgColor indexed="64"/>
      </patternFill>
    </fill>
    <fill>
      <patternFill patternType="solid">
        <fgColor rgb="FFFFFFFF"/>
        <bgColor indexed="64"/>
      </patternFill>
    </fill>
    <fill>
      <patternFill patternType="solid">
        <fgColor rgb="FFC9DAF8"/>
        <bgColor indexed="64"/>
      </patternFill>
    </fill>
    <fill>
      <patternFill patternType="solid">
        <fgColor rgb="FFFFFFFF"/>
        <bgColor indexed="64"/>
      </patternFill>
    </fill>
    <fill>
      <patternFill patternType="solid">
        <fgColor rgb="FF9900FF"/>
        <bgColor indexed="64"/>
      </patternFill>
    </fill>
    <fill>
      <patternFill patternType="solid">
        <fgColor rgb="FFC9DAF8"/>
        <bgColor indexed="64"/>
      </patternFill>
    </fill>
    <fill>
      <patternFill patternType="solid">
        <fgColor rgb="FFC9DAF8"/>
        <bgColor indexed="64"/>
      </patternFill>
    </fill>
    <fill>
      <patternFill patternType="solid">
        <fgColor rgb="FF0000FF"/>
        <bgColor indexed="64"/>
      </patternFill>
    </fill>
    <fill>
      <patternFill patternType="solid">
        <fgColor rgb="FF0000FF"/>
        <bgColor indexed="64"/>
      </patternFill>
    </fill>
    <fill>
      <patternFill patternType="solid">
        <fgColor rgb="FF4A86E8"/>
        <bgColor indexed="64"/>
      </patternFill>
    </fill>
    <fill>
      <patternFill patternType="solid">
        <fgColor rgb="FFC9DAF8"/>
        <bgColor indexed="64"/>
      </patternFill>
    </fill>
    <fill>
      <patternFill patternType="solid">
        <fgColor rgb="FF9900FF"/>
        <bgColor indexed="64"/>
      </patternFill>
    </fill>
    <fill>
      <patternFill patternType="solid">
        <fgColor rgb="FF0000FF"/>
        <bgColor indexed="64"/>
      </patternFill>
    </fill>
    <fill>
      <patternFill patternType="solid">
        <fgColor rgb="FFC9DAF8"/>
        <bgColor indexed="64"/>
      </patternFill>
    </fill>
    <fill>
      <patternFill patternType="solid">
        <fgColor rgb="FFC9DAF8"/>
        <bgColor indexed="64"/>
      </patternFill>
    </fill>
    <fill>
      <patternFill patternType="solid">
        <fgColor rgb="FF0000FF"/>
        <bgColor indexed="64"/>
      </patternFill>
    </fill>
    <fill>
      <patternFill patternType="solid">
        <fgColor rgb="FFC9DAF8"/>
        <bgColor indexed="64"/>
      </patternFill>
    </fill>
    <fill>
      <patternFill patternType="solid">
        <fgColor rgb="FF0000FF"/>
        <bgColor indexed="64"/>
      </patternFill>
    </fill>
    <fill>
      <patternFill patternType="solid">
        <fgColor rgb="FF0000FF"/>
        <bgColor indexed="64"/>
      </patternFill>
    </fill>
    <fill>
      <patternFill patternType="solid">
        <fgColor rgb="FFC9DAF8"/>
        <bgColor indexed="64"/>
      </patternFill>
    </fill>
    <fill>
      <patternFill patternType="solid">
        <fgColor rgb="FFC9DAF8"/>
        <bgColor indexed="64"/>
      </patternFill>
    </fill>
    <fill>
      <patternFill patternType="solid">
        <fgColor rgb="FF0000FF"/>
        <bgColor indexed="64"/>
      </patternFill>
    </fill>
    <fill>
      <patternFill patternType="solid">
        <fgColor rgb="FFC9DAF8"/>
        <bgColor indexed="64"/>
      </patternFill>
    </fill>
    <fill>
      <patternFill patternType="solid">
        <fgColor rgb="FF0000FF"/>
        <bgColor indexed="64"/>
      </patternFill>
    </fill>
    <fill>
      <patternFill patternType="solid">
        <fgColor rgb="FFFFF2CC"/>
        <bgColor indexed="64"/>
      </patternFill>
    </fill>
    <fill>
      <patternFill patternType="solid">
        <fgColor rgb="FFC9DAF8"/>
        <bgColor indexed="64"/>
      </patternFill>
    </fill>
    <fill>
      <patternFill patternType="solid">
        <fgColor rgb="FFFFFFFF"/>
        <bgColor indexed="64"/>
      </patternFill>
    </fill>
    <fill>
      <patternFill patternType="solid">
        <fgColor rgb="FF9900FF"/>
        <bgColor indexed="64"/>
      </patternFill>
    </fill>
    <fill>
      <patternFill patternType="solid">
        <fgColor rgb="FFC9DAF8"/>
        <bgColor indexed="64"/>
      </patternFill>
    </fill>
    <fill>
      <patternFill patternType="solid">
        <fgColor rgb="FF0000FF"/>
        <bgColor indexed="64"/>
      </patternFill>
    </fill>
    <fill>
      <patternFill patternType="solid">
        <fgColor rgb="FF274E13"/>
        <bgColor indexed="64"/>
      </patternFill>
    </fill>
    <fill>
      <patternFill patternType="solid">
        <fgColor rgb="FFC9DAF8"/>
        <bgColor indexed="64"/>
      </patternFill>
    </fill>
    <fill>
      <patternFill patternType="solid">
        <fgColor rgb="FFC9DAF8"/>
        <bgColor indexed="64"/>
      </patternFill>
    </fill>
    <fill>
      <patternFill patternType="solid">
        <fgColor rgb="FFC9DAF8"/>
        <bgColor indexed="64"/>
      </patternFill>
    </fill>
    <fill>
      <patternFill patternType="solid">
        <fgColor rgb="FFB6D7A8"/>
        <bgColor indexed="64"/>
      </patternFill>
    </fill>
    <fill>
      <patternFill patternType="solid">
        <fgColor rgb="FF9900FF"/>
        <bgColor indexed="64"/>
      </patternFill>
    </fill>
    <fill>
      <patternFill patternType="solid">
        <fgColor rgb="FFC9DAF8"/>
        <bgColor indexed="64"/>
      </patternFill>
    </fill>
    <fill>
      <patternFill patternType="solid">
        <fgColor rgb="FFFFF2CC"/>
        <bgColor indexed="64"/>
      </patternFill>
    </fill>
    <fill>
      <patternFill patternType="solid">
        <fgColor rgb="FF9900FF"/>
        <bgColor indexed="64"/>
      </patternFill>
    </fill>
    <fill>
      <patternFill patternType="solid">
        <fgColor rgb="FFC9DAF8"/>
        <bgColor indexed="64"/>
      </patternFill>
    </fill>
    <fill>
      <patternFill patternType="solid">
        <fgColor rgb="FFFFF2CC"/>
        <bgColor indexed="64"/>
      </patternFill>
    </fill>
    <fill>
      <patternFill patternType="solid">
        <fgColor rgb="FFFFF2CC"/>
        <bgColor indexed="64"/>
      </patternFill>
    </fill>
    <fill>
      <patternFill patternType="solid">
        <fgColor rgb="FFC9DAF8"/>
        <bgColor indexed="64"/>
      </patternFill>
    </fill>
    <fill>
      <patternFill patternType="solid">
        <fgColor rgb="FF0000FF"/>
        <bgColor indexed="64"/>
      </patternFill>
    </fill>
    <fill>
      <patternFill patternType="solid">
        <fgColor rgb="FFB6D7A8"/>
        <bgColor indexed="64"/>
      </patternFill>
    </fill>
    <fill>
      <patternFill patternType="solid">
        <fgColor rgb="FFC9DAF8"/>
        <bgColor indexed="64"/>
      </patternFill>
    </fill>
    <fill>
      <patternFill patternType="solid">
        <fgColor rgb="FFFFFFFF"/>
        <bgColor indexed="64"/>
      </patternFill>
    </fill>
    <fill>
      <patternFill patternType="solid">
        <fgColor rgb="FFC9DAF8"/>
        <bgColor indexed="64"/>
      </patternFill>
    </fill>
    <fill>
      <patternFill patternType="solid">
        <fgColor rgb="FF0000FF"/>
        <bgColor indexed="64"/>
      </patternFill>
    </fill>
    <fill>
      <patternFill patternType="solid">
        <fgColor rgb="FFC9DAF8"/>
        <bgColor indexed="64"/>
      </patternFill>
    </fill>
    <fill>
      <patternFill patternType="solid">
        <fgColor rgb="FFC9DAF8"/>
        <bgColor indexed="64"/>
      </patternFill>
    </fill>
    <fill>
      <patternFill patternType="solid">
        <fgColor rgb="FF4A86E8"/>
        <bgColor indexed="64"/>
      </patternFill>
    </fill>
    <fill>
      <patternFill patternType="solid">
        <fgColor rgb="FFFFFFFF"/>
        <bgColor indexed="64"/>
      </patternFill>
    </fill>
    <fill>
      <patternFill patternType="solid">
        <fgColor rgb="FFC9DAF8"/>
        <bgColor indexed="64"/>
      </patternFill>
    </fill>
  </fills>
  <borders count="162">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auto="1"/>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auto="1"/>
      </top>
      <bottom/>
      <diagonal/>
    </border>
    <border>
      <left/>
      <right/>
      <top style="thin">
        <color rgb="FF000000"/>
      </top>
      <bottom style="thin">
        <color auto="1"/>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auto="1"/>
      </left>
      <right/>
      <top style="thin">
        <color auto="1"/>
      </top>
      <bottom style="thin">
        <color rgb="FF000000"/>
      </bottom>
      <diagonal/>
    </border>
    <border>
      <left style="thin">
        <color rgb="FF000000"/>
      </left>
      <right/>
      <top style="thin">
        <color rgb="FF000000"/>
      </top>
      <bottom/>
      <diagonal/>
    </border>
    <border>
      <left/>
      <right/>
      <top/>
      <bottom style="thin">
        <color rgb="FF000000"/>
      </bottom>
      <diagonal/>
    </border>
    <border>
      <left/>
      <right style="thin">
        <color rgb="FF000000"/>
      </right>
      <top/>
      <bottom/>
      <diagonal/>
    </border>
    <border>
      <left style="thin">
        <color auto="1"/>
      </left>
      <right/>
      <top/>
      <bottom style="thin">
        <color rgb="FF000000"/>
      </bottom>
      <diagonal/>
    </border>
    <border>
      <left/>
      <right/>
      <top style="thin">
        <color rgb="FF000000"/>
      </top>
      <bottom/>
      <diagonal/>
    </border>
    <border>
      <left/>
      <right/>
      <top style="thin">
        <color auto="1"/>
      </top>
      <bottom style="thin">
        <color rgb="FF000000"/>
      </bottom>
      <diagonal/>
    </border>
    <border>
      <left/>
      <right style="thin">
        <color rgb="FF000000"/>
      </right>
      <top/>
      <bottom/>
      <diagonal/>
    </border>
    <border>
      <left/>
      <right style="thin">
        <color auto="1"/>
      </right>
      <top/>
      <bottom/>
      <diagonal/>
    </border>
    <border>
      <left/>
      <right/>
      <top/>
      <bottom style="thin">
        <color rgb="FF000000"/>
      </bottom>
      <diagonal/>
    </border>
    <border>
      <left/>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auto="1"/>
      </top>
      <bottom style="thin">
        <color auto="1"/>
      </bottom>
      <diagonal/>
    </border>
    <border>
      <left style="thin">
        <color auto="1"/>
      </left>
      <right/>
      <top/>
      <bottom style="thin">
        <color auto="1"/>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auto="1"/>
      </top>
      <bottom style="thin">
        <color rgb="FF000000"/>
      </bottom>
      <diagonal/>
    </border>
    <border>
      <left/>
      <right style="thin">
        <color auto="1"/>
      </right>
      <top/>
      <bottom/>
      <diagonal/>
    </border>
    <border>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diagonal/>
    </border>
    <border>
      <left style="thin">
        <color rgb="FF000000"/>
      </left>
      <right/>
      <top/>
      <bottom/>
      <diagonal/>
    </border>
    <border>
      <left/>
      <right/>
      <top style="thin">
        <color rgb="FF000000"/>
      </top>
      <bottom/>
      <diagonal/>
    </border>
    <border>
      <left/>
      <right style="thin">
        <color rgb="FF000000"/>
      </right>
      <top/>
      <bottom/>
      <diagonal/>
    </border>
    <border>
      <left/>
      <right/>
      <top style="thin">
        <color auto="1"/>
      </top>
      <bottom style="thin">
        <color auto="1"/>
      </bottom>
      <diagonal/>
    </border>
    <border>
      <left/>
      <right/>
      <top style="thin">
        <color auto="1"/>
      </top>
      <bottom/>
      <diagonal/>
    </border>
    <border>
      <left/>
      <right style="thin">
        <color rgb="FF000000"/>
      </right>
      <top style="thin">
        <color rgb="FF000000"/>
      </top>
      <bottom style="thin">
        <color auto="1"/>
      </bottom>
      <diagonal/>
    </border>
    <border>
      <left/>
      <right/>
      <top style="thin">
        <color auto="1"/>
      </top>
      <bottom style="thin">
        <color auto="1"/>
      </bottom>
      <diagonal/>
    </border>
    <border>
      <left/>
      <right style="thin">
        <color rgb="FF000000"/>
      </right>
      <top/>
      <bottom/>
      <diagonal/>
    </border>
    <border>
      <left/>
      <right/>
      <top style="thin">
        <color auto="1"/>
      </top>
      <bottom style="thin">
        <color auto="1"/>
      </bottom>
      <diagonal/>
    </border>
    <border>
      <left/>
      <right style="thin">
        <color rgb="FF000000"/>
      </right>
      <top/>
      <bottom/>
      <diagonal/>
    </border>
    <border>
      <left/>
      <right style="thin">
        <color rgb="FF000000"/>
      </right>
      <top/>
      <bottom/>
      <diagonal/>
    </border>
    <border>
      <left/>
      <right/>
      <top style="thin">
        <color auto="1"/>
      </top>
      <bottom style="thin">
        <color auto="1"/>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bottom/>
      <diagonal/>
    </border>
    <border>
      <left/>
      <right style="thin">
        <color rgb="FF000000"/>
      </right>
      <top/>
      <bottom/>
      <diagonal/>
    </border>
    <border>
      <left style="thin">
        <color auto="1"/>
      </left>
      <right/>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auto="1"/>
      </left>
      <right/>
      <top/>
      <bottom/>
      <diagonal/>
    </border>
    <border>
      <left/>
      <right style="thin">
        <color rgb="FF000000"/>
      </right>
      <top/>
      <bottom/>
      <diagonal/>
    </border>
    <border>
      <left/>
      <right style="thin">
        <color rgb="FF000000"/>
      </right>
      <top style="thin">
        <color rgb="FF000000"/>
      </top>
      <bottom/>
      <diagonal/>
    </border>
    <border>
      <left style="thin">
        <color auto="1"/>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auto="1"/>
      </bottom>
      <diagonal/>
    </border>
    <border>
      <left/>
      <right/>
      <top/>
      <bottom style="thin">
        <color rgb="FF000000"/>
      </bottom>
      <diagonal/>
    </border>
    <border>
      <left/>
      <right style="thin">
        <color rgb="FF000000"/>
      </right>
      <top/>
      <bottom/>
      <diagonal/>
    </border>
    <border>
      <left/>
      <right/>
      <top style="thin">
        <color rgb="FF000000"/>
      </top>
      <bottom style="thin">
        <color auto="1"/>
      </bottom>
      <diagonal/>
    </border>
    <border>
      <left/>
      <right/>
      <top/>
      <bottom style="thin">
        <color auto="1"/>
      </bottom>
      <diagonal/>
    </border>
    <border>
      <left style="thin">
        <color rgb="FF000000"/>
      </left>
      <right/>
      <top/>
      <bottom/>
      <diagonal/>
    </border>
    <border>
      <left style="thin">
        <color rgb="FF000000"/>
      </left>
      <right/>
      <top/>
      <bottom/>
      <diagonal/>
    </border>
    <border>
      <left style="thin">
        <color rgb="FF000000"/>
      </left>
      <right/>
      <top/>
      <bottom/>
      <diagonal/>
    </border>
    <border>
      <left/>
      <right/>
      <top style="thin">
        <color rgb="FF000000"/>
      </top>
      <bottom/>
      <diagonal/>
    </border>
    <border>
      <left style="thin">
        <color rgb="FF000000"/>
      </left>
      <right/>
      <top/>
      <bottom/>
      <diagonal/>
    </border>
    <border>
      <left/>
      <right/>
      <top style="thin">
        <color rgb="FF000000"/>
      </top>
      <bottom/>
      <diagonal/>
    </border>
    <border>
      <left/>
      <right/>
      <top style="thin">
        <color rgb="FF000000"/>
      </top>
      <bottom style="thin">
        <color auto="1"/>
      </bottom>
      <diagonal/>
    </border>
    <border>
      <left/>
      <right/>
      <top/>
      <bottom style="thin">
        <color rgb="FF000000"/>
      </bottom>
      <diagonal/>
    </border>
    <border>
      <left/>
      <right/>
      <top/>
      <bottom style="thin">
        <color rgb="FF000000"/>
      </bottom>
      <diagonal/>
    </border>
    <border>
      <left style="thin">
        <color auto="1"/>
      </left>
      <right/>
      <top/>
      <bottom/>
      <diagonal/>
    </border>
    <border>
      <left/>
      <right/>
      <top style="thin">
        <color rgb="FF000000"/>
      </top>
      <bottom style="thin">
        <color auto="1"/>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auto="1"/>
      </top>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auto="1"/>
      </top>
      <bottom style="thin">
        <color auto="1"/>
      </bottom>
      <diagonal/>
    </border>
    <border>
      <left/>
      <right/>
      <top style="thin">
        <color rgb="FF000000"/>
      </top>
      <bottom style="thin">
        <color auto="1"/>
      </bottom>
      <diagonal/>
    </border>
    <border>
      <left/>
      <right/>
      <top/>
      <bottom style="thin">
        <color rgb="FF000000"/>
      </bottom>
      <diagonal/>
    </border>
    <border>
      <left/>
      <right/>
      <top style="thin">
        <color rgb="FF000000"/>
      </top>
      <bottom/>
      <diagonal/>
    </border>
    <border>
      <left/>
      <right/>
      <top style="thin">
        <color auto="1"/>
      </top>
      <bottom/>
      <diagonal/>
    </border>
    <border>
      <left/>
      <right style="thin">
        <color rgb="FF000000"/>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auto="1"/>
      </top>
      <bottom style="thin">
        <color rgb="FF000000"/>
      </bottom>
      <diagonal/>
    </border>
    <border>
      <left/>
      <right/>
      <top/>
      <bottom style="thin">
        <color rgb="FF000000"/>
      </bottom>
      <diagonal/>
    </border>
    <border>
      <left style="thin">
        <color auto="1"/>
      </left>
      <right/>
      <top style="thin">
        <color rgb="FF000000"/>
      </top>
      <bottom/>
      <diagonal/>
    </border>
    <border>
      <left/>
      <right/>
      <top style="thin">
        <color auto="1"/>
      </top>
      <bottom style="thin">
        <color rgb="FF000000"/>
      </bottom>
      <diagonal/>
    </border>
    <border>
      <left/>
      <right/>
      <top style="thin">
        <color auto="1"/>
      </top>
      <bottom style="thin">
        <color auto="1"/>
      </bottom>
      <diagonal/>
    </border>
    <border>
      <left style="thin">
        <color rgb="FF000000"/>
      </left>
      <right/>
      <top/>
      <bottom style="thin">
        <color rgb="FF000000"/>
      </bottom>
      <diagonal/>
    </border>
    <border>
      <left style="thin">
        <color rgb="FF000000"/>
      </left>
      <right/>
      <top/>
      <bottom/>
      <diagonal/>
    </border>
    <border>
      <left/>
      <right/>
      <top style="thin">
        <color rgb="FF000000"/>
      </top>
      <bottom style="thin">
        <color rgb="FF000000"/>
      </bottom>
      <diagonal/>
    </border>
    <border>
      <left/>
      <right/>
      <top style="thin">
        <color auto="1"/>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
      <left/>
      <right/>
      <top/>
      <bottom style="thin">
        <color auto="1"/>
      </bottom>
      <diagonal/>
    </border>
    <border>
      <left style="thin">
        <color rgb="FF000000"/>
      </left>
      <right style="thin">
        <color rgb="FF000000"/>
      </right>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auto="1"/>
      </right>
      <top/>
      <bottom/>
      <diagonal/>
    </border>
    <border>
      <left style="thin">
        <color auto="1"/>
      </left>
      <right/>
      <top/>
      <bottom/>
      <diagonal/>
    </border>
    <border>
      <left/>
      <right style="thin">
        <color rgb="FF000000"/>
      </right>
      <top style="thin">
        <color rgb="FF000000"/>
      </top>
      <bottom style="thin">
        <color rgb="FF000000"/>
      </bottom>
      <diagonal/>
    </border>
    <border>
      <left/>
      <right/>
      <top style="thin">
        <color auto="1"/>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auto="1"/>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auto="1"/>
      </right>
      <top/>
      <bottom/>
      <diagonal/>
    </border>
    <border>
      <left/>
      <right style="thin">
        <color auto="1"/>
      </right>
      <top style="thin">
        <color rgb="FF000000"/>
      </top>
      <bottom style="thin">
        <color auto="1"/>
      </bottom>
      <diagonal/>
    </border>
    <border>
      <left/>
      <right/>
      <top style="thin">
        <color rgb="FF000000"/>
      </top>
      <bottom/>
      <diagonal/>
    </border>
    <border>
      <left/>
      <right style="thin">
        <color rgb="FF000000"/>
      </right>
      <top style="thin">
        <color auto="1"/>
      </top>
      <bottom/>
      <diagonal/>
    </border>
    <border>
      <left/>
      <right/>
      <top/>
      <bottom style="thin">
        <color auto="1"/>
      </bottom>
      <diagonal/>
    </border>
    <border>
      <left/>
      <right/>
      <top style="thin">
        <color rgb="FF000000"/>
      </top>
      <bottom/>
      <diagonal/>
    </border>
    <border>
      <left/>
      <right/>
      <top style="thin">
        <color rgb="FF000000"/>
      </top>
      <bottom style="thin">
        <color auto="1"/>
      </bottom>
      <diagonal/>
    </border>
    <border>
      <left style="thin">
        <color rgb="FF000000"/>
      </left>
      <right style="thin">
        <color rgb="FF000000"/>
      </right>
      <top style="thin">
        <color rgb="FF000000"/>
      </top>
      <bottom/>
      <diagonal/>
    </border>
    <border>
      <left/>
      <right style="thin">
        <color auto="1"/>
      </right>
      <top/>
      <bottom/>
      <diagonal/>
    </border>
    <border>
      <left/>
      <right/>
      <top style="thin">
        <color rgb="FF000000"/>
      </top>
      <bottom/>
      <diagonal/>
    </border>
    <border>
      <left/>
      <right/>
      <top style="thin">
        <color auto="1"/>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auto="1"/>
      </top>
      <bottom style="thin">
        <color rgb="FF000000"/>
      </bottom>
      <diagonal/>
    </border>
    <border>
      <left/>
      <right style="thin">
        <color rgb="FF000000"/>
      </right>
      <top/>
      <bottom/>
      <diagonal/>
    </border>
    <border>
      <left/>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229">
    <xf numFmtId="0" fontId="0" fillId="0" borderId="0" xfId="0" applyAlignment="1">
      <alignment wrapText="1"/>
    </xf>
    <xf numFmtId="0" fontId="1" fillId="2" borderId="0" xfId="0" applyFont="1" applyFill="1" applyAlignment="1">
      <alignment wrapText="1"/>
    </xf>
    <xf numFmtId="9" fontId="2" fillId="0" borderId="0" xfId="0" applyNumberFormat="1" applyFont="1" applyAlignment="1">
      <alignment horizontal="right" wrapText="1"/>
    </xf>
    <xf numFmtId="164" fontId="3" fillId="0" borderId="1" xfId="0" applyNumberFormat="1" applyFont="1" applyBorder="1" applyAlignment="1">
      <alignment wrapText="1"/>
    </xf>
    <xf numFmtId="0" fontId="4" fillId="3" borderId="2" xfId="0" applyFont="1" applyFill="1" applyBorder="1" applyAlignment="1">
      <alignment wrapText="1"/>
    </xf>
    <xf numFmtId="0" fontId="5" fillId="4" borderId="3" xfId="0" applyFont="1" applyFill="1" applyBorder="1" applyAlignment="1">
      <alignment horizontal="center" wrapText="1"/>
    </xf>
    <xf numFmtId="0" fontId="6" fillId="5" borderId="4" xfId="0" applyFont="1" applyFill="1" applyBorder="1" applyAlignment="1">
      <alignment wrapText="1"/>
    </xf>
    <xf numFmtId="0" fontId="7" fillId="6" borderId="5" xfId="0" applyFont="1" applyFill="1" applyBorder="1" applyAlignment="1">
      <alignment wrapText="1"/>
    </xf>
    <xf numFmtId="165" fontId="8" fillId="0" borderId="6" xfId="0" applyNumberFormat="1" applyFont="1" applyBorder="1" applyAlignment="1">
      <alignment wrapText="1"/>
    </xf>
    <xf numFmtId="0" fontId="9" fillId="7" borderId="7" xfId="0" applyFont="1" applyFill="1" applyBorder="1" applyAlignment="1">
      <alignment wrapText="1"/>
    </xf>
    <xf numFmtId="164" fontId="10" fillId="8" borderId="0" xfId="0" applyNumberFormat="1" applyFont="1" applyFill="1" applyAlignment="1">
      <alignment wrapText="1"/>
    </xf>
    <xf numFmtId="0" fontId="11" fillId="9" borderId="0" xfId="0" applyFont="1" applyFill="1" applyAlignment="1">
      <alignment wrapText="1"/>
    </xf>
    <xf numFmtId="164" fontId="12" fillId="10" borderId="8" xfId="0" applyNumberFormat="1" applyFont="1" applyFill="1" applyBorder="1" applyAlignment="1">
      <alignment wrapText="1"/>
    </xf>
    <xf numFmtId="0" fontId="13" fillId="11" borderId="9" xfId="0" applyFont="1" applyFill="1" applyBorder="1" applyAlignment="1">
      <alignment horizontal="center" wrapText="1"/>
    </xf>
    <xf numFmtId="0" fontId="14" fillId="12" borderId="10" xfId="0" applyFont="1" applyFill="1" applyBorder="1" applyAlignment="1">
      <alignment wrapText="1"/>
    </xf>
    <xf numFmtId="0" fontId="15" fillId="13" borderId="11" xfId="0" applyFont="1" applyFill="1" applyBorder="1" applyAlignment="1">
      <alignment wrapText="1"/>
    </xf>
    <xf numFmtId="0" fontId="16" fillId="14" borderId="12" xfId="0" applyFont="1" applyFill="1" applyBorder="1" applyAlignment="1">
      <alignment wrapText="1"/>
    </xf>
    <xf numFmtId="3" fontId="17" fillId="0" borderId="13" xfId="0" applyNumberFormat="1" applyFont="1" applyBorder="1" applyAlignment="1">
      <alignment wrapText="1"/>
    </xf>
    <xf numFmtId="0" fontId="18" fillId="15" borderId="14" xfId="0" applyFont="1" applyFill="1" applyBorder="1" applyAlignment="1">
      <alignment horizontal="center" wrapText="1"/>
    </xf>
    <xf numFmtId="0" fontId="19" fillId="16" borderId="15" xfId="0" applyFont="1" applyFill="1" applyBorder="1" applyAlignment="1">
      <alignment wrapText="1"/>
    </xf>
    <xf numFmtId="0" fontId="20" fillId="17" borderId="16" xfId="0" applyFont="1" applyFill="1" applyBorder="1" applyAlignment="1">
      <alignment wrapText="1"/>
    </xf>
    <xf numFmtId="10" fontId="21" fillId="0" borderId="17" xfId="0" applyNumberFormat="1" applyFont="1" applyBorder="1" applyAlignment="1">
      <alignment wrapText="1"/>
    </xf>
    <xf numFmtId="0" fontId="22" fillId="18" borderId="18" xfId="0" applyFont="1" applyFill="1" applyBorder="1" applyAlignment="1">
      <alignment wrapText="1"/>
    </xf>
    <xf numFmtId="0" fontId="23" fillId="19" borderId="19" xfId="0" applyFont="1" applyFill="1" applyBorder="1" applyAlignment="1">
      <alignment horizontal="center" wrapText="1"/>
    </xf>
    <xf numFmtId="0" fontId="24" fillId="20" borderId="20" xfId="0" applyFont="1" applyFill="1" applyBorder="1" applyAlignment="1">
      <alignment wrapText="1"/>
    </xf>
    <xf numFmtId="166" fontId="25" fillId="0" borderId="0" xfId="0" applyNumberFormat="1" applyFont="1" applyAlignment="1">
      <alignment wrapText="1"/>
    </xf>
    <xf numFmtId="164" fontId="26" fillId="21" borderId="21" xfId="0" applyNumberFormat="1" applyFont="1" applyFill="1" applyBorder="1" applyAlignment="1">
      <alignment wrapText="1"/>
    </xf>
    <xf numFmtId="164" fontId="27" fillId="22" borderId="22" xfId="0" applyNumberFormat="1" applyFont="1" applyFill="1" applyBorder="1" applyAlignment="1">
      <alignment wrapText="1"/>
    </xf>
    <xf numFmtId="0" fontId="28" fillId="23" borderId="23" xfId="0" applyFont="1" applyFill="1" applyBorder="1" applyAlignment="1">
      <alignment horizontal="right" wrapText="1"/>
    </xf>
    <xf numFmtId="0" fontId="29" fillId="24" borderId="24" xfId="0" applyFont="1" applyFill="1" applyBorder="1" applyAlignment="1">
      <alignment wrapText="1"/>
    </xf>
    <xf numFmtId="165" fontId="30" fillId="0" borderId="25" xfId="0" applyNumberFormat="1" applyFont="1" applyBorder="1" applyAlignment="1">
      <alignment wrapText="1"/>
    </xf>
    <xf numFmtId="0" fontId="31" fillId="0" borderId="26" xfId="0" applyFont="1" applyBorder="1" applyAlignment="1">
      <alignment wrapText="1"/>
    </xf>
    <xf numFmtId="164" fontId="32" fillId="25" borderId="27" xfId="0" applyNumberFormat="1" applyFont="1" applyFill="1" applyBorder="1" applyAlignment="1">
      <alignment wrapText="1"/>
    </xf>
    <xf numFmtId="0" fontId="33" fillId="0" borderId="0" xfId="0" applyFont="1" applyAlignment="1">
      <alignment wrapText="1"/>
    </xf>
    <xf numFmtId="0" fontId="0" fillId="0" borderId="28" xfId="0" applyBorder="1" applyAlignment="1">
      <alignment wrapText="1"/>
    </xf>
    <xf numFmtId="164" fontId="34" fillId="26" borderId="0" xfId="0" applyNumberFormat="1" applyFont="1" applyFill="1" applyAlignment="1">
      <alignment wrapText="1"/>
    </xf>
    <xf numFmtId="0" fontId="35" fillId="27" borderId="29" xfId="0" applyFont="1" applyFill="1" applyBorder="1" applyAlignment="1">
      <alignment horizontal="center" wrapText="1"/>
    </xf>
    <xf numFmtId="0" fontId="36" fillId="28" borderId="0" xfId="0" applyFont="1" applyFill="1" applyAlignment="1">
      <alignment wrapText="1"/>
    </xf>
    <xf numFmtId="0" fontId="38" fillId="30" borderId="0" xfId="0" applyFont="1" applyFill="1" applyAlignment="1">
      <alignment wrapText="1"/>
    </xf>
    <xf numFmtId="0" fontId="39" fillId="31" borderId="31" xfId="0" applyFont="1" applyFill="1" applyBorder="1" applyAlignment="1">
      <alignment wrapText="1"/>
    </xf>
    <xf numFmtId="3" fontId="40" fillId="0" borderId="0" xfId="0" applyNumberFormat="1" applyFont="1" applyAlignment="1">
      <alignment wrapText="1"/>
    </xf>
    <xf numFmtId="0" fontId="41" fillId="32" borderId="0" xfId="0" applyFont="1" applyFill="1" applyAlignment="1">
      <alignment horizontal="center" wrapText="1"/>
    </xf>
    <xf numFmtId="0" fontId="42" fillId="33" borderId="32" xfId="0" applyFont="1" applyFill="1" applyBorder="1" applyAlignment="1">
      <alignment horizontal="center" wrapText="1"/>
    </xf>
    <xf numFmtId="164" fontId="43" fillId="0" borderId="33" xfId="0" applyNumberFormat="1" applyFont="1" applyBorder="1" applyAlignment="1">
      <alignment wrapText="1"/>
    </xf>
    <xf numFmtId="0" fontId="44" fillId="0" borderId="34" xfId="0" applyFont="1" applyBorder="1" applyAlignment="1">
      <alignment wrapText="1"/>
    </xf>
    <xf numFmtId="0" fontId="45" fillId="0" borderId="35" xfId="0" applyFont="1" applyBorder="1" applyAlignment="1">
      <alignment horizontal="right" wrapText="1"/>
    </xf>
    <xf numFmtId="0" fontId="46" fillId="0" borderId="0" xfId="0" applyFont="1" applyAlignment="1">
      <alignment horizontal="right" wrapText="1"/>
    </xf>
    <xf numFmtId="0" fontId="47" fillId="0" borderId="36" xfId="0" applyFont="1" applyBorder="1" applyAlignment="1">
      <alignment horizontal="center" wrapText="1"/>
    </xf>
    <xf numFmtId="164" fontId="48" fillId="34" borderId="37" xfId="0" applyNumberFormat="1" applyFont="1" applyFill="1" applyBorder="1" applyAlignment="1">
      <alignment wrapText="1"/>
    </xf>
    <xf numFmtId="0" fontId="49" fillId="35" borderId="38" xfId="0" applyFont="1" applyFill="1" applyBorder="1" applyAlignment="1">
      <alignment horizontal="center" wrapText="1"/>
    </xf>
    <xf numFmtId="0" fontId="51" fillId="0" borderId="40" xfId="0" applyFont="1" applyBorder="1" applyAlignment="1">
      <alignment horizontal="center" wrapText="1"/>
    </xf>
    <xf numFmtId="0" fontId="0" fillId="0" borderId="41" xfId="0" applyBorder="1" applyAlignment="1">
      <alignment wrapText="1"/>
    </xf>
    <xf numFmtId="0" fontId="52" fillId="0" borderId="42" xfId="0" applyFont="1" applyBorder="1" applyAlignment="1">
      <alignment wrapText="1"/>
    </xf>
    <xf numFmtId="0" fontId="53" fillId="0" borderId="43" xfId="0" applyFont="1" applyBorder="1" applyAlignment="1">
      <alignment wrapText="1"/>
    </xf>
    <xf numFmtId="0" fontId="54" fillId="37" borderId="44" xfId="0" applyFont="1" applyFill="1" applyBorder="1" applyAlignment="1">
      <alignment wrapText="1"/>
    </xf>
    <xf numFmtId="0" fontId="55" fillId="0" borderId="0" xfId="0" applyFont="1" applyAlignment="1">
      <alignment wrapText="1"/>
    </xf>
    <xf numFmtId="0" fontId="56" fillId="0" borderId="45" xfId="0" applyFont="1" applyBorder="1" applyAlignment="1">
      <alignment wrapText="1"/>
    </xf>
    <xf numFmtId="0" fontId="57" fillId="0" borderId="46" xfId="0" applyFont="1" applyBorder="1" applyAlignment="1">
      <alignment wrapText="1"/>
    </xf>
    <xf numFmtId="3" fontId="58" fillId="0" borderId="0" xfId="0" applyNumberFormat="1" applyFont="1" applyAlignment="1">
      <alignment wrapText="1"/>
    </xf>
    <xf numFmtId="0" fontId="59" fillId="38" borderId="47" xfId="0" applyFont="1" applyFill="1" applyBorder="1" applyAlignment="1">
      <alignment wrapText="1"/>
    </xf>
    <xf numFmtId="0" fontId="60" fillId="39" borderId="48" xfId="0" applyFont="1" applyFill="1" applyBorder="1" applyAlignment="1">
      <alignment wrapText="1"/>
    </xf>
    <xf numFmtId="4" fontId="61" fillId="0" borderId="0" xfId="0" applyNumberFormat="1" applyFont="1" applyAlignment="1">
      <alignment wrapText="1"/>
    </xf>
    <xf numFmtId="164" fontId="62" fillId="0" borderId="49" xfId="0" applyNumberFormat="1" applyFont="1" applyBorder="1" applyAlignment="1">
      <alignment wrapText="1"/>
    </xf>
    <xf numFmtId="0" fontId="63" fillId="40" borderId="50" xfId="0" applyFont="1" applyFill="1" applyBorder="1" applyAlignment="1">
      <alignment wrapText="1"/>
    </xf>
    <xf numFmtId="0" fontId="64" fillId="0" borderId="51" xfId="0" applyFont="1" applyBorder="1" applyAlignment="1">
      <alignment wrapText="1"/>
    </xf>
    <xf numFmtId="3" fontId="65" fillId="0" borderId="52" xfId="0" applyNumberFormat="1" applyFont="1" applyBorder="1" applyAlignment="1">
      <alignment wrapText="1"/>
    </xf>
    <xf numFmtId="0" fontId="66" fillId="41" borderId="0" xfId="0" applyFont="1" applyFill="1" applyAlignment="1">
      <alignment wrapText="1"/>
    </xf>
    <xf numFmtId="0" fontId="67" fillId="0" borderId="53" xfId="0" applyFont="1" applyBorder="1" applyAlignment="1">
      <alignment wrapText="1"/>
    </xf>
    <xf numFmtId="164" fontId="68" fillId="0" borderId="54" xfId="0" applyNumberFormat="1" applyFont="1" applyBorder="1" applyAlignment="1">
      <alignment wrapText="1"/>
    </xf>
    <xf numFmtId="164" fontId="69" fillId="0" borderId="55" xfId="0" applyNumberFormat="1" applyFont="1" applyBorder="1" applyAlignment="1">
      <alignment wrapText="1"/>
    </xf>
    <xf numFmtId="165" fontId="70" fillId="0" borderId="0" xfId="0" applyNumberFormat="1" applyFont="1" applyAlignment="1">
      <alignment wrapText="1"/>
    </xf>
    <xf numFmtId="164" fontId="71" fillId="0" borderId="56" xfId="0" applyNumberFormat="1" applyFont="1" applyBorder="1" applyAlignment="1">
      <alignment wrapText="1"/>
    </xf>
    <xf numFmtId="0" fontId="72" fillId="0" borderId="57" xfId="0" applyFont="1" applyBorder="1" applyAlignment="1">
      <alignment horizontal="center" wrapText="1"/>
    </xf>
    <xf numFmtId="0" fontId="73" fillId="42" borderId="58" xfId="0" applyFont="1" applyFill="1" applyBorder="1" applyAlignment="1">
      <alignment wrapText="1"/>
    </xf>
    <xf numFmtId="0" fontId="74" fillId="0" borderId="59" xfId="0" applyFont="1" applyBorder="1" applyAlignment="1">
      <alignment wrapText="1"/>
    </xf>
    <xf numFmtId="0" fontId="75" fillId="0" borderId="60" xfId="0" applyFont="1" applyBorder="1" applyAlignment="1">
      <alignment wrapText="1"/>
    </xf>
    <xf numFmtId="0" fontId="76" fillId="43" borderId="0" xfId="0" applyFont="1" applyFill="1" applyAlignment="1">
      <alignment wrapText="1"/>
    </xf>
    <xf numFmtId="0" fontId="77" fillId="44" borderId="0" xfId="0" applyFont="1" applyFill="1" applyAlignment="1">
      <alignment wrapText="1"/>
    </xf>
    <xf numFmtId="164" fontId="78" fillId="45" borderId="61" xfId="0" applyNumberFormat="1" applyFont="1" applyFill="1" applyBorder="1" applyAlignment="1">
      <alignment wrapText="1"/>
    </xf>
    <xf numFmtId="164" fontId="79" fillId="0" borderId="0" xfId="0" applyNumberFormat="1" applyFont="1" applyAlignment="1">
      <alignment wrapText="1"/>
    </xf>
    <xf numFmtId="0" fontId="80" fillId="46" borderId="62" xfId="0" applyFont="1" applyFill="1" applyBorder="1" applyAlignment="1">
      <alignment wrapText="1"/>
    </xf>
    <xf numFmtId="164" fontId="81" fillId="0" borderId="0" xfId="0" applyNumberFormat="1" applyFont="1" applyAlignment="1">
      <alignment wrapText="1"/>
    </xf>
    <xf numFmtId="0" fontId="82" fillId="0" borderId="0" xfId="0" applyFont="1" applyAlignment="1">
      <alignment wrapText="1"/>
    </xf>
    <xf numFmtId="0" fontId="83" fillId="0" borderId="63" xfId="0" applyFont="1" applyBorder="1" applyAlignment="1">
      <alignment wrapText="1"/>
    </xf>
    <xf numFmtId="164" fontId="84" fillId="47" borderId="64" xfId="0" applyNumberFormat="1" applyFont="1" applyFill="1" applyBorder="1" applyAlignment="1">
      <alignment wrapText="1"/>
    </xf>
    <xf numFmtId="0" fontId="85" fillId="48" borderId="65" xfId="0" applyFont="1" applyFill="1" applyBorder="1" applyAlignment="1">
      <alignment horizontal="center" wrapText="1"/>
    </xf>
    <xf numFmtId="0" fontId="86" fillId="49" borderId="66" xfId="0" applyFont="1" applyFill="1" applyBorder="1" applyAlignment="1">
      <alignment horizontal="right" wrapText="1"/>
    </xf>
    <xf numFmtId="164" fontId="87" fillId="50" borderId="67" xfId="0" applyNumberFormat="1" applyFont="1" applyFill="1" applyBorder="1" applyAlignment="1">
      <alignment wrapText="1"/>
    </xf>
    <xf numFmtId="0" fontId="88" fillId="0" borderId="0" xfId="0" applyFont="1" applyAlignment="1">
      <alignment horizontal="center" wrapText="1"/>
    </xf>
    <xf numFmtId="0" fontId="89" fillId="0" borderId="0" xfId="0" applyFont="1" applyAlignment="1">
      <alignment wrapText="1"/>
    </xf>
    <xf numFmtId="164" fontId="90" fillId="0" borderId="0" xfId="0" applyNumberFormat="1" applyFont="1" applyAlignment="1">
      <alignment wrapText="1"/>
    </xf>
    <xf numFmtId="0" fontId="91" fillId="0" borderId="68" xfId="0" applyFont="1" applyBorder="1" applyAlignment="1">
      <alignment wrapText="1"/>
    </xf>
    <xf numFmtId="0" fontId="93" fillId="51" borderId="70" xfId="0" applyFont="1" applyFill="1" applyBorder="1" applyAlignment="1">
      <alignment wrapText="1"/>
    </xf>
    <xf numFmtId="0" fontId="94" fillId="0" borderId="71" xfId="0" applyFont="1" applyBorder="1" applyAlignment="1">
      <alignment wrapText="1"/>
    </xf>
    <xf numFmtId="164" fontId="95" fillId="52" borderId="72" xfId="0" applyNumberFormat="1" applyFont="1" applyFill="1" applyBorder="1" applyAlignment="1">
      <alignment wrapText="1"/>
    </xf>
    <xf numFmtId="0" fontId="96" fillId="53" borderId="73" xfId="0" applyFont="1" applyFill="1" applyBorder="1" applyAlignment="1">
      <alignment wrapText="1"/>
    </xf>
    <xf numFmtId="0" fontId="97" fillId="54" borderId="74" xfId="0" applyFont="1" applyFill="1" applyBorder="1" applyAlignment="1">
      <alignment horizontal="right" wrapText="1"/>
    </xf>
    <xf numFmtId="165" fontId="98" fillId="0" borderId="0" xfId="0" applyNumberFormat="1" applyFont="1" applyAlignment="1">
      <alignment wrapText="1"/>
    </xf>
    <xf numFmtId="9" fontId="99" fillId="0" borderId="0" xfId="0" applyNumberFormat="1" applyFont="1" applyAlignment="1">
      <alignment wrapText="1"/>
    </xf>
    <xf numFmtId="0" fontId="100" fillId="0" borderId="75" xfId="0" applyFont="1" applyBorder="1" applyAlignment="1">
      <alignment horizontal="right" wrapText="1"/>
    </xf>
    <xf numFmtId="0" fontId="102" fillId="0" borderId="77" xfId="0" applyFont="1" applyBorder="1" applyAlignment="1">
      <alignment wrapText="1"/>
    </xf>
    <xf numFmtId="10" fontId="103" fillId="0" borderId="0" xfId="0" applyNumberFormat="1" applyFont="1" applyAlignment="1">
      <alignment wrapText="1"/>
    </xf>
    <xf numFmtId="0" fontId="104" fillId="56" borderId="78" xfId="0" applyFont="1" applyFill="1" applyBorder="1" applyAlignment="1">
      <alignment horizontal="center" wrapText="1"/>
    </xf>
    <xf numFmtId="164" fontId="105" fillId="0" borderId="79" xfId="0" applyNumberFormat="1" applyFont="1" applyBorder="1" applyAlignment="1">
      <alignment wrapText="1"/>
    </xf>
    <xf numFmtId="3" fontId="106" fillId="57" borderId="80" xfId="0" applyNumberFormat="1" applyFont="1" applyFill="1" applyBorder="1" applyAlignment="1">
      <alignment wrapText="1"/>
    </xf>
    <xf numFmtId="164" fontId="107" fillId="58" borderId="81" xfId="0" applyNumberFormat="1" applyFont="1" applyFill="1" applyBorder="1" applyAlignment="1">
      <alignment wrapText="1"/>
    </xf>
    <xf numFmtId="0" fontId="108" fillId="0" borderId="82" xfId="0" applyFont="1" applyBorder="1" applyAlignment="1">
      <alignment wrapText="1"/>
    </xf>
    <xf numFmtId="0" fontId="109" fillId="59" borderId="83" xfId="0" applyFont="1" applyFill="1" applyBorder="1" applyAlignment="1">
      <alignment wrapText="1"/>
    </xf>
    <xf numFmtId="9" fontId="110" fillId="0" borderId="84" xfId="0" applyNumberFormat="1" applyFont="1" applyBorder="1" applyAlignment="1">
      <alignment wrapText="1"/>
    </xf>
    <xf numFmtId="0" fontId="111" fillId="0" borderId="0" xfId="0" applyFont="1" applyAlignment="1">
      <alignment horizontal="center" wrapText="1"/>
    </xf>
    <xf numFmtId="165" fontId="112" fillId="0" borderId="85" xfId="0" applyNumberFormat="1" applyFont="1" applyBorder="1" applyAlignment="1">
      <alignment wrapText="1"/>
    </xf>
    <xf numFmtId="0" fontId="113" fillId="0" borderId="0" xfId="0" applyFont="1" applyAlignment="1">
      <alignment horizontal="right" wrapText="1"/>
    </xf>
    <xf numFmtId="3" fontId="114" fillId="0" borderId="86" xfId="0" applyNumberFormat="1" applyFont="1" applyBorder="1" applyAlignment="1">
      <alignment wrapText="1"/>
    </xf>
    <xf numFmtId="0" fontId="115" fillId="0" borderId="87" xfId="0" applyFont="1" applyBorder="1" applyAlignment="1">
      <alignment horizontal="center" wrapText="1"/>
    </xf>
    <xf numFmtId="0" fontId="116" fillId="0" borderId="88" xfId="0" applyFont="1" applyBorder="1" applyAlignment="1">
      <alignment wrapText="1"/>
    </xf>
    <xf numFmtId="0" fontId="117" fillId="0" borderId="89" xfId="0" applyFont="1" applyBorder="1" applyAlignment="1">
      <alignment wrapText="1"/>
    </xf>
    <xf numFmtId="164" fontId="118" fillId="0" borderId="90" xfId="0" applyNumberFormat="1" applyFont="1" applyBorder="1" applyAlignment="1">
      <alignment wrapText="1"/>
    </xf>
    <xf numFmtId="0" fontId="119" fillId="0" borderId="91" xfId="0" applyFont="1" applyBorder="1" applyAlignment="1">
      <alignment wrapText="1"/>
    </xf>
    <xf numFmtId="0" fontId="0" fillId="0" borderId="92" xfId="0" applyBorder="1" applyAlignment="1">
      <alignment wrapText="1"/>
    </xf>
    <xf numFmtId="165" fontId="120" fillId="0" borderId="93" xfId="0" applyNumberFormat="1" applyFont="1" applyBorder="1" applyAlignment="1">
      <alignment wrapText="1"/>
    </xf>
    <xf numFmtId="3" fontId="121" fillId="0" borderId="94" xfId="0" applyNumberFormat="1" applyFont="1" applyBorder="1" applyAlignment="1">
      <alignment horizontal="right" wrapText="1"/>
    </xf>
    <xf numFmtId="0" fontId="122" fillId="0" borderId="95" xfId="0" applyFont="1" applyBorder="1" applyAlignment="1">
      <alignment wrapText="1"/>
    </xf>
    <xf numFmtId="0" fontId="123" fillId="0" borderId="96" xfId="0" applyFont="1" applyBorder="1" applyAlignment="1">
      <alignment wrapText="1"/>
    </xf>
    <xf numFmtId="164" fontId="124" fillId="0" borderId="97" xfId="0" applyNumberFormat="1" applyFont="1" applyBorder="1" applyAlignment="1">
      <alignment wrapText="1"/>
    </xf>
    <xf numFmtId="0" fontId="126" fillId="60" borderId="99" xfId="0" applyFont="1" applyFill="1" applyBorder="1" applyAlignment="1">
      <alignment wrapText="1"/>
    </xf>
    <xf numFmtId="0" fontId="127" fillId="61" borderId="100" xfId="0" applyFont="1" applyFill="1" applyBorder="1" applyAlignment="1">
      <alignment horizontal="center" wrapText="1"/>
    </xf>
    <xf numFmtId="9" fontId="128" fillId="0" borderId="101" xfId="0" applyNumberFormat="1" applyFont="1" applyBorder="1" applyAlignment="1">
      <alignment wrapText="1"/>
    </xf>
    <xf numFmtId="0" fontId="129" fillId="0" borderId="102" xfId="0" applyFont="1" applyBorder="1" applyAlignment="1">
      <alignment wrapText="1"/>
    </xf>
    <xf numFmtId="0" fontId="130" fillId="0" borderId="0" xfId="0" applyFont="1" applyAlignment="1">
      <alignment wrapText="1"/>
    </xf>
    <xf numFmtId="0" fontId="131" fillId="0" borderId="103" xfId="0" applyFont="1" applyBorder="1" applyAlignment="1">
      <alignment horizontal="right" wrapText="1"/>
    </xf>
    <xf numFmtId="0" fontId="132" fillId="0" borderId="104" xfId="0" applyFont="1" applyBorder="1" applyAlignment="1">
      <alignment horizontal="right" wrapText="1"/>
    </xf>
    <xf numFmtId="4" fontId="133" fillId="0" borderId="0" xfId="0" applyNumberFormat="1" applyFont="1" applyAlignment="1">
      <alignment wrapText="1"/>
    </xf>
    <xf numFmtId="0" fontId="134" fillId="62" borderId="0" xfId="0" applyFont="1" applyFill="1" applyAlignment="1">
      <alignment wrapText="1"/>
    </xf>
    <xf numFmtId="0" fontId="135" fillId="0" borderId="0" xfId="0" applyFont="1" applyAlignment="1">
      <alignment horizontal="center" wrapText="1"/>
    </xf>
    <xf numFmtId="164" fontId="136" fillId="0" borderId="0" xfId="0" applyNumberFormat="1" applyFont="1" applyAlignment="1">
      <alignment wrapText="1"/>
    </xf>
    <xf numFmtId="0" fontId="137" fillId="63" borderId="105" xfId="0" applyFont="1" applyFill="1" applyBorder="1" applyAlignment="1">
      <alignment wrapText="1"/>
    </xf>
    <xf numFmtId="0" fontId="138" fillId="64" borderId="0" xfId="0" applyFont="1" applyFill="1" applyAlignment="1">
      <alignment horizontal="right" wrapText="1"/>
    </xf>
    <xf numFmtId="0" fontId="139" fillId="65" borderId="106" xfId="0" applyFont="1" applyFill="1" applyBorder="1" applyAlignment="1">
      <alignment wrapText="1"/>
    </xf>
    <xf numFmtId="0" fontId="140" fillId="0" borderId="107" xfId="0" applyFont="1" applyBorder="1" applyAlignment="1">
      <alignment wrapText="1"/>
    </xf>
    <xf numFmtId="0" fontId="141" fillId="0" borderId="108" xfId="0" applyFont="1" applyBorder="1" applyAlignment="1">
      <alignment wrapText="1"/>
    </xf>
    <xf numFmtId="164" fontId="142" fillId="0" borderId="0" xfId="0" applyNumberFormat="1" applyFont="1" applyAlignment="1">
      <alignment wrapText="1"/>
    </xf>
    <xf numFmtId="0" fontId="143" fillId="66" borderId="109" xfId="0" applyFont="1" applyFill="1" applyBorder="1" applyAlignment="1">
      <alignment wrapText="1"/>
    </xf>
    <xf numFmtId="0" fontId="144" fillId="0" borderId="0" xfId="0" applyFont="1" applyAlignment="1">
      <alignment horizontal="left" wrapText="1"/>
    </xf>
    <xf numFmtId="164" fontId="145" fillId="67" borderId="0" xfId="0" applyNumberFormat="1" applyFont="1" applyFill="1" applyAlignment="1">
      <alignment wrapText="1"/>
    </xf>
    <xf numFmtId="165" fontId="146" fillId="0" borderId="110" xfId="0" applyNumberFormat="1" applyFont="1" applyBorder="1" applyAlignment="1">
      <alignment wrapText="1"/>
    </xf>
    <xf numFmtId="0" fontId="147" fillId="0" borderId="0" xfId="0" applyFont="1" applyAlignment="1">
      <alignment wrapText="1"/>
    </xf>
    <xf numFmtId="0" fontId="148" fillId="68" borderId="111" xfId="0" applyFont="1" applyFill="1" applyBorder="1" applyAlignment="1">
      <alignment wrapText="1"/>
    </xf>
    <xf numFmtId="0" fontId="149" fillId="0" borderId="0" xfId="0" applyFont="1" applyAlignment="1">
      <alignment wrapText="1"/>
    </xf>
    <xf numFmtId="164" fontId="150" fillId="69" borderId="112" xfId="0" applyNumberFormat="1" applyFont="1" applyFill="1" applyBorder="1" applyAlignment="1">
      <alignment wrapText="1"/>
    </xf>
    <xf numFmtId="164" fontId="151" fillId="0" borderId="113" xfId="0" applyNumberFormat="1" applyFont="1" applyBorder="1" applyAlignment="1">
      <alignment wrapText="1"/>
    </xf>
    <xf numFmtId="3" fontId="152" fillId="70" borderId="114" xfId="0" applyNumberFormat="1" applyFont="1" applyFill="1" applyBorder="1" applyAlignment="1">
      <alignment wrapText="1"/>
    </xf>
    <xf numFmtId="0" fontId="153" fillId="0" borderId="115" xfId="0" applyFont="1" applyBorder="1" applyAlignment="1">
      <alignment wrapText="1"/>
    </xf>
    <xf numFmtId="3" fontId="154" fillId="0" borderId="116" xfId="0" applyNumberFormat="1" applyFont="1" applyBorder="1" applyAlignment="1">
      <alignment wrapText="1"/>
    </xf>
    <xf numFmtId="165" fontId="155" fillId="0" borderId="117" xfId="0" applyNumberFormat="1" applyFont="1" applyBorder="1" applyAlignment="1">
      <alignment wrapText="1"/>
    </xf>
    <xf numFmtId="0" fontId="156" fillId="0" borderId="118" xfId="0" applyFont="1" applyBorder="1" applyAlignment="1">
      <alignment wrapText="1"/>
    </xf>
    <xf numFmtId="0" fontId="0" fillId="0" borderId="119" xfId="0" applyBorder="1" applyAlignment="1">
      <alignment wrapText="1"/>
    </xf>
    <xf numFmtId="165" fontId="157" fillId="0" borderId="120" xfId="0" applyNumberFormat="1" applyFont="1" applyBorder="1" applyAlignment="1">
      <alignment wrapText="1"/>
    </xf>
    <xf numFmtId="164" fontId="158" fillId="0" borderId="121" xfId="0" applyNumberFormat="1" applyFont="1" applyBorder="1" applyAlignment="1">
      <alignment wrapText="1"/>
    </xf>
    <xf numFmtId="0" fontId="159" fillId="71" borderId="122" xfId="0" applyFont="1" applyFill="1" applyBorder="1" applyAlignment="1">
      <alignment horizontal="center" wrapText="1"/>
    </xf>
    <xf numFmtId="9" fontId="161" fillId="0" borderId="124" xfId="0" applyNumberFormat="1" applyFont="1" applyBorder="1" applyAlignment="1">
      <alignment wrapText="1"/>
    </xf>
    <xf numFmtId="0" fontId="0" fillId="0" borderId="125" xfId="0" applyBorder="1" applyAlignment="1">
      <alignment wrapText="1"/>
    </xf>
    <xf numFmtId="164" fontId="162" fillId="72" borderId="126" xfId="0" applyNumberFormat="1" applyFont="1" applyFill="1" applyBorder="1" applyAlignment="1">
      <alignment wrapText="1"/>
    </xf>
    <xf numFmtId="0" fontId="163" fillId="73" borderId="127" xfId="0" applyFont="1" applyFill="1" applyBorder="1" applyAlignment="1">
      <alignment horizontal="center" wrapText="1"/>
    </xf>
    <xf numFmtId="0" fontId="164" fillId="74" borderId="128" xfId="0" applyFont="1" applyFill="1" applyBorder="1" applyAlignment="1">
      <alignment wrapText="1"/>
    </xf>
    <xf numFmtId="0" fontId="165" fillId="0" borderId="129" xfId="0" applyFont="1" applyBorder="1" applyAlignment="1">
      <alignment wrapText="1"/>
    </xf>
    <xf numFmtId="0" fontId="166" fillId="75" borderId="130" xfId="0" applyFont="1" applyFill="1" applyBorder="1" applyAlignment="1">
      <alignment wrapText="1"/>
    </xf>
    <xf numFmtId="0" fontId="0" fillId="0" borderId="131" xfId="0" applyBorder="1" applyAlignment="1">
      <alignment wrapText="1"/>
    </xf>
    <xf numFmtId="3" fontId="167" fillId="76" borderId="132" xfId="0" applyNumberFormat="1" applyFont="1" applyFill="1" applyBorder="1" applyAlignment="1">
      <alignment wrapText="1"/>
    </xf>
    <xf numFmtId="164" fontId="168" fillId="77" borderId="133" xfId="0" applyNumberFormat="1" applyFont="1" applyFill="1" applyBorder="1" applyAlignment="1">
      <alignment wrapText="1"/>
    </xf>
    <xf numFmtId="0" fontId="169" fillId="78" borderId="0" xfId="0" applyFont="1" applyFill="1" applyAlignment="1">
      <alignment wrapText="1"/>
    </xf>
    <xf numFmtId="0" fontId="170" fillId="79" borderId="0" xfId="0" applyFont="1" applyFill="1" applyAlignment="1">
      <alignment horizontal="center" wrapText="1"/>
    </xf>
    <xf numFmtId="164" fontId="171" fillId="80" borderId="134" xfId="0" applyNumberFormat="1" applyFont="1" applyFill="1" applyBorder="1" applyAlignment="1">
      <alignment wrapText="1"/>
    </xf>
    <xf numFmtId="0" fontId="172" fillId="81" borderId="135" xfId="0" applyFont="1" applyFill="1" applyBorder="1" applyAlignment="1">
      <alignment horizontal="right" wrapText="1"/>
    </xf>
    <xf numFmtId="0" fontId="173" fillId="0" borderId="136" xfId="0" applyFont="1" applyBorder="1" applyAlignment="1">
      <alignment wrapText="1"/>
    </xf>
    <xf numFmtId="0" fontId="175" fillId="83" borderId="138" xfId="0" applyFont="1" applyFill="1" applyBorder="1" applyAlignment="1">
      <alignment wrapText="1"/>
    </xf>
    <xf numFmtId="9" fontId="0" fillId="0" borderId="0" xfId="0" applyNumberFormat="1" applyAlignment="1">
      <alignment wrapText="1"/>
    </xf>
    <xf numFmtId="0" fontId="176" fillId="84" borderId="139" xfId="0" applyFont="1" applyFill="1" applyBorder="1" applyAlignment="1">
      <alignment wrapText="1"/>
    </xf>
    <xf numFmtId="0" fontId="177" fillId="85" borderId="140" xfId="0" applyFont="1" applyFill="1" applyBorder="1" applyAlignment="1">
      <alignment wrapText="1"/>
    </xf>
    <xf numFmtId="0" fontId="178" fillId="0" borderId="141" xfId="0" applyFont="1" applyBorder="1" applyAlignment="1">
      <alignment wrapText="1"/>
    </xf>
    <xf numFmtId="165" fontId="179" fillId="0" borderId="142" xfId="0" applyNumberFormat="1" applyFont="1" applyBorder="1" applyAlignment="1">
      <alignment wrapText="1"/>
    </xf>
    <xf numFmtId="0" fontId="180" fillId="86" borderId="143" xfId="0" applyFont="1" applyFill="1" applyBorder="1" applyAlignment="1">
      <alignment horizontal="right" wrapText="1"/>
    </xf>
    <xf numFmtId="0" fontId="181" fillId="0" borderId="0" xfId="0" applyFont="1" applyAlignment="1">
      <alignment wrapText="1"/>
    </xf>
    <xf numFmtId="0" fontId="182" fillId="87" borderId="144" xfId="0" applyFont="1" applyFill="1" applyBorder="1" applyAlignment="1">
      <alignment horizontal="center" wrapText="1"/>
    </xf>
    <xf numFmtId="0" fontId="183" fillId="0" borderId="145" xfId="0" applyFont="1" applyBorder="1" applyAlignment="1">
      <alignment wrapText="1"/>
    </xf>
    <xf numFmtId="3" fontId="184" fillId="0" borderId="0" xfId="0" applyNumberFormat="1" applyFont="1" applyAlignment="1">
      <alignment horizontal="right" wrapText="1"/>
    </xf>
    <xf numFmtId="4" fontId="185" fillId="0" borderId="0" xfId="0" applyNumberFormat="1" applyFont="1" applyAlignment="1">
      <alignment wrapText="1"/>
    </xf>
    <xf numFmtId="0" fontId="186" fillId="0" borderId="0" xfId="0" applyFont="1" applyAlignment="1">
      <alignment wrapText="1"/>
    </xf>
    <xf numFmtId="0" fontId="187" fillId="0" borderId="0" xfId="0" applyFont="1" applyAlignment="1">
      <alignment wrapText="1"/>
    </xf>
    <xf numFmtId="0" fontId="188" fillId="0" borderId="146" xfId="0" applyFont="1" applyBorder="1" applyAlignment="1">
      <alignment horizontal="center" wrapText="1"/>
    </xf>
    <xf numFmtId="0" fontId="189" fillId="88" borderId="0" xfId="0" applyFont="1" applyFill="1" applyAlignment="1">
      <alignment wrapText="1"/>
    </xf>
    <xf numFmtId="0" fontId="190" fillId="0" borderId="0" xfId="0" applyFont="1" applyAlignment="1">
      <alignment wrapText="1"/>
    </xf>
    <xf numFmtId="164" fontId="191" fillId="89" borderId="0" xfId="0" applyNumberFormat="1" applyFont="1" applyFill="1" applyAlignment="1">
      <alignment wrapText="1"/>
    </xf>
    <xf numFmtId="0" fontId="192" fillId="0" borderId="147" xfId="0" applyFont="1" applyBorder="1" applyAlignment="1">
      <alignment horizontal="center" wrapText="1"/>
    </xf>
    <xf numFmtId="9" fontId="194" fillId="0" borderId="0" xfId="0" applyNumberFormat="1" applyFont="1" applyAlignment="1">
      <alignment wrapText="1"/>
    </xf>
    <xf numFmtId="0" fontId="195" fillId="0" borderId="149" xfId="0" applyFont="1" applyBorder="1" applyAlignment="1">
      <alignment wrapText="1"/>
    </xf>
    <xf numFmtId="3" fontId="196" fillId="90" borderId="0" xfId="0" applyNumberFormat="1" applyFont="1" applyFill="1" applyAlignment="1">
      <alignment wrapText="1"/>
    </xf>
    <xf numFmtId="3" fontId="197" fillId="0" borderId="150" xfId="0" applyNumberFormat="1" applyFont="1" applyBorder="1" applyAlignment="1">
      <alignment wrapText="1"/>
    </xf>
    <xf numFmtId="164" fontId="198" fillId="91" borderId="0" xfId="0" applyNumberFormat="1" applyFont="1" applyFill="1" applyAlignment="1">
      <alignment wrapText="1"/>
    </xf>
    <xf numFmtId="0" fontId="199" fillId="92" borderId="151" xfId="0" applyFont="1" applyFill="1" applyBorder="1" applyAlignment="1">
      <alignment horizontal="center" wrapText="1"/>
    </xf>
    <xf numFmtId="164" fontId="200" fillId="93" borderId="152" xfId="0" applyNumberFormat="1" applyFont="1" applyFill="1" applyBorder="1" applyAlignment="1">
      <alignment wrapText="1"/>
    </xf>
    <xf numFmtId="164" fontId="201" fillId="94" borderId="153" xfId="0" applyNumberFormat="1" applyFont="1" applyFill="1" applyBorder="1" applyAlignment="1">
      <alignment wrapText="1"/>
    </xf>
    <xf numFmtId="0" fontId="202" fillId="0" borderId="154" xfId="0" applyFont="1" applyBorder="1" applyAlignment="1">
      <alignment horizontal="right" wrapText="1"/>
    </xf>
    <xf numFmtId="9" fontId="203" fillId="0" borderId="0" xfId="0" applyNumberFormat="1" applyFont="1" applyAlignment="1">
      <alignment horizontal="center" wrapText="1"/>
    </xf>
    <xf numFmtId="0" fontId="204" fillId="0" borderId="155" xfId="0" applyFont="1" applyBorder="1" applyAlignment="1">
      <alignment horizontal="right" wrapText="1"/>
    </xf>
    <xf numFmtId="0" fontId="205" fillId="95" borderId="156" xfId="0" applyFont="1" applyFill="1" applyBorder="1" applyAlignment="1">
      <alignment wrapText="1"/>
    </xf>
    <xf numFmtId="0" fontId="206" fillId="0" borderId="157" xfId="0" applyFont="1" applyBorder="1" applyAlignment="1">
      <alignment wrapText="1"/>
    </xf>
    <xf numFmtId="164" fontId="207" fillId="96" borderId="158" xfId="0" applyNumberFormat="1" applyFont="1" applyFill="1" applyBorder="1" applyAlignment="1">
      <alignment wrapText="1"/>
    </xf>
    <xf numFmtId="0" fontId="208" fillId="0" borderId="0" xfId="0" applyFont="1" applyAlignment="1">
      <alignment horizontal="center" wrapText="1"/>
    </xf>
    <xf numFmtId="168" fontId="209" fillId="0" borderId="0" xfId="0" applyNumberFormat="1" applyFont="1" applyAlignment="1">
      <alignment wrapText="1"/>
    </xf>
    <xf numFmtId="0" fontId="210" fillId="0" borderId="159" xfId="0" applyFont="1" applyBorder="1" applyAlignment="1">
      <alignment horizontal="right" wrapText="1"/>
    </xf>
    <xf numFmtId="164" fontId="211" fillId="0" borderId="0" xfId="0" applyNumberFormat="1" applyFont="1" applyAlignment="1">
      <alignment wrapText="1"/>
    </xf>
    <xf numFmtId="165" fontId="212" fillId="0" borderId="160" xfId="0" applyNumberFormat="1" applyFont="1" applyBorder="1" applyAlignment="1">
      <alignment wrapText="1"/>
    </xf>
    <xf numFmtId="164" fontId="213" fillId="97" borderId="161" xfId="0" applyNumberFormat="1" applyFont="1" applyFill="1" applyBorder="1" applyAlignment="1">
      <alignment wrapText="1"/>
    </xf>
    <xf numFmtId="0" fontId="163" fillId="73" borderId="127" xfId="0" applyFont="1" applyFill="1" applyBorder="1" applyAlignment="1">
      <alignment horizontal="center" wrapText="1"/>
    </xf>
    <xf numFmtId="0" fontId="101" fillId="55" borderId="76" xfId="0" applyFont="1" applyFill="1" applyBorder="1" applyAlignment="1">
      <alignment horizontal="center" wrapText="1"/>
    </xf>
    <xf numFmtId="0" fontId="37" fillId="29" borderId="30" xfId="0" applyFont="1" applyFill="1" applyBorder="1" applyAlignment="1">
      <alignment horizontal="center" wrapText="1"/>
    </xf>
    <xf numFmtId="0" fontId="174" fillId="82" borderId="137" xfId="0" applyFont="1" applyFill="1" applyBorder="1" applyAlignment="1">
      <alignment horizontal="center" wrapText="1"/>
    </xf>
    <xf numFmtId="0" fontId="50" fillId="36" borderId="39" xfId="0" applyFont="1" applyFill="1" applyBorder="1" applyAlignment="1">
      <alignment wrapText="1"/>
    </xf>
    <xf numFmtId="0" fontId="181" fillId="0" borderId="0" xfId="0" applyFont="1" applyAlignment="1">
      <alignment wrapText="1"/>
    </xf>
    <xf numFmtId="0" fontId="33" fillId="0" borderId="0" xfId="0" applyFont="1" applyAlignment="1">
      <alignment wrapText="1"/>
    </xf>
    <xf numFmtId="0" fontId="147" fillId="0" borderId="0" xfId="0" applyFont="1" applyAlignment="1">
      <alignment wrapText="1"/>
    </xf>
    <xf numFmtId="0" fontId="193" fillId="0" borderId="148" xfId="0" applyFont="1" applyBorder="1" applyAlignment="1">
      <alignment horizontal="center" wrapText="1"/>
    </xf>
    <xf numFmtId="0" fontId="160" fillId="0" borderId="123" xfId="0" applyFont="1" applyBorder="1" applyAlignment="1">
      <alignment horizontal="center" wrapText="1"/>
    </xf>
    <xf numFmtId="0" fontId="92" fillId="0" borderId="69" xfId="0" applyFont="1" applyBorder="1" applyAlignment="1">
      <alignment horizontal="center" wrapText="1"/>
    </xf>
    <xf numFmtId="0" fontId="141" fillId="0" borderId="108" xfId="0" applyFont="1" applyBorder="1" applyAlignment="1">
      <alignment wrapText="1"/>
    </xf>
    <xf numFmtId="0" fontId="115" fillId="0" borderId="87" xfId="0" applyFont="1" applyBorder="1" applyAlignment="1">
      <alignment horizontal="center" wrapText="1"/>
    </xf>
    <xf numFmtId="0" fontId="135" fillId="0" borderId="0" xfId="0" applyFont="1" applyAlignment="1">
      <alignment horizontal="center" wrapText="1"/>
    </xf>
    <xf numFmtId="0" fontId="47" fillId="0" borderId="36" xfId="0" applyFont="1" applyBorder="1" applyAlignment="1">
      <alignment horizontal="center" wrapText="1"/>
    </xf>
    <xf numFmtId="0" fontId="125" fillId="0" borderId="98" xfId="0" applyFont="1" applyBorder="1" applyAlignment="1">
      <alignment horizontal="center" wrapText="1"/>
    </xf>
  </cellXfs>
  <cellStyles count="1">
    <cellStyle name="Normal" xfId="0" builtinId="0"/>
  </cellStyles>
  <dxfs count="41">
    <dxf>
      <font>
        <color rgb="FFFFFFFF"/>
      </font>
      <fill>
        <patternFill patternType="solid">
          <bgColor rgb="FF9900FF"/>
        </patternFill>
      </fill>
    </dxf>
    <dxf>
      <font>
        <color rgb="FF000000"/>
      </font>
      <fill>
        <patternFill patternType="solid">
          <bgColor rgb="FFFF00FF"/>
        </patternFill>
      </fill>
    </dxf>
    <dxf>
      <font>
        <color rgb="FFFFFFFF"/>
      </font>
      <fill>
        <patternFill patternType="solid">
          <bgColor rgb="FFCC0000"/>
        </patternFill>
      </fill>
    </dxf>
    <dxf>
      <font>
        <color rgb="FF000000"/>
      </font>
      <fill>
        <patternFill patternType="solid">
          <bgColor rgb="FFFF9900"/>
        </patternFill>
      </fill>
    </dxf>
    <dxf>
      <font>
        <color rgb="FF000000"/>
      </font>
      <fill>
        <patternFill patternType="solid">
          <bgColor rgb="FF00FF00"/>
        </patternFill>
      </fill>
    </dxf>
    <dxf>
      <font>
        <color rgb="FF000000"/>
      </font>
      <fill>
        <patternFill patternType="solid">
          <bgColor rgb="FF00FFFF"/>
        </patternFill>
      </fill>
    </dxf>
    <dxf>
      <fill>
        <patternFill patternType="solid">
          <bgColor rgb="FF00FF00"/>
        </patternFill>
      </fill>
    </dxf>
    <dxf>
      <font>
        <color rgb="FFFFFF00"/>
      </font>
      <fill>
        <patternFill patternType="solid">
          <bgColor rgb="FFFFFF00"/>
        </patternFill>
      </fill>
    </dxf>
    <dxf>
      <font>
        <color rgb="FFFF0000"/>
      </font>
      <fill>
        <patternFill patternType="solid">
          <bgColor rgb="FFFF0000"/>
        </patternFill>
      </fill>
    </dxf>
    <dxf>
      <font>
        <color rgb="FF00FF00"/>
      </font>
      <fill>
        <patternFill patternType="solid">
          <bgColor rgb="FFD9EAD3"/>
        </patternFill>
      </fill>
    </dxf>
    <dxf>
      <font>
        <color rgb="FF00FF00"/>
      </font>
      <fill>
        <patternFill patternType="solid">
          <bgColor rgb="FFFFF2CC"/>
        </patternFill>
      </fill>
    </dxf>
    <dxf>
      <font>
        <color rgb="FFFF0000"/>
      </font>
      <fill>
        <patternFill patternType="solid">
          <bgColor rgb="FFF4CCCC"/>
        </patternFill>
      </fill>
    </dxf>
    <dxf>
      <font>
        <color rgb="FF00FF00"/>
      </font>
      <fill>
        <patternFill patternType="solid">
          <bgColor rgb="FFD9EAD3"/>
        </patternFill>
      </fill>
    </dxf>
    <dxf>
      <font>
        <color rgb="FF00FF00"/>
      </font>
      <fill>
        <patternFill patternType="solid">
          <bgColor rgb="FFFFF2CC"/>
        </patternFill>
      </fill>
    </dxf>
    <dxf>
      <font>
        <color rgb="FFFF0000"/>
      </font>
      <fill>
        <patternFill patternType="solid">
          <bgColor rgb="FFF4CCCC"/>
        </patternFill>
      </fill>
    </dxf>
    <dxf>
      <font>
        <color rgb="FF00FF00"/>
      </font>
    </dxf>
    <dxf>
      <font>
        <color rgb="FF00FF00"/>
      </font>
    </dxf>
    <dxf>
      <font>
        <color rgb="FFFF0000"/>
      </font>
    </dxf>
    <dxf>
      <font>
        <color rgb="FF00FF00"/>
      </font>
      <fill>
        <patternFill patternType="solid">
          <bgColor rgb="FFD9EAD3"/>
        </patternFill>
      </fill>
    </dxf>
    <dxf>
      <font>
        <color rgb="FF00FF00"/>
      </font>
      <fill>
        <patternFill patternType="solid">
          <bgColor rgb="FFFFF2CC"/>
        </patternFill>
      </fill>
    </dxf>
    <dxf>
      <font>
        <color rgb="FFFF0000"/>
      </font>
      <fill>
        <patternFill patternType="solid">
          <bgColor rgb="FFF4CCCC"/>
        </patternFill>
      </fill>
    </dxf>
    <dxf>
      <font>
        <color rgb="FF00FF00"/>
      </font>
    </dxf>
    <dxf>
      <font>
        <color rgb="FF00FF00"/>
      </font>
    </dxf>
    <dxf>
      <font>
        <color rgb="FFFF0000"/>
      </font>
    </dxf>
    <dxf>
      <fill>
        <patternFill patternType="solid">
          <bgColor rgb="FFD9D2E9"/>
        </patternFill>
      </fill>
    </dxf>
    <dxf>
      <fill>
        <patternFill patternType="solid">
          <bgColor rgb="FFFF00FF"/>
        </patternFill>
      </fill>
    </dxf>
    <dxf>
      <fill>
        <patternFill patternType="solid">
          <bgColor rgb="FF00FFFF"/>
        </patternFill>
      </fill>
    </dxf>
    <dxf>
      <fill>
        <patternFill patternType="solid">
          <bgColor rgb="FFFF00FF"/>
        </patternFill>
      </fill>
    </dxf>
    <dxf>
      <fill>
        <patternFill patternType="solid">
          <bgColor rgb="FF00FFFF"/>
        </patternFill>
      </fill>
    </dxf>
    <dxf>
      <font>
        <color rgb="FF00FF00"/>
      </font>
    </dxf>
    <dxf>
      <font>
        <color rgb="FF00FF00"/>
      </font>
    </dxf>
    <dxf>
      <font>
        <color rgb="FFFF0000"/>
      </font>
    </dxf>
    <dxf>
      <fill>
        <patternFill patternType="solid">
          <bgColor rgb="FFFF00FF"/>
        </patternFill>
      </fill>
    </dxf>
    <dxf>
      <fill>
        <patternFill patternType="solid">
          <bgColor rgb="FF00FFFF"/>
        </patternFill>
      </fill>
    </dxf>
    <dxf>
      <font>
        <color rgb="FFFF0000"/>
      </font>
    </dxf>
    <dxf>
      <fill>
        <patternFill patternType="solid">
          <bgColor rgb="FFFF00FF"/>
        </patternFill>
      </fill>
    </dxf>
    <dxf>
      <fill>
        <patternFill patternType="solid">
          <bgColor rgb="FF00FFFF"/>
        </patternFill>
      </fill>
    </dxf>
    <dxf>
      <fill>
        <patternFill patternType="solid">
          <bgColor rgb="FF00FF00"/>
        </patternFill>
      </fill>
    </dxf>
    <dxf>
      <font>
        <color rgb="FFFFFF00"/>
      </font>
      <fill>
        <patternFill patternType="solid">
          <bgColor rgb="FFFFFF00"/>
        </patternFill>
      </fill>
    </dxf>
    <dxf>
      <font>
        <color rgb="FFFF0000"/>
      </font>
      <fill>
        <patternFill patternType="solid">
          <bgColor rgb="FFFF0000"/>
        </patternFill>
      </fill>
    </dxf>
    <dxf>
      <fill>
        <patternFill patternType="solid">
          <bgColor rgb="FF00FFFF"/>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a:defRPr/>
            </a:pPr>
            <a:r>
              <a:t>Quarterbacks</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Cheatsheet!$K$3:$K$32</c:f>
              <c:numCache>
                <c:formatCode>"$"#,##0</c:formatCode>
                <c:ptCount val="30"/>
                <c:pt idx="0">
                  <c:v>43.0</c:v>
                </c:pt>
                <c:pt idx="1">
                  <c:v>36.0</c:v>
                </c:pt>
                <c:pt idx="2">
                  <c:v>34.0</c:v>
                </c:pt>
                <c:pt idx="3">
                  <c:v>24.0</c:v>
                </c:pt>
                <c:pt idx="4">
                  <c:v>23.0</c:v>
                </c:pt>
                <c:pt idx="5">
                  <c:v>22.0</c:v>
                </c:pt>
                <c:pt idx="6">
                  <c:v>21.0</c:v>
                </c:pt>
                <c:pt idx="7">
                  <c:v>21.0</c:v>
                </c:pt>
                <c:pt idx="8">
                  <c:v>20.0</c:v>
                </c:pt>
                <c:pt idx="9">
                  <c:v>19.0</c:v>
                </c:pt>
                <c:pt idx="10">
                  <c:v>19.0</c:v>
                </c:pt>
                <c:pt idx="11">
                  <c:v>19.0</c:v>
                </c:pt>
                <c:pt idx="12">
                  <c:v>18.0</c:v>
                </c:pt>
                <c:pt idx="13">
                  <c:v>17.0</c:v>
                </c:pt>
                <c:pt idx="14">
                  <c:v>17.0</c:v>
                </c:pt>
                <c:pt idx="15">
                  <c:v>15.0</c:v>
                </c:pt>
                <c:pt idx="16">
                  <c:v>13.0</c:v>
                </c:pt>
                <c:pt idx="17">
                  <c:v>11.0</c:v>
                </c:pt>
                <c:pt idx="18">
                  <c:v>10.0</c:v>
                </c:pt>
                <c:pt idx="19">
                  <c:v>10.0</c:v>
                </c:pt>
                <c:pt idx="20">
                  <c:v>7.0</c:v>
                </c:pt>
                <c:pt idx="21">
                  <c:v>6.0</c:v>
                </c:pt>
                <c:pt idx="22">
                  <c:v>6.0</c:v>
                </c:pt>
                <c:pt idx="23">
                  <c:v>6.0</c:v>
                </c:pt>
                <c:pt idx="24">
                  <c:v>6.0</c:v>
                </c:pt>
                <c:pt idx="25">
                  <c:v>6.0</c:v>
                </c:pt>
                <c:pt idx="26">
                  <c:v>6.0</c:v>
                </c:pt>
                <c:pt idx="27">
                  <c:v>6.0</c:v>
                </c:pt>
                <c:pt idx="28">
                  <c:v>6.0</c:v>
                </c:pt>
                <c:pt idx="29">
                  <c:v>6.0</c:v>
                </c:pt>
              </c:numCache>
            </c:numRef>
          </c:val>
          <c:smooth val="1"/>
        </c:ser>
        <c:ser>
          <c:idx val="1"/>
          <c:order val="1"/>
          <c:spPr>
            <a:ln w="25400" cmpd="sng">
              <a:solidFill>
                <a:srgbClr val="980000"/>
              </a:solidFill>
            </a:ln>
          </c:spPr>
          <c:marker>
            <c:symbol val="none"/>
          </c:marker>
          <c:val>
            <c:numRef>
              <c:f>Cheatsheet!$H$3:$H$32</c:f>
              <c:numCache>
                <c:formatCode>General</c:formatCode>
                <c:ptCount val="30"/>
                <c:pt idx="0">
                  <c:v>49.0</c:v>
                </c:pt>
                <c:pt idx="1">
                  <c:v>43.0</c:v>
                </c:pt>
                <c:pt idx="2">
                  <c:v>39.0</c:v>
                </c:pt>
                <c:pt idx="3">
                  <c:v>21.0</c:v>
                </c:pt>
                <c:pt idx="4">
                  <c:v>8.0</c:v>
                </c:pt>
                <c:pt idx="5">
                  <c:v>14.0</c:v>
                </c:pt>
                <c:pt idx="6">
                  <c:v>17.0</c:v>
                </c:pt>
                <c:pt idx="7">
                  <c:v>6.0</c:v>
                </c:pt>
                <c:pt idx="8">
                  <c:v>2.0</c:v>
                </c:pt>
                <c:pt idx="9">
                  <c:v>8.0</c:v>
                </c:pt>
                <c:pt idx="10">
                  <c:v>1.0</c:v>
                </c:pt>
                <c:pt idx="11">
                  <c:v>2.0</c:v>
                </c:pt>
                <c:pt idx="12">
                  <c:v>2.0</c:v>
                </c:pt>
                <c:pt idx="13">
                  <c:v>1.0</c:v>
                </c:pt>
                <c:pt idx="14">
                  <c:v>1.0</c:v>
                </c:pt>
                <c:pt idx="15">
                  <c:v>1.0</c:v>
                </c:pt>
                <c:pt idx="16">
                  <c:v>1.0</c:v>
                </c:pt>
                <c:pt idx="17">
                  <c:v>0.0</c:v>
                </c:pt>
                <c:pt idx="18">
                  <c:v>0.0</c:v>
                </c:pt>
                <c:pt idx="19">
                  <c:v>0.0</c:v>
                </c:pt>
                <c:pt idx="20">
                  <c:v>0.0</c:v>
                </c:pt>
                <c:pt idx="21">
                  <c:v>1.0</c:v>
                </c:pt>
                <c:pt idx="22">
                  <c:v>0.0</c:v>
                </c:pt>
                <c:pt idx="23">
                  <c:v>0.0</c:v>
                </c:pt>
                <c:pt idx="24">
                  <c:v>0.0</c:v>
                </c:pt>
                <c:pt idx="25">
                  <c:v>0.0</c:v>
                </c:pt>
                <c:pt idx="26">
                  <c:v>0.0</c:v>
                </c:pt>
                <c:pt idx="27">
                  <c:v>0.0</c:v>
                </c:pt>
                <c:pt idx="28">
                  <c:v>0.0</c:v>
                </c:pt>
                <c:pt idx="29">
                  <c:v>0.0</c:v>
                </c:pt>
              </c:numCache>
            </c:numRef>
          </c:val>
          <c:smooth val="1"/>
        </c:ser>
        <c:ser>
          <c:idx val="2"/>
          <c:order val="2"/>
          <c:spPr>
            <a:ln w="25400" cmpd="sng">
              <a:solidFill>
                <a:srgbClr val="FF0000"/>
              </a:solidFill>
            </a:ln>
          </c:spPr>
          <c:marker>
            <c:symbol val="none"/>
          </c:marker>
          <c:val>
            <c:numRef>
              <c:f>Cheatsheet!$I$3:$I$32</c:f>
              <c:numCache>
                <c:formatCode>General</c:formatCode>
                <c:ptCount val="30"/>
                <c:pt idx="0">
                  <c:v>48.0</c:v>
                </c:pt>
                <c:pt idx="1">
                  <c:v>42.0</c:v>
                </c:pt>
                <c:pt idx="2">
                  <c:v>39.0</c:v>
                </c:pt>
                <c:pt idx="3">
                  <c:v>34.0</c:v>
                </c:pt>
                <c:pt idx="4">
                  <c:v>11.0</c:v>
                </c:pt>
                <c:pt idx="5">
                  <c:v>19.0</c:v>
                </c:pt>
                <c:pt idx="6">
                  <c:v>32.0</c:v>
                </c:pt>
                <c:pt idx="7">
                  <c:v>9.0</c:v>
                </c:pt>
                <c:pt idx="8">
                  <c:v>5.0</c:v>
                </c:pt>
                <c:pt idx="9">
                  <c:v>14.0</c:v>
                </c:pt>
                <c:pt idx="10">
                  <c:v>2.0</c:v>
                </c:pt>
                <c:pt idx="11">
                  <c:v>5.0</c:v>
                </c:pt>
                <c:pt idx="12">
                  <c:v>7.0</c:v>
                </c:pt>
                <c:pt idx="13">
                  <c:v>2.0</c:v>
                </c:pt>
                <c:pt idx="14">
                  <c:v>1.0</c:v>
                </c:pt>
                <c:pt idx="15">
                  <c:v>1.0</c:v>
                </c:pt>
                <c:pt idx="16">
                  <c:v>1.0</c:v>
                </c:pt>
                <c:pt idx="17">
                  <c:v>0.0</c:v>
                </c:pt>
                <c:pt idx="18">
                  <c:v>0.0</c:v>
                </c:pt>
                <c:pt idx="19">
                  <c:v>1.0</c:v>
                </c:pt>
                <c:pt idx="20">
                  <c:v>0.0</c:v>
                </c:pt>
                <c:pt idx="21">
                  <c:v>1.0</c:v>
                </c:pt>
                <c:pt idx="22">
                  <c:v>0.0</c:v>
                </c:pt>
                <c:pt idx="23">
                  <c:v>0.0</c:v>
                </c:pt>
                <c:pt idx="24">
                  <c:v>0.0</c:v>
                </c:pt>
                <c:pt idx="25">
                  <c:v>0.0</c:v>
                </c:pt>
                <c:pt idx="26">
                  <c:v>0.0</c:v>
                </c:pt>
                <c:pt idx="27">
                  <c:v>0.0</c:v>
                </c:pt>
                <c:pt idx="28">
                  <c:v>0.0</c:v>
                </c:pt>
                <c:pt idx="29">
                  <c:v>0.0</c:v>
                </c:pt>
              </c:numCache>
            </c:numRef>
          </c:val>
          <c:smooth val="1"/>
        </c:ser>
        <c:dLbls>
          <c:showLegendKey val="0"/>
          <c:showVal val="0"/>
          <c:showCatName val="0"/>
          <c:showSerName val="0"/>
          <c:showPercent val="0"/>
          <c:showBubbleSize val="0"/>
        </c:dLbls>
        <c:marker val="1"/>
        <c:smooth val="0"/>
        <c:axId val="2135928568"/>
        <c:axId val="1892113064"/>
      </c:lineChart>
      <c:catAx>
        <c:axId val="2135928568"/>
        <c:scaling>
          <c:orientation val="minMax"/>
        </c:scaling>
        <c:delete val="1"/>
        <c:axPos val="b"/>
        <c:majorTickMark val="cross"/>
        <c:minorTickMark val="cross"/>
        <c:tickLblPos val="nextTo"/>
        <c:crossAx val="1892113064"/>
        <c:crosses val="autoZero"/>
        <c:auto val="1"/>
        <c:lblAlgn val="ctr"/>
        <c:lblOffset val="100"/>
        <c:noMultiLvlLbl val="1"/>
      </c:catAx>
      <c:valAx>
        <c:axId val="1892113064"/>
        <c:scaling>
          <c:orientation val="minMax"/>
        </c:scaling>
        <c:delete val="0"/>
        <c:axPos val="l"/>
        <c:majorGridlines/>
        <c:numFmt formatCode="&quot;$&quot;#,##0" sourceLinked="1"/>
        <c:majorTickMark val="cross"/>
        <c:minorTickMark val="cross"/>
        <c:tickLblPos val="nextTo"/>
        <c:spPr>
          <a:ln w="47625">
            <a:noFill/>
          </a:ln>
        </c:spPr>
        <c:txPr>
          <a:bodyPr/>
          <a:lstStyle/>
          <a:p>
            <a:pPr>
              <a:defRPr/>
            </a:pPr>
            <a:endParaRPr lang="en-US"/>
          </a:p>
        </c:txPr>
        <c:crossAx val="2135928568"/>
        <c:crosses val="autoZero"/>
        <c:crossBetween val="between"/>
      </c:valAx>
    </c:plotArea>
    <c:legend>
      <c:legendPos val="r"/>
      <c:overlay val="0"/>
    </c:legend>
    <c:plotVisOnly val="1"/>
    <c:dispBlanksAs val="zero"/>
    <c:showDLblsOverMax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a:defRPr/>
            </a:pPr>
            <a:r>
              <a:t>Runningbacks</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Cheatsheet!$W$3:$W$71</c:f>
              <c:numCache>
                <c:formatCode>"$"#,##0</c:formatCode>
                <c:ptCount val="69"/>
                <c:pt idx="0">
                  <c:v>49.0</c:v>
                </c:pt>
                <c:pt idx="1">
                  <c:v>44.0</c:v>
                </c:pt>
                <c:pt idx="2">
                  <c:v>43.0</c:v>
                </c:pt>
                <c:pt idx="3">
                  <c:v>39.0</c:v>
                </c:pt>
                <c:pt idx="4">
                  <c:v>31.0</c:v>
                </c:pt>
                <c:pt idx="5">
                  <c:v>31.0</c:v>
                </c:pt>
                <c:pt idx="6">
                  <c:v>28.0</c:v>
                </c:pt>
                <c:pt idx="7">
                  <c:v>28.0</c:v>
                </c:pt>
                <c:pt idx="8">
                  <c:v>28.0</c:v>
                </c:pt>
                <c:pt idx="9">
                  <c:v>27.0</c:v>
                </c:pt>
                <c:pt idx="10">
                  <c:v>25.0</c:v>
                </c:pt>
                <c:pt idx="11">
                  <c:v>24.0</c:v>
                </c:pt>
                <c:pt idx="12">
                  <c:v>22.0</c:v>
                </c:pt>
                <c:pt idx="13">
                  <c:v>22.0</c:v>
                </c:pt>
                <c:pt idx="14">
                  <c:v>22.0</c:v>
                </c:pt>
                <c:pt idx="15">
                  <c:v>19.0</c:v>
                </c:pt>
                <c:pt idx="16">
                  <c:v>19.0</c:v>
                </c:pt>
                <c:pt idx="17">
                  <c:v>18.0</c:v>
                </c:pt>
                <c:pt idx="18">
                  <c:v>17.0</c:v>
                </c:pt>
                <c:pt idx="19">
                  <c:v>17.0</c:v>
                </c:pt>
                <c:pt idx="20">
                  <c:v>16.0</c:v>
                </c:pt>
                <c:pt idx="21">
                  <c:v>15.0</c:v>
                </c:pt>
                <c:pt idx="22">
                  <c:v>15.0</c:v>
                </c:pt>
                <c:pt idx="23">
                  <c:v>15.0</c:v>
                </c:pt>
                <c:pt idx="24">
                  <c:v>14.0</c:v>
                </c:pt>
                <c:pt idx="25">
                  <c:v>13.0</c:v>
                </c:pt>
                <c:pt idx="26">
                  <c:v>13.0</c:v>
                </c:pt>
                <c:pt idx="27">
                  <c:v>12.0</c:v>
                </c:pt>
                <c:pt idx="28">
                  <c:v>9.0</c:v>
                </c:pt>
                <c:pt idx="29">
                  <c:v>6.0</c:v>
                </c:pt>
                <c:pt idx="30">
                  <c:v>6.0</c:v>
                </c:pt>
                <c:pt idx="31">
                  <c:v>6.0</c:v>
                </c:pt>
                <c:pt idx="32">
                  <c:v>5.0</c:v>
                </c:pt>
                <c:pt idx="33">
                  <c:v>5.0</c:v>
                </c:pt>
                <c:pt idx="34">
                  <c:v>4.0</c:v>
                </c:pt>
                <c:pt idx="35">
                  <c:v>4.0</c:v>
                </c:pt>
                <c:pt idx="36">
                  <c:v>4.0</c:v>
                </c:pt>
                <c:pt idx="37">
                  <c:v>4.0</c:v>
                </c:pt>
                <c:pt idx="38">
                  <c:v>4.0</c:v>
                </c:pt>
                <c:pt idx="39">
                  <c:v>3.0</c:v>
                </c:pt>
                <c:pt idx="40">
                  <c:v>3.0</c:v>
                </c:pt>
                <c:pt idx="41">
                  <c:v>3.0</c:v>
                </c:pt>
                <c:pt idx="42">
                  <c:v>3.0</c:v>
                </c:pt>
                <c:pt idx="43">
                  <c:v>3.0</c:v>
                </c:pt>
                <c:pt idx="44">
                  <c:v>3.0</c:v>
                </c:pt>
                <c:pt idx="45">
                  <c:v>3.0</c:v>
                </c:pt>
                <c:pt idx="46">
                  <c:v>3.0</c:v>
                </c:pt>
                <c:pt idx="47">
                  <c:v>3.0</c:v>
                </c:pt>
                <c:pt idx="48">
                  <c:v>2.0</c:v>
                </c:pt>
                <c:pt idx="49">
                  <c:v>2.0</c:v>
                </c:pt>
                <c:pt idx="50">
                  <c:v>2.0</c:v>
                </c:pt>
                <c:pt idx="51">
                  <c:v>2.0</c:v>
                </c:pt>
                <c:pt idx="52">
                  <c:v>2.0</c:v>
                </c:pt>
                <c:pt idx="53">
                  <c:v>2.0</c:v>
                </c:pt>
                <c:pt idx="54">
                  <c:v>2.0</c:v>
                </c:pt>
                <c:pt idx="55">
                  <c:v>2.0</c:v>
                </c:pt>
                <c:pt idx="56">
                  <c:v>2.0</c:v>
                </c:pt>
                <c:pt idx="57">
                  <c:v>2.0</c:v>
                </c:pt>
                <c:pt idx="58">
                  <c:v>2.0</c:v>
                </c:pt>
                <c:pt idx="59">
                  <c:v>2.0</c:v>
                </c:pt>
                <c:pt idx="60">
                  <c:v>1.0</c:v>
                </c:pt>
                <c:pt idx="61">
                  <c:v>1.0</c:v>
                </c:pt>
                <c:pt idx="62">
                  <c:v>1.0</c:v>
                </c:pt>
                <c:pt idx="63">
                  <c:v>1.0</c:v>
                </c:pt>
                <c:pt idx="64">
                  <c:v>1.0</c:v>
                </c:pt>
                <c:pt idx="65">
                  <c:v>1.0</c:v>
                </c:pt>
                <c:pt idx="66">
                  <c:v>1.0</c:v>
                </c:pt>
                <c:pt idx="67">
                  <c:v>1.0</c:v>
                </c:pt>
                <c:pt idx="68">
                  <c:v>1.0</c:v>
                </c:pt>
              </c:numCache>
            </c:numRef>
          </c:val>
          <c:smooth val="1"/>
        </c:ser>
        <c:ser>
          <c:idx val="1"/>
          <c:order val="1"/>
          <c:spPr>
            <a:ln w="25400" cmpd="sng">
              <a:solidFill>
                <a:srgbClr val="980000"/>
              </a:solidFill>
            </a:ln>
          </c:spPr>
          <c:marker>
            <c:symbol val="none"/>
          </c:marker>
          <c:val>
            <c:numRef>
              <c:f>Cheatsheet!$T$3:$T$71</c:f>
              <c:numCache>
                <c:formatCode>General</c:formatCode>
                <c:ptCount val="69"/>
                <c:pt idx="0">
                  <c:v>57.0</c:v>
                </c:pt>
                <c:pt idx="1">
                  <c:v>58.0</c:v>
                </c:pt>
                <c:pt idx="2">
                  <c:v>54.0</c:v>
                </c:pt>
                <c:pt idx="3">
                  <c:v>59.0</c:v>
                </c:pt>
                <c:pt idx="4">
                  <c:v>52.0</c:v>
                </c:pt>
                <c:pt idx="5">
                  <c:v>42.0</c:v>
                </c:pt>
                <c:pt idx="6">
                  <c:v>32.0</c:v>
                </c:pt>
                <c:pt idx="7">
                  <c:v>31.0</c:v>
                </c:pt>
                <c:pt idx="8">
                  <c:v>53.0</c:v>
                </c:pt>
                <c:pt idx="9">
                  <c:v>41.0</c:v>
                </c:pt>
                <c:pt idx="10">
                  <c:v>45.0</c:v>
                </c:pt>
                <c:pt idx="11">
                  <c:v>48.0</c:v>
                </c:pt>
                <c:pt idx="12">
                  <c:v>37.0</c:v>
                </c:pt>
                <c:pt idx="13">
                  <c:v>16.0</c:v>
                </c:pt>
                <c:pt idx="14">
                  <c:v>11.0</c:v>
                </c:pt>
                <c:pt idx="15">
                  <c:v>10.0</c:v>
                </c:pt>
                <c:pt idx="16">
                  <c:v>33.0</c:v>
                </c:pt>
                <c:pt idx="17">
                  <c:v>12.0</c:v>
                </c:pt>
                <c:pt idx="18">
                  <c:v>29.0</c:v>
                </c:pt>
                <c:pt idx="19">
                  <c:v>9.0</c:v>
                </c:pt>
                <c:pt idx="20">
                  <c:v>10.0</c:v>
                </c:pt>
                <c:pt idx="21">
                  <c:v>7.0</c:v>
                </c:pt>
                <c:pt idx="22">
                  <c:v>10.0</c:v>
                </c:pt>
                <c:pt idx="23">
                  <c:v>6.0</c:v>
                </c:pt>
                <c:pt idx="24">
                  <c:v>20.0</c:v>
                </c:pt>
                <c:pt idx="25">
                  <c:v>20.0</c:v>
                </c:pt>
                <c:pt idx="26">
                  <c:v>22.0</c:v>
                </c:pt>
                <c:pt idx="27">
                  <c:v>27.0</c:v>
                </c:pt>
                <c:pt idx="28">
                  <c:v>5.0</c:v>
                </c:pt>
                <c:pt idx="29">
                  <c:v>7.0</c:v>
                </c:pt>
                <c:pt idx="30">
                  <c:v>3.0</c:v>
                </c:pt>
                <c:pt idx="31">
                  <c:v>4.0</c:v>
                </c:pt>
                <c:pt idx="32">
                  <c:v>9.0</c:v>
                </c:pt>
                <c:pt idx="33">
                  <c:v>4.0</c:v>
                </c:pt>
                <c:pt idx="34">
                  <c:v>4.0</c:v>
                </c:pt>
                <c:pt idx="35">
                  <c:v>4.0</c:v>
                </c:pt>
                <c:pt idx="36">
                  <c:v>3.0</c:v>
                </c:pt>
                <c:pt idx="37">
                  <c:v>3.0</c:v>
                </c:pt>
                <c:pt idx="38">
                  <c:v>1.0</c:v>
                </c:pt>
                <c:pt idx="39">
                  <c:v>3.0</c:v>
                </c:pt>
                <c:pt idx="40">
                  <c:v>2.0</c:v>
                </c:pt>
                <c:pt idx="41">
                  <c:v>2.0</c:v>
                </c:pt>
                <c:pt idx="42">
                  <c:v>2.0</c:v>
                </c:pt>
                <c:pt idx="43">
                  <c:v>0.0</c:v>
                </c:pt>
                <c:pt idx="44">
                  <c:v>3.0</c:v>
                </c:pt>
                <c:pt idx="45">
                  <c:v>2.0</c:v>
                </c:pt>
                <c:pt idx="46">
                  <c:v>0.0</c:v>
                </c:pt>
                <c:pt idx="47">
                  <c:v>0.0</c:v>
                </c:pt>
                <c:pt idx="48">
                  <c:v>1.0</c:v>
                </c:pt>
                <c:pt idx="49">
                  <c:v>0.0</c:v>
                </c:pt>
                <c:pt idx="50">
                  <c:v>0.0</c:v>
                </c:pt>
                <c:pt idx="51">
                  <c:v>1.0</c:v>
                </c:pt>
                <c:pt idx="52">
                  <c:v>0.0</c:v>
                </c:pt>
                <c:pt idx="53">
                  <c:v>1.0</c:v>
                </c:pt>
                <c:pt idx="54">
                  <c:v>1.0</c:v>
                </c:pt>
                <c:pt idx="55">
                  <c:v>1.0</c:v>
                </c:pt>
                <c:pt idx="56">
                  <c:v>1.0</c:v>
                </c:pt>
                <c:pt idx="57">
                  <c:v>1.0</c:v>
                </c:pt>
                <c:pt idx="58">
                  <c:v>1.0</c:v>
                </c:pt>
                <c:pt idx="59">
                  <c:v>2.0</c:v>
                </c:pt>
                <c:pt idx="60">
                  <c:v>2.0</c:v>
                </c:pt>
                <c:pt idx="61">
                  <c:v>0.0</c:v>
                </c:pt>
                <c:pt idx="62">
                  <c:v>1.0</c:v>
                </c:pt>
                <c:pt idx="63">
                  <c:v>2.0</c:v>
                </c:pt>
                <c:pt idx="64">
                  <c:v>0.0</c:v>
                </c:pt>
                <c:pt idx="65">
                  <c:v>0.0</c:v>
                </c:pt>
                <c:pt idx="66">
                  <c:v>0.0</c:v>
                </c:pt>
                <c:pt idx="67">
                  <c:v>0.0</c:v>
                </c:pt>
                <c:pt idx="68">
                  <c:v>0.0</c:v>
                </c:pt>
              </c:numCache>
            </c:numRef>
          </c:val>
          <c:smooth val="1"/>
        </c:ser>
        <c:ser>
          <c:idx val="2"/>
          <c:order val="2"/>
          <c:spPr>
            <a:ln w="25400" cmpd="sng">
              <a:solidFill>
                <a:srgbClr val="FF0000"/>
              </a:solidFill>
            </a:ln>
          </c:spPr>
          <c:marker>
            <c:symbol val="none"/>
          </c:marker>
          <c:val>
            <c:numRef>
              <c:f>Cheatsheet!$U$3:$U$71</c:f>
              <c:numCache>
                <c:formatCode>General</c:formatCode>
                <c:ptCount val="69"/>
                <c:pt idx="0">
                  <c:v>59.0</c:v>
                </c:pt>
                <c:pt idx="1">
                  <c:v>58.0</c:v>
                </c:pt>
                <c:pt idx="2">
                  <c:v>55.0</c:v>
                </c:pt>
                <c:pt idx="3">
                  <c:v>60.0</c:v>
                </c:pt>
                <c:pt idx="4">
                  <c:v>53.0</c:v>
                </c:pt>
                <c:pt idx="5">
                  <c:v>45.0</c:v>
                </c:pt>
                <c:pt idx="6">
                  <c:v>38.0</c:v>
                </c:pt>
                <c:pt idx="7">
                  <c:v>37.0</c:v>
                </c:pt>
                <c:pt idx="8">
                  <c:v>54.0</c:v>
                </c:pt>
                <c:pt idx="9">
                  <c:v>40.0</c:v>
                </c:pt>
                <c:pt idx="10">
                  <c:v>43.0</c:v>
                </c:pt>
                <c:pt idx="11">
                  <c:v>39.0</c:v>
                </c:pt>
                <c:pt idx="12">
                  <c:v>33.0</c:v>
                </c:pt>
                <c:pt idx="13">
                  <c:v>26.0</c:v>
                </c:pt>
                <c:pt idx="14">
                  <c:v>10.0</c:v>
                </c:pt>
                <c:pt idx="15">
                  <c:v>20.0</c:v>
                </c:pt>
                <c:pt idx="16">
                  <c:v>27.0</c:v>
                </c:pt>
                <c:pt idx="17">
                  <c:v>23.0</c:v>
                </c:pt>
                <c:pt idx="18">
                  <c:v>36.0</c:v>
                </c:pt>
                <c:pt idx="19">
                  <c:v>10.0</c:v>
                </c:pt>
                <c:pt idx="20">
                  <c:v>8.0</c:v>
                </c:pt>
                <c:pt idx="21">
                  <c:v>13.0</c:v>
                </c:pt>
                <c:pt idx="22">
                  <c:v>11.0</c:v>
                </c:pt>
                <c:pt idx="23">
                  <c:v>3.0</c:v>
                </c:pt>
                <c:pt idx="24">
                  <c:v>17.0</c:v>
                </c:pt>
                <c:pt idx="25">
                  <c:v>12.0</c:v>
                </c:pt>
                <c:pt idx="26">
                  <c:v>13.0</c:v>
                </c:pt>
                <c:pt idx="27">
                  <c:v>28.0</c:v>
                </c:pt>
                <c:pt idx="28">
                  <c:v>4.0</c:v>
                </c:pt>
                <c:pt idx="29">
                  <c:v>4.0</c:v>
                </c:pt>
                <c:pt idx="30">
                  <c:v>3.0</c:v>
                </c:pt>
                <c:pt idx="31">
                  <c:v>2.0</c:v>
                </c:pt>
                <c:pt idx="32">
                  <c:v>6.0</c:v>
                </c:pt>
                <c:pt idx="33">
                  <c:v>2.0</c:v>
                </c:pt>
                <c:pt idx="34">
                  <c:v>2.0</c:v>
                </c:pt>
                <c:pt idx="35">
                  <c:v>2.0</c:v>
                </c:pt>
                <c:pt idx="36">
                  <c:v>2.0</c:v>
                </c:pt>
                <c:pt idx="37">
                  <c:v>2.0</c:v>
                </c:pt>
                <c:pt idx="38">
                  <c:v>0.0</c:v>
                </c:pt>
                <c:pt idx="39">
                  <c:v>1.0</c:v>
                </c:pt>
                <c:pt idx="40">
                  <c:v>1.0</c:v>
                </c:pt>
                <c:pt idx="41">
                  <c:v>1.0</c:v>
                </c:pt>
                <c:pt idx="42">
                  <c:v>1.0</c:v>
                </c:pt>
                <c:pt idx="43">
                  <c:v>0.0</c:v>
                </c:pt>
                <c:pt idx="44">
                  <c:v>1.0</c:v>
                </c:pt>
                <c:pt idx="45">
                  <c:v>1.0</c:v>
                </c:pt>
                <c:pt idx="46">
                  <c:v>0.0</c:v>
                </c:pt>
                <c:pt idx="47">
                  <c:v>0.0</c:v>
                </c:pt>
                <c:pt idx="48">
                  <c:v>0.0</c:v>
                </c:pt>
                <c:pt idx="49">
                  <c:v>0.0</c:v>
                </c:pt>
                <c:pt idx="50">
                  <c:v>0.0</c:v>
                </c:pt>
                <c:pt idx="51">
                  <c:v>0.0</c:v>
                </c:pt>
                <c:pt idx="52">
                  <c:v>0.0</c:v>
                </c:pt>
                <c:pt idx="53">
                  <c:v>0.0</c:v>
                </c:pt>
                <c:pt idx="54">
                  <c:v>0.0</c:v>
                </c:pt>
                <c:pt idx="55">
                  <c:v>0.0</c:v>
                </c:pt>
                <c:pt idx="56">
                  <c:v>1.0</c:v>
                </c:pt>
                <c:pt idx="57">
                  <c:v>0.0</c:v>
                </c:pt>
                <c:pt idx="58">
                  <c:v>0.0</c:v>
                </c:pt>
                <c:pt idx="59">
                  <c:v>0.0</c:v>
                </c:pt>
                <c:pt idx="60">
                  <c:v>0.0</c:v>
                </c:pt>
                <c:pt idx="61">
                  <c:v>0.0</c:v>
                </c:pt>
                <c:pt idx="62">
                  <c:v>0.0</c:v>
                </c:pt>
                <c:pt idx="63">
                  <c:v>1.0</c:v>
                </c:pt>
                <c:pt idx="64">
                  <c:v>0.0</c:v>
                </c:pt>
                <c:pt idx="65">
                  <c:v>0.0</c:v>
                </c:pt>
                <c:pt idx="66">
                  <c:v>0.0</c:v>
                </c:pt>
                <c:pt idx="67">
                  <c:v>0.0</c:v>
                </c:pt>
                <c:pt idx="68">
                  <c:v>0.0</c:v>
                </c:pt>
              </c:numCache>
            </c:numRef>
          </c:val>
          <c:smooth val="1"/>
        </c:ser>
        <c:dLbls>
          <c:showLegendKey val="0"/>
          <c:showVal val="0"/>
          <c:showCatName val="0"/>
          <c:showSerName val="0"/>
          <c:showPercent val="0"/>
          <c:showBubbleSize val="0"/>
        </c:dLbls>
        <c:marker val="1"/>
        <c:smooth val="0"/>
        <c:axId val="1970608552"/>
        <c:axId val="1970350072"/>
      </c:lineChart>
      <c:catAx>
        <c:axId val="1970608552"/>
        <c:scaling>
          <c:orientation val="minMax"/>
        </c:scaling>
        <c:delete val="1"/>
        <c:axPos val="b"/>
        <c:majorTickMark val="cross"/>
        <c:minorTickMark val="cross"/>
        <c:tickLblPos val="nextTo"/>
        <c:crossAx val="1970350072"/>
        <c:crosses val="autoZero"/>
        <c:auto val="1"/>
        <c:lblAlgn val="ctr"/>
        <c:lblOffset val="100"/>
        <c:noMultiLvlLbl val="1"/>
      </c:catAx>
      <c:valAx>
        <c:axId val="1970350072"/>
        <c:scaling>
          <c:orientation val="minMax"/>
        </c:scaling>
        <c:delete val="0"/>
        <c:axPos val="l"/>
        <c:majorGridlines/>
        <c:numFmt formatCode="&quot;$&quot;#,##0" sourceLinked="1"/>
        <c:majorTickMark val="cross"/>
        <c:minorTickMark val="cross"/>
        <c:tickLblPos val="nextTo"/>
        <c:spPr>
          <a:ln w="47625">
            <a:noFill/>
          </a:ln>
        </c:spPr>
        <c:txPr>
          <a:bodyPr/>
          <a:lstStyle/>
          <a:p>
            <a:pPr>
              <a:defRPr/>
            </a:pPr>
            <a:endParaRPr lang="en-US"/>
          </a:p>
        </c:txPr>
        <c:crossAx val="1970608552"/>
        <c:crosses val="autoZero"/>
        <c:crossBetween val="between"/>
      </c:valAx>
    </c:plotArea>
    <c:legend>
      <c:legendPos val="r"/>
      <c:overlay val="0"/>
    </c:legend>
    <c:plotVisOnly val="1"/>
    <c:dispBlanksAs val="zero"/>
    <c:showDLblsOverMax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a:defRPr/>
            </a:pPr>
            <a:r>
              <a:t>Wide Receivers</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Cheatsheet!$AI$3:$AI$71</c:f>
              <c:numCache>
                <c:formatCode>"$"#,##0</c:formatCode>
                <c:ptCount val="69"/>
                <c:pt idx="0">
                  <c:v>49.0</c:v>
                </c:pt>
                <c:pt idx="1">
                  <c:v>45.0</c:v>
                </c:pt>
                <c:pt idx="2">
                  <c:v>38.0</c:v>
                </c:pt>
                <c:pt idx="3">
                  <c:v>37.0</c:v>
                </c:pt>
                <c:pt idx="4">
                  <c:v>35.0</c:v>
                </c:pt>
                <c:pt idx="5">
                  <c:v>34.0</c:v>
                </c:pt>
                <c:pt idx="6">
                  <c:v>34.0</c:v>
                </c:pt>
                <c:pt idx="7">
                  <c:v>29.0</c:v>
                </c:pt>
                <c:pt idx="8">
                  <c:v>28.0</c:v>
                </c:pt>
                <c:pt idx="9">
                  <c:v>25.0</c:v>
                </c:pt>
                <c:pt idx="10">
                  <c:v>23.0</c:v>
                </c:pt>
                <c:pt idx="11">
                  <c:v>21.0</c:v>
                </c:pt>
                <c:pt idx="12">
                  <c:v>20.0</c:v>
                </c:pt>
                <c:pt idx="13">
                  <c:v>19.0</c:v>
                </c:pt>
                <c:pt idx="14">
                  <c:v>19.0</c:v>
                </c:pt>
                <c:pt idx="15">
                  <c:v>18.0</c:v>
                </c:pt>
                <c:pt idx="16">
                  <c:v>19.0</c:v>
                </c:pt>
                <c:pt idx="17">
                  <c:v>18.0</c:v>
                </c:pt>
                <c:pt idx="18">
                  <c:v>16.0</c:v>
                </c:pt>
                <c:pt idx="19">
                  <c:v>14.0</c:v>
                </c:pt>
                <c:pt idx="20">
                  <c:v>13.0</c:v>
                </c:pt>
                <c:pt idx="21">
                  <c:v>13.0</c:v>
                </c:pt>
                <c:pt idx="22">
                  <c:v>13.0</c:v>
                </c:pt>
                <c:pt idx="23">
                  <c:v>11.0</c:v>
                </c:pt>
                <c:pt idx="24">
                  <c:v>11.0</c:v>
                </c:pt>
                <c:pt idx="25">
                  <c:v>11.0</c:v>
                </c:pt>
                <c:pt idx="26">
                  <c:v>11.0</c:v>
                </c:pt>
                <c:pt idx="27">
                  <c:v>10.0</c:v>
                </c:pt>
                <c:pt idx="28">
                  <c:v>10.0</c:v>
                </c:pt>
                <c:pt idx="29">
                  <c:v>10.0</c:v>
                </c:pt>
                <c:pt idx="30">
                  <c:v>8.0</c:v>
                </c:pt>
                <c:pt idx="31">
                  <c:v>7.0</c:v>
                </c:pt>
                <c:pt idx="32">
                  <c:v>5.0</c:v>
                </c:pt>
                <c:pt idx="33">
                  <c:v>5.0</c:v>
                </c:pt>
                <c:pt idx="34">
                  <c:v>5.0</c:v>
                </c:pt>
                <c:pt idx="35">
                  <c:v>5.0</c:v>
                </c:pt>
                <c:pt idx="36">
                  <c:v>5.0</c:v>
                </c:pt>
                <c:pt idx="37">
                  <c:v>5.0</c:v>
                </c:pt>
                <c:pt idx="38">
                  <c:v>4.0</c:v>
                </c:pt>
                <c:pt idx="39">
                  <c:v>4.0</c:v>
                </c:pt>
                <c:pt idx="40">
                  <c:v>4.0</c:v>
                </c:pt>
                <c:pt idx="41">
                  <c:v>4.0</c:v>
                </c:pt>
                <c:pt idx="42">
                  <c:v>4.0</c:v>
                </c:pt>
                <c:pt idx="43">
                  <c:v>4.0</c:v>
                </c:pt>
                <c:pt idx="44">
                  <c:v>4.0</c:v>
                </c:pt>
                <c:pt idx="45">
                  <c:v>4.0</c:v>
                </c:pt>
                <c:pt idx="46">
                  <c:v>4.0</c:v>
                </c:pt>
                <c:pt idx="47">
                  <c:v>4.0</c:v>
                </c:pt>
                <c:pt idx="48">
                  <c:v>4.0</c:v>
                </c:pt>
                <c:pt idx="49">
                  <c:v>4.0</c:v>
                </c:pt>
                <c:pt idx="50">
                  <c:v>3.0</c:v>
                </c:pt>
                <c:pt idx="51">
                  <c:v>3.0</c:v>
                </c:pt>
                <c:pt idx="52">
                  <c:v>3.0</c:v>
                </c:pt>
                <c:pt idx="53">
                  <c:v>3.0</c:v>
                </c:pt>
                <c:pt idx="54">
                  <c:v>2.0</c:v>
                </c:pt>
                <c:pt idx="55">
                  <c:v>2.0</c:v>
                </c:pt>
                <c:pt idx="56">
                  <c:v>2.0</c:v>
                </c:pt>
                <c:pt idx="57">
                  <c:v>2.0</c:v>
                </c:pt>
                <c:pt idx="58">
                  <c:v>2.0</c:v>
                </c:pt>
                <c:pt idx="59">
                  <c:v>2.0</c:v>
                </c:pt>
                <c:pt idx="60">
                  <c:v>2.0</c:v>
                </c:pt>
                <c:pt idx="61">
                  <c:v>1.0</c:v>
                </c:pt>
                <c:pt idx="62">
                  <c:v>1.0</c:v>
                </c:pt>
                <c:pt idx="63">
                  <c:v>1.0</c:v>
                </c:pt>
                <c:pt idx="64">
                  <c:v>1.0</c:v>
                </c:pt>
                <c:pt idx="65">
                  <c:v>1.0</c:v>
                </c:pt>
                <c:pt idx="66">
                  <c:v>1.0</c:v>
                </c:pt>
                <c:pt idx="67">
                  <c:v>1.0</c:v>
                </c:pt>
                <c:pt idx="68">
                  <c:v>1.0</c:v>
                </c:pt>
              </c:numCache>
            </c:numRef>
          </c:val>
          <c:smooth val="1"/>
        </c:ser>
        <c:ser>
          <c:idx val="1"/>
          <c:order val="1"/>
          <c:spPr>
            <a:ln w="25400" cmpd="sng">
              <a:solidFill>
                <a:srgbClr val="980000"/>
              </a:solidFill>
            </a:ln>
          </c:spPr>
          <c:marker>
            <c:symbol val="none"/>
          </c:marker>
          <c:val>
            <c:numRef>
              <c:f>Cheatsheet!$AF$3:$AF$71</c:f>
              <c:numCache>
                <c:formatCode>General</c:formatCode>
                <c:ptCount val="69"/>
                <c:pt idx="0">
                  <c:v>51.0</c:v>
                </c:pt>
                <c:pt idx="1">
                  <c:v>40.0</c:v>
                </c:pt>
                <c:pt idx="2">
                  <c:v>38.0</c:v>
                </c:pt>
                <c:pt idx="3">
                  <c:v>36.0</c:v>
                </c:pt>
                <c:pt idx="4">
                  <c:v>39.0</c:v>
                </c:pt>
                <c:pt idx="5">
                  <c:v>30.0</c:v>
                </c:pt>
                <c:pt idx="6">
                  <c:v>37.0</c:v>
                </c:pt>
                <c:pt idx="7">
                  <c:v>34.0</c:v>
                </c:pt>
                <c:pt idx="8">
                  <c:v>32.0</c:v>
                </c:pt>
                <c:pt idx="9">
                  <c:v>29.0</c:v>
                </c:pt>
                <c:pt idx="10">
                  <c:v>28.0</c:v>
                </c:pt>
                <c:pt idx="11">
                  <c:v>26.0</c:v>
                </c:pt>
                <c:pt idx="12">
                  <c:v>25.0</c:v>
                </c:pt>
                <c:pt idx="13">
                  <c:v>22.0</c:v>
                </c:pt>
                <c:pt idx="14">
                  <c:v>23.0</c:v>
                </c:pt>
                <c:pt idx="15">
                  <c:v>19.0</c:v>
                </c:pt>
                <c:pt idx="16">
                  <c:v>11.0</c:v>
                </c:pt>
                <c:pt idx="17">
                  <c:v>18.0</c:v>
                </c:pt>
                <c:pt idx="18">
                  <c:v>9.0</c:v>
                </c:pt>
                <c:pt idx="19">
                  <c:v>15.0</c:v>
                </c:pt>
                <c:pt idx="20">
                  <c:v>7.0</c:v>
                </c:pt>
                <c:pt idx="21">
                  <c:v>13.0</c:v>
                </c:pt>
                <c:pt idx="22">
                  <c:v>8.0</c:v>
                </c:pt>
                <c:pt idx="23">
                  <c:v>10.0</c:v>
                </c:pt>
                <c:pt idx="24">
                  <c:v>7.0</c:v>
                </c:pt>
                <c:pt idx="25">
                  <c:v>7.0</c:v>
                </c:pt>
                <c:pt idx="26">
                  <c:v>5.0</c:v>
                </c:pt>
                <c:pt idx="27">
                  <c:v>6.0</c:v>
                </c:pt>
                <c:pt idx="28">
                  <c:v>4.0</c:v>
                </c:pt>
                <c:pt idx="29">
                  <c:v>17.0</c:v>
                </c:pt>
                <c:pt idx="30">
                  <c:v>6.0</c:v>
                </c:pt>
                <c:pt idx="31">
                  <c:v>5.0</c:v>
                </c:pt>
                <c:pt idx="32">
                  <c:v>7.0</c:v>
                </c:pt>
                <c:pt idx="33">
                  <c:v>4.0</c:v>
                </c:pt>
                <c:pt idx="34">
                  <c:v>4.0</c:v>
                </c:pt>
                <c:pt idx="35">
                  <c:v>5.0</c:v>
                </c:pt>
                <c:pt idx="36">
                  <c:v>4.0</c:v>
                </c:pt>
                <c:pt idx="37">
                  <c:v>2.0</c:v>
                </c:pt>
                <c:pt idx="38">
                  <c:v>3.0</c:v>
                </c:pt>
                <c:pt idx="39">
                  <c:v>0.0</c:v>
                </c:pt>
                <c:pt idx="40">
                  <c:v>3.0</c:v>
                </c:pt>
                <c:pt idx="41">
                  <c:v>1.0</c:v>
                </c:pt>
                <c:pt idx="42">
                  <c:v>3.0</c:v>
                </c:pt>
                <c:pt idx="43">
                  <c:v>0.0</c:v>
                </c:pt>
                <c:pt idx="44">
                  <c:v>3.0</c:v>
                </c:pt>
                <c:pt idx="45">
                  <c:v>1.0</c:v>
                </c:pt>
                <c:pt idx="46">
                  <c:v>1.0</c:v>
                </c:pt>
                <c:pt idx="47">
                  <c:v>0.0</c:v>
                </c:pt>
                <c:pt idx="48">
                  <c:v>1.0</c:v>
                </c:pt>
                <c:pt idx="49">
                  <c:v>0.0</c:v>
                </c:pt>
                <c:pt idx="50">
                  <c:v>2.0</c:v>
                </c:pt>
                <c:pt idx="51">
                  <c:v>0.0</c:v>
                </c:pt>
                <c:pt idx="52">
                  <c:v>0.0</c:v>
                </c:pt>
                <c:pt idx="53">
                  <c:v>0.0</c:v>
                </c:pt>
                <c:pt idx="54">
                  <c:v>0.0</c:v>
                </c:pt>
                <c:pt idx="55">
                  <c:v>0.0</c:v>
                </c:pt>
                <c:pt idx="56">
                  <c:v>0.0</c:v>
                </c:pt>
                <c:pt idx="57">
                  <c:v>0.0</c:v>
                </c:pt>
                <c:pt idx="58">
                  <c:v>1.0</c:v>
                </c:pt>
                <c:pt idx="59">
                  <c:v>1.0</c:v>
                </c:pt>
                <c:pt idx="60">
                  <c:v>0.0</c:v>
                </c:pt>
                <c:pt idx="61">
                  <c:v>1.0</c:v>
                </c:pt>
                <c:pt idx="62">
                  <c:v>2.0</c:v>
                </c:pt>
                <c:pt idx="63">
                  <c:v>1.0</c:v>
                </c:pt>
                <c:pt idx="64">
                  <c:v>0.0</c:v>
                </c:pt>
                <c:pt idx="65">
                  <c:v>0.0</c:v>
                </c:pt>
                <c:pt idx="66">
                  <c:v>0.0</c:v>
                </c:pt>
                <c:pt idx="67">
                  <c:v>1.0</c:v>
                </c:pt>
                <c:pt idx="68">
                  <c:v>0.0</c:v>
                </c:pt>
              </c:numCache>
            </c:numRef>
          </c:val>
          <c:smooth val="1"/>
        </c:ser>
        <c:ser>
          <c:idx val="2"/>
          <c:order val="2"/>
          <c:spPr>
            <a:ln w="25400" cmpd="sng">
              <a:solidFill>
                <a:srgbClr val="FF0000"/>
              </a:solidFill>
            </a:ln>
          </c:spPr>
          <c:marker>
            <c:symbol val="none"/>
          </c:marker>
          <c:val>
            <c:numRef>
              <c:f>Cheatsheet!$AG$3:$AG$71</c:f>
              <c:numCache>
                <c:formatCode>General</c:formatCode>
                <c:ptCount val="69"/>
                <c:pt idx="0">
                  <c:v>52.0</c:v>
                </c:pt>
                <c:pt idx="1">
                  <c:v>47.0</c:v>
                </c:pt>
                <c:pt idx="2">
                  <c:v>41.0</c:v>
                </c:pt>
                <c:pt idx="3">
                  <c:v>31.0</c:v>
                </c:pt>
                <c:pt idx="4">
                  <c:v>37.0</c:v>
                </c:pt>
                <c:pt idx="5">
                  <c:v>30.0</c:v>
                </c:pt>
                <c:pt idx="6">
                  <c:v>32.0</c:v>
                </c:pt>
                <c:pt idx="7">
                  <c:v>30.0</c:v>
                </c:pt>
                <c:pt idx="8">
                  <c:v>29.0</c:v>
                </c:pt>
                <c:pt idx="9">
                  <c:v>24.0</c:v>
                </c:pt>
                <c:pt idx="10">
                  <c:v>25.0</c:v>
                </c:pt>
                <c:pt idx="11">
                  <c:v>22.0</c:v>
                </c:pt>
                <c:pt idx="12">
                  <c:v>21.0</c:v>
                </c:pt>
                <c:pt idx="13">
                  <c:v>18.0</c:v>
                </c:pt>
                <c:pt idx="14">
                  <c:v>18.0</c:v>
                </c:pt>
                <c:pt idx="15">
                  <c:v>16.0</c:v>
                </c:pt>
                <c:pt idx="16">
                  <c:v>13.0</c:v>
                </c:pt>
                <c:pt idx="17">
                  <c:v>15.0</c:v>
                </c:pt>
                <c:pt idx="18">
                  <c:v>6.0</c:v>
                </c:pt>
                <c:pt idx="19">
                  <c:v>11.0</c:v>
                </c:pt>
                <c:pt idx="20">
                  <c:v>12.0</c:v>
                </c:pt>
                <c:pt idx="21">
                  <c:v>9.0</c:v>
                </c:pt>
                <c:pt idx="22">
                  <c:v>9.0</c:v>
                </c:pt>
                <c:pt idx="23">
                  <c:v>6.0</c:v>
                </c:pt>
                <c:pt idx="24">
                  <c:v>4.0</c:v>
                </c:pt>
                <c:pt idx="25">
                  <c:v>7.0</c:v>
                </c:pt>
                <c:pt idx="26">
                  <c:v>5.0</c:v>
                </c:pt>
                <c:pt idx="27">
                  <c:v>5.0</c:v>
                </c:pt>
                <c:pt idx="28">
                  <c:v>4.0</c:v>
                </c:pt>
                <c:pt idx="29">
                  <c:v>12.0</c:v>
                </c:pt>
                <c:pt idx="30">
                  <c:v>5.0</c:v>
                </c:pt>
                <c:pt idx="31">
                  <c:v>8.0</c:v>
                </c:pt>
                <c:pt idx="32">
                  <c:v>10.0</c:v>
                </c:pt>
                <c:pt idx="33">
                  <c:v>4.0</c:v>
                </c:pt>
                <c:pt idx="34">
                  <c:v>3.0</c:v>
                </c:pt>
                <c:pt idx="35">
                  <c:v>4.0</c:v>
                </c:pt>
                <c:pt idx="36">
                  <c:v>3.0</c:v>
                </c:pt>
                <c:pt idx="37">
                  <c:v>2.0</c:v>
                </c:pt>
                <c:pt idx="38">
                  <c:v>3.0</c:v>
                </c:pt>
                <c:pt idx="39">
                  <c:v>1.0</c:v>
                </c:pt>
                <c:pt idx="40">
                  <c:v>3.0</c:v>
                </c:pt>
                <c:pt idx="41">
                  <c:v>1.0</c:v>
                </c:pt>
                <c:pt idx="42">
                  <c:v>3.0</c:v>
                </c:pt>
                <c:pt idx="43">
                  <c:v>0.0</c:v>
                </c:pt>
                <c:pt idx="44">
                  <c:v>3.0</c:v>
                </c:pt>
                <c:pt idx="45">
                  <c:v>1.0</c:v>
                </c:pt>
                <c:pt idx="46">
                  <c:v>2.0</c:v>
                </c:pt>
                <c:pt idx="47">
                  <c:v>0.0</c:v>
                </c:pt>
                <c:pt idx="48">
                  <c:v>1.0</c:v>
                </c:pt>
                <c:pt idx="49">
                  <c:v>0.0</c:v>
                </c:pt>
                <c:pt idx="50">
                  <c:v>2.0</c:v>
                </c:pt>
                <c:pt idx="51">
                  <c:v>1.0</c:v>
                </c:pt>
                <c:pt idx="52">
                  <c:v>1.0</c:v>
                </c:pt>
                <c:pt idx="53">
                  <c:v>0.0</c:v>
                </c:pt>
                <c:pt idx="54">
                  <c:v>0.0</c:v>
                </c:pt>
                <c:pt idx="55">
                  <c:v>1.0</c:v>
                </c:pt>
                <c:pt idx="56">
                  <c:v>0.0</c:v>
                </c:pt>
                <c:pt idx="57">
                  <c:v>0.0</c:v>
                </c:pt>
                <c:pt idx="58">
                  <c:v>2.0</c:v>
                </c:pt>
                <c:pt idx="59">
                  <c:v>1.0</c:v>
                </c:pt>
                <c:pt idx="60">
                  <c:v>0.0</c:v>
                </c:pt>
                <c:pt idx="61">
                  <c:v>2.0</c:v>
                </c:pt>
                <c:pt idx="62">
                  <c:v>3.0</c:v>
                </c:pt>
                <c:pt idx="63">
                  <c:v>2.0</c:v>
                </c:pt>
                <c:pt idx="64">
                  <c:v>1.0</c:v>
                </c:pt>
                <c:pt idx="65">
                  <c:v>0.0</c:v>
                </c:pt>
                <c:pt idx="66">
                  <c:v>0.0</c:v>
                </c:pt>
                <c:pt idx="67">
                  <c:v>1.0</c:v>
                </c:pt>
                <c:pt idx="68">
                  <c:v>1.0</c:v>
                </c:pt>
              </c:numCache>
            </c:numRef>
          </c:val>
          <c:smooth val="1"/>
        </c:ser>
        <c:dLbls>
          <c:showLegendKey val="0"/>
          <c:showVal val="0"/>
          <c:showCatName val="0"/>
          <c:showSerName val="0"/>
          <c:showPercent val="0"/>
          <c:showBubbleSize val="0"/>
        </c:dLbls>
        <c:marker val="1"/>
        <c:smooth val="0"/>
        <c:axId val="1970832760"/>
        <c:axId val="1970835768"/>
      </c:lineChart>
      <c:catAx>
        <c:axId val="1970832760"/>
        <c:scaling>
          <c:orientation val="minMax"/>
        </c:scaling>
        <c:delete val="1"/>
        <c:axPos val="b"/>
        <c:majorTickMark val="cross"/>
        <c:minorTickMark val="cross"/>
        <c:tickLblPos val="nextTo"/>
        <c:crossAx val="1970835768"/>
        <c:crosses val="autoZero"/>
        <c:auto val="1"/>
        <c:lblAlgn val="ctr"/>
        <c:lblOffset val="100"/>
        <c:noMultiLvlLbl val="1"/>
      </c:catAx>
      <c:valAx>
        <c:axId val="1970835768"/>
        <c:scaling>
          <c:orientation val="minMax"/>
        </c:scaling>
        <c:delete val="0"/>
        <c:axPos val="l"/>
        <c:majorGridlines/>
        <c:numFmt formatCode="&quot;$&quot;#,##0" sourceLinked="1"/>
        <c:majorTickMark val="cross"/>
        <c:minorTickMark val="cross"/>
        <c:tickLblPos val="nextTo"/>
        <c:spPr>
          <a:ln w="47625">
            <a:noFill/>
          </a:ln>
        </c:spPr>
        <c:txPr>
          <a:bodyPr/>
          <a:lstStyle/>
          <a:p>
            <a:pPr>
              <a:defRPr/>
            </a:pPr>
            <a:endParaRPr lang="en-US"/>
          </a:p>
        </c:txPr>
        <c:crossAx val="1970832760"/>
        <c:crosses val="autoZero"/>
        <c:crossBetween val="between"/>
      </c:valAx>
    </c:plotArea>
    <c:legend>
      <c:legendPos val="r"/>
      <c:overlay val="0"/>
    </c:legend>
    <c:plotVisOnly val="1"/>
    <c:dispBlanksAs val="zero"/>
    <c:showDLblsOverMax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a:defRPr/>
            </a:pPr>
            <a:r>
              <a:t>Tight Ends</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Cheatsheet!$K$35:$K$52</c:f>
              <c:numCache>
                <c:formatCode>"$"#,##0</c:formatCode>
                <c:ptCount val="18"/>
                <c:pt idx="0">
                  <c:v>5.0</c:v>
                </c:pt>
                <c:pt idx="1">
                  <c:v>4.0</c:v>
                </c:pt>
                <c:pt idx="2">
                  <c:v>3.0</c:v>
                </c:pt>
                <c:pt idx="3">
                  <c:v>2.0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numCache>
            </c:numRef>
          </c:val>
          <c:smooth val="1"/>
        </c:ser>
        <c:ser>
          <c:idx val="1"/>
          <c:order val="1"/>
          <c:spPr>
            <a:ln w="25400" cmpd="sng">
              <a:solidFill>
                <a:srgbClr val="980000"/>
              </a:solidFill>
            </a:ln>
          </c:spPr>
          <c:marker>
            <c:symbol val="none"/>
          </c:marker>
          <c:val>
            <c:numRef>
              <c:f>Cheatsheet!$H$35:$H$52</c:f>
              <c:numCache>
                <c:formatCode>General</c:formatCode>
                <c:ptCount val="1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numCache>
            </c:numRef>
          </c:val>
          <c:smooth val="1"/>
        </c:ser>
        <c:ser>
          <c:idx val="2"/>
          <c:order val="2"/>
          <c:spPr>
            <a:ln w="25400" cmpd="sng">
              <a:solidFill>
                <a:srgbClr val="FF0000"/>
              </a:solidFill>
            </a:ln>
          </c:spPr>
          <c:marker>
            <c:symbol val="none"/>
          </c:marker>
          <c:val>
            <c:numRef>
              <c:f>Cheatsheet!$I$35:$I$52</c:f>
              <c:numCache>
                <c:formatCode>General</c:formatCode>
                <c:ptCount val="1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numCache>
            </c:numRef>
          </c:val>
          <c:smooth val="1"/>
        </c:ser>
        <c:dLbls>
          <c:showLegendKey val="0"/>
          <c:showVal val="0"/>
          <c:showCatName val="0"/>
          <c:showSerName val="0"/>
          <c:showPercent val="0"/>
          <c:showBubbleSize val="0"/>
        </c:dLbls>
        <c:marker val="1"/>
        <c:smooth val="0"/>
        <c:axId val="1970867400"/>
        <c:axId val="1970870408"/>
      </c:lineChart>
      <c:catAx>
        <c:axId val="1970867400"/>
        <c:scaling>
          <c:orientation val="minMax"/>
        </c:scaling>
        <c:delete val="1"/>
        <c:axPos val="b"/>
        <c:majorTickMark val="cross"/>
        <c:minorTickMark val="cross"/>
        <c:tickLblPos val="nextTo"/>
        <c:crossAx val="1970870408"/>
        <c:crosses val="autoZero"/>
        <c:auto val="1"/>
        <c:lblAlgn val="ctr"/>
        <c:lblOffset val="100"/>
        <c:noMultiLvlLbl val="1"/>
      </c:catAx>
      <c:valAx>
        <c:axId val="1970870408"/>
        <c:scaling>
          <c:orientation val="minMax"/>
        </c:scaling>
        <c:delete val="0"/>
        <c:axPos val="l"/>
        <c:majorGridlines/>
        <c:numFmt formatCode="&quot;$&quot;#,##0" sourceLinked="1"/>
        <c:majorTickMark val="cross"/>
        <c:minorTickMark val="cross"/>
        <c:tickLblPos val="nextTo"/>
        <c:spPr>
          <a:ln w="47625">
            <a:noFill/>
          </a:ln>
        </c:spPr>
        <c:txPr>
          <a:bodyPr/>
          <a:lstStyle/>
          <a:p>
            <a:pPr>
              <a:defRPr/>
            </a:pPr>
            <a:endParaRPr lang="en-US"/>
          </a:p>
        </c:txPr>
        <c:crossAx val="1970867400"/>
        <c:crosses val="autoZero"/>
        <c:crossBetween val="between"/>
      </c:valAx>
    </c:plotArea>
    <c:legend>
      <c:legendPos val="r"/>
      <c:overlay val="0"/>
    </c:legend>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6724650" cy="49911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152400</xdr:colOff>
      <xdr:row>0</xdr:row>
      <xdr:rowOff>152400</xdr:rowOff>
    </xdr:from>
    <xdr:ext cx="6410325" cy="5019675"/>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152400</xdr:colOff>
      <xdr:row>33</xdr:row>
      <xdr:rowOff>152400</xdr:rowOff>
    </xdr:from>
    <xdr:ext cx="6753225" cy="471487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152400</xdr:colOff>
      <xdr:row>33</xdr:row>
      <xdr:rowOff>152400</xdr:rowOff>
    </xdr:from>
    <xdr:ext cx="6467475" cy="4724400"/>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4"/>
  <sheetViews>
    <sheetView showGridLines="0" tabSelected="1" zoomScale="125" zoomScaleNormal="125" zoomScalePageLayoutView="125" workbookViewId="0"/>
  </sheetViews>
  <sheetFormatPr baseColWidth="10" defaultColWidth="17.1640625" defaultRowHeight="12.75" customHeight="1" x14ac:dyDescent="0"/>
  <cols>
    <col min="1" max="1" width="2.5" customWidth="1"/>
    <col min="2" max="2" width="1.33203125" customWidth="1"/>
    <col min="3" max="3" width="17.83203125" customWidth="1"/>
    <col min="4" max="4" width="5.5" customWidth="1"/>
    <col min="5" max="5" width="3.83203125" customWidth="1"/>
    <col min="6" max="6" width="5.5" customWidth="1"/>
    <col min="7" max="7" width="3.83203125" customWidth="1"/>
    <col min="8" max="8" width="4.6640625" customWidth="1"/>
    <col min="9" max="9" width="3.5" customWidth="1"/>
    <col min="10" max="10" width="4.1640625" customWidth="1"/>
    <col min="11" max="11" width="3.33203125" customWidth="1"/>
    <col min="12" max="12" width="4.1640625" customWidth="1"/>
    <col min="13" max="13" width="3.33203125" customWidth="1"/>
    <col min="14" max="14" width="1.1640625" customWidth="1"/>
    <col min="15" max="15" width="22.1640625" customWidth="1"/>
    <col min="16" max="16" width="5" customWidth="1"/>
    <col min="17" max="17" width="4.5" customWidth="1"/>
    <col min="18" max="18" width="5" customWidth="1"/>
    <col min="19" max="19" width="4.5" customWidth="1"/>
    <col min="20" max="20" width="4.6640625" customWidth="1"/>
    <col min="21" max="21" width="3.5" customWidth="1"/>
    <col min="22" max="22" width="4.1640625" customWidth="1"/>
    <col min="23" max="23" width="3.33203125" customWidth="1"/>
    <col min="24" max="24" width="4.1640625" customWidth="1"/>
    <col min="25" max="25" width="3.33203125" customWidth="1"/>
    <col min="26" max="26" width="1.1640625" customWidth="1"/>
    <col min="27" max="27" width="18.6640625" customWidth="1"/>
    <col min="28" max="28" width="5" customWidth="1"/>
    <col min="29" max="29" width="3.33203125" customWidth="1"/>
    <col min="30" max="30" width="5" customWidth="1"/>
    <col min="31" max="31" width="3.83203125" customWidth="1"/>
    <col min="32" max="32" width="4.6640625" customWidth="1"/>
    <col min="33" max="33" width="3.5" customWidth="1"/>
    <col min="34" max="34" width="4.1640625" customWidth="1"/>
    <col min="35" max="35" width="3.33203125" customWidth="1"/>
    <col min="36" max="36" width="4.1640625" customWidth="1"/>
    <col min="37" max="37" width="3.5" customWidth="1"/>
    <col min="38" max="38" width="1.1640625" customWidth="1"/>
    <col min="39" max="39" width="18.6640625" customWidth="1"/>
    <col min="40" max="40" width="5" customWidth="1"/>
    <col min="41" max="41" width="4.5" customWidth="1"/>
    <col min="42" max="42" width="5" customWidth="1"/>
    <col min="43" max="43" width="3.6640625" customWidth="1"/>
    <col min="44" max="44" width="4.6640625" customWidth="1"/>
    <col min="45" max="45" width="3.5" customWidth="1"/>
    <col min="46" max="46" width="2.83203125" customWidth="1"/>
    <col min="47" max="47" width="2.33203125" customWidth="1"/>
    <col min="48" max="48" width="2.83203125" customWidth="1"/>
    <col min="49" max="50" width="4.83203125" customWidth="1"/>
  </cols>
  <sheetData>
    <row r="1" spans="1:49" ht="12.75" customHeight="1">
      <c r="A1" s="102" t="s">
        <v>0</v>
      </c>
      <c r="B1" s="162"/>
      <c r="C1" s="162"/>
      <c r="D1" s="162"/>
      <c r="E1" s="162"/>
      <c r="F1" s="162"/>
      <c r="G1" s="137"/>
      <c r="H1" s="213" t="s">
        <v>1</v>
      </c>
      <c r="I1" s="213"/>
      <c r="J1" s="137"/>
      <c r="K1" s="162"/>
      <c r="L1" s="18"/>
      <c r="M1" s="102" t="s">
        <v>2</v>
      </c>
      <c r="N1" s="162"/>
      <c r="O1" s="162"/>
      <c r="P1" s="162"/>
      <c r="Q1" s="162"/>
      <c r="R1" s="162"/>
      <c r="S1" s="137"/>
      <c r="T1" s="213" t="s">
        <v>1</v>
      </c>
      <c r="U1" s="213"/>
      <c r="V1" s="137"/>
      <c r="W1" s="162"/>
      <c r="X1" s="18"/>
      <c r="Y1" s="102" t="s">
        <v>3</v>
      </c>
      <c r="Z1" s="162"/>
      <c r="AA1" s="162"/>
      <c r="AB1" s="162"/>
      <c r="AC1" s="162"/>
      <c r="AD1" s="162"/>
      <c r="AE1" s="137"/>
      <c r="AF1" s="213" t="s">
        <v>1</v>
      </c>
      <c r="AG1" s="213"/>
      <c r="AH1" s="137"/>
      <c r="AI1" s="162"/>
      <c r="AJ1" s="18"/>
      <c r="AK1" s="102" t="s">
        <v>4</v>
      </c>
      <c r="AL1" s="162"/>
      <c r="AM1" s="162"/>
      <c r="AN1" s="162"/>
      <c r="AO1" s="162"/>
      <c r="AP1" s="162"/>
      <c r="AQ1" s="137"/>
      <c r="AR1" s="213" t="s">
        <v>1</v>
      </c>
      <c r="AS1" s="213"/>
      <c r="AT1" s="162"/>
      <c r="AU1" s="162"/>
      <c r="AV1" s="18"/>
      <c r="AW1" s="155"/>
    </row>
    <row r="2" spans="1:49" ht="12.75" customHeight="1">
      <c r="A2" s="49" t="s">
        <v>5</v>
      </c>
      <c r="B2" s="36"/>
      <c r="C2" s="36" t="s">
        <v>6</v>
      </c>
      <c r="D2" s="36" t="s">
        <v>7</v>
      </c>
      <c r="E2" s="36" t="s">
        <v>8</v>
      </c>
      <c r="F2" s="36" t="s">
        <v>9</v>
      </c>
      <c r="G2" s="36" t="s">
        <v>10</v>
      </c>
      <c r="H2" s="36" t="s">
        <v>11</v>
      </c>
      <c r="I2" s="36" t="s">
        <v>12</v>
      </c>
      <c r="J2" s="36" t="s">
        <v>13</v>
      </c>
      <c r="K2" s="36" t="s">
        <v>14</v>
      </c>
      <c r="L2" s="5" t="s">
        <v>13</v>
      </c>
      <c r="M2" s="49" t="s">
        <v>5</v>
      </c>
      <c r="N2" s="36"/>
      <c r="O2" s="36" t="s">
        <v>6</v>
      </c>
      <c r="P2" s="36" t="s">
        <v>7</v>
      </c>
      <c r="Q2" s="36" t="s">
        <v>8</v>
      </c>
      <c r="R2" s="36" t="s">
        <v>9</v>
      </c>
      <c r="S2" s="36" t="s">
        <v>10</v>
      </c>
      <c r="T2" s="36" t="s">
        <v>11</v>
      </c>
      <c r="U2" s="36" t="s">
        <v>12</v>
      </c>
      <c r="V2" s="36" t="s">
        <v>13</v>
      </c>
      <c r="W2" s="36" t="s">
        <v>14</v>
      </c>
      <c r="X2" s="5" t="s">
        <v>13</v>
      </c>
      <c r="Y2" s="49" t="s">
        <v>5</v>
      </c>
      <c r="Z2" s="36"/>
      <c r="AA2" s="36" t="s">
        <v>6</v>
      </c>
      <c r="AB2" s="36" t="s">
        <v>7</v>
      </c>
      <c r="AC2" s="36" t="s">
        <v>8</v>
      </c>
      <c r="AD2" s="36" t="s">
        <v>9</v>
      </c>
      <c r="AE2" s="41" t="s">
        <v>10</v>
      </c>
      <c r="AF2" s="36" t="s">
        <v>11</v>
      </c>
      <c r="AG2" s="36" t="s">
        <v>12</v>
      </c>
      <c r="AH2" s="36" t="s">
        <v>13</v>
      </c>
      <c r="AI2" s="36" t="s">
        <v>14</v>
      </c>
      <c r="AJ2" s="5" t="s">
        <v>13</v>
      </c>
      <c r="AK2" s="49" t="s">
        <v>5</v>
      </c>
      <c r="AL2" s="36"/>
      <c r="AM2" s="36" t="s">
        <v>6</v>
      </c>
      <c r="AN2" s="36" t="s">
        <v>7</v>
      </c>
      <c r="AO2" s="36" t="s">
        <v>8</v>
      </c>
      <c r="AP2" s="36" t="s">
        <v>9</v>
      </c>
      <c r="AQ2" s="41" t="s">
        <v>10</v>
      </c>
      <c r="AR2" s="36" t="s">
        <v>11</v>
      </c>
      <c r="AS2" s="36" t="s">
        <v>12</v>
      </c>
      <c r="AT2" s="36" t="s">
        <v>13</v>
      </c>
      <c r="AU2" s="36" t="s">
        <v>14</v>
      </c>
      <c r="AV2" s="5" t="s">
        <v>13</v>
      </c>
      <c r="AW2" s="155"/>
    </row>
    <row r="3" spans="1:49" ht="12.75" customHeight="1">
      <c r="A3" s="24">
        <v>1</v>
      </c>
      <c r="B3" s="106" t="str">
        <f>IF(ISERROR(VLOOKUP(C3,Taken!$B:$B,1,0)),"",IF(ISERROR(VLOOKUP(C3,'Draft Board'!$AS:$AS,1,0)),"X","Y"))</f>
        <v/>
      </c>
      <c r="C3" s="106" t="str">
        <f>VLOOKUP(A3,QB!AC:AD,2,0)</f>
        <v>Peyton Manning</v>
      </c>
      <c r="D3" s="192" t="str">
        <f>VLOOKUP(C3,QB!$B:$C,2,0)</f>
        <v>DEN</v>
      </c>
      <c r="E3" s="192">
        <f>IF((D3="FA"),"N/A",VLOOKUP(D3,Settings!$M$2:$N$33,2,0))</f>
        <v>4</v>
      </c>
      <c r="F3" s="110">
        <f>VLOOKUP(C3,QB!$B:$AB,27,0)</f>
        <v>461.6</v>
      </c>
      <c r="G3" s="17">
        <f>F3-Settings!$AA$3</f>
        <v>123.48181818181826</v>
      </c>
      <c r="H3" s="130">
        <f>IF(ISERROR(VLOOKUP(C3,ESPNData!$CS:$CX,6,0)),"",IF((VLOOKUP(C3,ESPNData!$CS:$CX,6,0)="--"),"",VLOOKUP(C3,ESPNData!$CS:$CX,6,0)))</f>
        <v>49</v>
      </c>
      <c r="I3" s="130">
        <f>IF(ISERROR(VLOOKUP(C3,ESPNData!$CZ:$DE,6,0)),"",IF((VLOOKUP(C3,ESPNData!$CZ:$DE,6,0)="--"),"",VLOOKUP(C3,ESPNData!$CZ:$DE,6,0)))</f>
        <v>48</v>
      </c>
      <c r="J3" s="123" t="str">
        <f>IF(ISERROR((VLOOKUP(C3,Taken!$B:$C,2,0)-H3)),"",(VLOOKUP(C3,Taken!$B:$C,2,0)-H3))</f>
        <v/>
      </c>
      <c r="K3" s="103">
        <f>ROUNDUP(((((G3-G$24)+Settings!$Q$3)/(SUM(G3:G$24)-((G$24-Settings!$Q$3)*((22+1)-A3))))*(Settings!$V$3)),0)</f>
        <v>43</v>
      </c>
      <c r="L3" s="68" t="str">
        <f>IF(ISERROR((VLOOKUP(C3,Taken!$B:$C,2,0)-K3)),"",(VLOOKUP(C3,Taken!$B:$C,2,0)-K3))</f>
        <v/>
      </c>
      <c r="M3" s="24">
        <v>1</v>
      </c>
      <c r="N3" s="106" t="str">
        <f>IF(ISERROR(VLOOKUP(O3,Taken!$E:$E,1,0)),"",IF(ISERROR(VLOOKUP(O3,'Draft Board'!$AS:$AS,1,0)),"X","Y"))</f>
        <v/>
      </c>
      <c r="O3" s="106" t="str">
        <f>VLOOKUP(M3,RB!Z:AA,2,0)</f>
        <v>Jamaal Charles</v>
      </c>
      <c r="P3" s="106" t="str">
        <f>VLOOKUP(O3,RB!$B:$C,2,0)</f>
        <v>KC</v>
      </c>
      <c r="Q3" s="192">
        <f>IF((P3="FA"),"N/A",VLOOKUP(P3,Settings!$M$2:$N$33,2,0))</f>
        <v>6</v>
      </c>
      <c r="R3" s="110">
        <f>VLOOKUP(O3,RB!$B:$Y,24,0)</f>
        <v>298.39999999999998</v>
      </c>
      <c r="S3" s="17">
        <f>R3-Settings!$AA$4</f>
        <v>93.206060606060618</v>
      </c>
      <c r="T3" s="130">
        <f>IF(ISERROR(VLOOKUP(O3,ESPNData!$CS:$CX,6,0)),"",IF((VLOOKUP(O3,ESPNData!$CS:$CX,6,0)="--"),"",VLOOKUP(O3,ESPNData!$CS:$CX,6,0)))</f>
        <v>57</v>
      </c>
      <c r="U3" s="130">
        <f>IF(ISERROR(VLOOKUP(O3,ESPNData!$CZ:$DE,6,0)),"",IF((VLOOKUP(O3,ESPNData!$CZ:$DE,6,0)="--"),"",VLOOKUP(O3,ESPNData!$CZ:$DE,6,0)))</f>
        <v>59</v>
      </c>
      <c r="V3" s="123" t="str">
        <f>IF(ISERROR((VLOOKUP(O3,Taken!$E:$F,2,0)-T3)),"",(VLOOKUP(O3,Taken!$E:$F,2,0)-T3))</f>
        <v/>
      </c>
      <c r="W3" s="123">
        <f>ROUND(((((S3-S$35)+Settings!$Q$4)/(SUM(S3:S$35)-((S$35-Settings!$Q$4)*((33+1)-M3))))*(Settings!$V$4)),0)</f>
        <v>49</v>
      </c>
      <c r="X3" s="68" t="str">
        <f>IF(ISERROR((VLOOKUP(O3,Taken!$E:$F,2,0)-W3)),"",(VLOOKUP(O3,Taken!$E:$F,2,0)-W3))</f>
        <v/>
      </c>
      <c r="Y3" s="24">
        <v>1</v>
      </c>
      <c r="Z3" s="106" t="str">
        <f>IF(ISERROR(VLOOKUP(AA3,Taken!$H:$H,1,0)),"",IF(ISERROR(VLOOKUP(AA3,'Draft Board'!$AS:$AS,1,0)),"X","Y"))</f>
        <v/>
      </c>
      <c r="AA3" s="106" t="str">
        <f>VLOOKUP(Y3,WR!X:Y,2,0)</f>
        <v>Calvin Johnson</v>
      </c>
      <c r="AB3" s="106" t="str">
        <f>VLOOKUP(AA3,WR!$B:$C,2,0)</f>
        <v>DET</v>
      </c>
      <c r="AC3" s="192">
        <f>IF((AB3="FA"),"N/A",VLOOKUP(AB3,Settings!$M$2:$N$33,2,0))</f>
        <v>9</v>
      </c>
      <c r="AD3" s="110">
        <f>VLOOKUP(AA3,WR!$B:$W,22,0)</f>
        <v>277.89999999999998</v>
      </c>
      <c r="AE3" s="112">
        <f>AD3-Settings!$AA$5</f>
        <v>76.860606060606074</v>
      </c>
      <c r="AF3" s="130">
        <f>IF(ISERROR(VLOOKUP(AA3,ESPNData!$CS:$CX,6,0)),"",IF((VLOOKUP(AA3,ESPNData!$CS:$CX,6,0)="--"),"",VLOOKUP(AA3,ESPNData!$CS:$CX,6,0)))</f>
        <v>51</v>
      </c>
      <c r="AG3" s="130">
        <f>IF(ISERROR(VLOOKUP(AA3,ESPNData!$CZ:$DE,6,0)),"",IF((VLOOKUP(AA3,ESPNData!$CZ:$DE,6,0)="--"),"",VLOOKUP(AA3,ESPNData!$CZ:$DE,6,0)))</f>
        <v>52</v>
      </c>
      <c r="AH3" s="123" t="str">
        <f>IF(ISERROR((VLOOKUP(AA3,Taken!$H:$I,2,0)-AF3)),"",(VLOOKUP(AA3,Taken!$H:$I,2,0)-AF3))</f>
        <v/>
      </c>
      <c r="AI3" s="123">
        <f>ROUND(((((AE3-AE$35)+Settings!$Q$5)/(SUM(AE3:AE$35)-((AE$35-Settings!$Q$5)*((33+1)-Y3))))*(Settings!$V$5)),0)</f>
        <v>49</v>
      </c>
      <c r="AJ3" s="68" t="str">
        <f>IF(ISERROR((VLOOKUP(AA3,Taken!$H:$I,2,0)-AI3)),"",(VLOOKUP(AA3,Taken!$H:$I,2,0)-AI3))</f>
        <v/>
      </c>
      <c r="AK3" s="24">
        <v>1</v>
      </c>
      <c r="AL3" s="106" t="str">
        <f>IF(ISERROR(VLOOKUP(AM3,Taken!$N:$N,1,0)),"",IF(ISERROR(VLOOKUP(AM3,'Draft Board'!$AS:$AS,1,0)),"X","Y"))</f>
        <v/>
      </c>
      <c r="AM3" s="106" t="str">
        <f>VLOOKUP(AK3,K!Q:R,2,0)</f>
        <v>Stephen Gostkowski</v>
      </c>
      <c r="AN3" s="106" t="str">
        <f>VLOOKUP(AM3,K!$B:$C,2,0)</f>
        <v>NE</v>
      </c>
      <c r="AO3" s="192">
        <f>IF((AN3="FA"),"N/A",VLOOKUP(AN3,Settings!$M$2:$N$33,2,0))</f>
        <v>10</v>
      </c>
      <c r="AP3" s="110">
        <f>VLOOKUP(AM3,K!$B:$P,15,0)</f>
        <v>151.30000000000001</v>
      </c>
      <c r="AQ3" s="112">
        <f>AP3-Settings!$AA$7</f>
        <v>13.745454545454578</v>
      </c>
      <c r="AR3" s="130">
        <f>IF(ISERROR(VLOOKUP(AM3,ESPNData!$CS:$CX,6,0)),"",IF((VLOOKUP(AM3,ESPNData!$CS:$CX,6,0)="--"),"",VLOOKUP(AM3,ESPNData!$CS:$CX,6,0)))</f>
        <v>1</v>
      </c>
      <c r="AS3" s="130">
        <f>IF(ISERROR(VLOOKUP(AM3,ESPNData!$CZ:$DE,6,0)),"",IF((VLOOKUP(AM3,ESPNData!$CZ:$DE,6,0)="--"),"",VLOOKUP(AM3,ESPNData!$CZ:$DE,6,0)))</f>
        <v>1</v>
      </c>
      <c r="AT3" s="123" t="str">
        <f>IF(ISERROR((VLOOKUP(AM3,Taken!$N:$O,2,0)-AR3)),"",(VLOOKUP(AM3,Taken!$N:$O,2,0)-AR3))</f>
        <v/>
      </c>
      <c r="AU3" s="123">
        <f>MAX(1,ROUND(((((AQ3-AQ$13)+Settings!$Q$7)/(SUM(AQ3:AQ$13)-((AQ$13-Settings!$Q$7)*((11+1)-AK3))))*(Settings!$V$7)),0))</f>
        <v>1</v>
      </c>
      <c r="AV3" s="68" t="str">
        <f>IF(ISERROR((VLOOKUP(AM3,Taken!$N:$O,2,0)-AU3)),"",(VLOOKUP(AM3,Taken!$N:$O,2,0)-AU3))</f>
        <v/>
      </c>
      <c r="AW3" s="155"/>
    </row>
    <row r="4" spans="1:49" ht="12.75" customHeight="1">
      <c r="A4" s="163">
        <f t="shared" ref="A4:A35" si="0">A3+1</f>
        <v>2</v>
      </c>
      <c r="B4" s="75" t="str">
        <f>IF(ISERROR(VLOOKUP(C4,Taken!$B:$B,1,0)),"",IF(ISERROR(VLOOKUP(C4,'Draft Board'!$AS:$AS,1,0)),"X","Y"))</f>
        <v/>
      </c>
      <c r="C4" s="75" t="str">
        <f>VLOOKUP(A4,QB!AC:AD,2,0)</f>
        <v>Aaron Rodgers</v>
      </c>
      <c r="D4" s="72" t="str">
        <f>VLOOKUP(C4,QB!$B:$C,2,0)</f>
        <v>GB</v>
      </c>
      <c r="E4" s="72">
        <f>IF((D4="FA"),"N/A",VLOOKUP(D4,Settings!$M$2:$N$33,2,0))</f>
        <v>9</v>
      </c>
      <c r="F4" s="153">
        <f>VLOOKUP(C4,QB!$B:$AB,27,0)</f>
        <v>421.9</v>
      </c>
      <c r="G4" s="65">
        <f>F4-Settings!$AA$3</f>
        <v>83.78181818181821</v>
      </c>
      <c r="H4" s="129">
        <f>IF(ISERROR(VLOOKUP(C4,ESPNData!$CS:$CX,6,0)),"",IF((VLOOKUP(C4,ESPNData!$CS:$CX,6,0)="--"),"",VLOOKUP(C4,ESPNData!$CS:$CX,6,0)))</f>
        <v>43</v>
      </c>
      <c r="I4" s="75">
        <f>IF(ISERROR(VLOOKUP(C4,ESPNData!$CZ:$DE,6,0)),"",IF((VLOOKUP(C4,ESPNData!$CZ:$DE,6,0)="--"),"",VLOOKUP(C4,ESPNData!$CZ:$DE,6,0)))</f>
        <v>42</v>
      </c>
      <c r="J4" s="69" t="str">
        <f>IF(ISERROR((VLOOKUP(C4,Taken!$B:$C,2,0)-H4)),"",(VLOOKUP(C4,Taken!$B:$C,2,0)-H4))</f>
        <v/>
      </c>
      <c r="K4" s="123">
        <f>MAX(1,MIN(K3,ROUNDUP(((((G4-G$24)+Settings!$Q$3)/(SUM(G4:G$24)-((G$24-Settings!$Q$3)*((22+1)-A4))))*(Settings!$V$3-SUM(K$3:K3))),0)))</f>
        <v>36</v>
      </c>
      <c r="L4" s="43" t="str">
        <f>IF(ISERROR((VLOOKUP(C4,Taken!$B:$C,2,0)-K4)),"",(VLOOKUP(C4,Taken!$B:$C,2,0)-K4))</f>
        <v/>
      </c>
      <c r="M4" s="163">
        <f t="shared" ref="M4:M35" si="1">M3+1</f>
        <v>2</v>
      </c>
      <c r="N4" s="75" t="str">
        <f>IF(ISERROR(VLOOKUP(O4,Taken!$E:$E,1,0)),"",IF(ISERROR(VLOOKUP(O4,'Draft Board'!$AS:$AS,1,0)),"X","Y"))</f>
        <v/>
      </c>
      <c r="O4" s="75" t="str">
        <f>VLOOKUP(M4,RB!Z:AA,2,0)</f>
        <v>LeSean McCoy</v>
      </c>
      <c r="P4" s="75" t="str">
        <f>VLOOKUP(O4,RB!$B:$C,2,0)</f>
        <v>PHI</v>
      </c>
      <c r="Q4" s="72">
        <f>IF((P4="FA"),"N/A",VLOOKUP(P4,Settings!$M$2:$N$33,2,0))</f>
        <v>7</v>
      </c>
      <c r="R4" s="153">
        <f>VLOOKUP(O4,RB!$B:$Y,24,0)</f>
        <v>280.10000000000002</v>
      </c>
      <c r="S4" s="65">
        <f>R4-Settings!$AA$4</f>
        <v>74.906060606060663</v>
      </c>
      <c r="T4" s="129">
        <f>IF(ISERROR(VLOOKUP(O4,ESPNData!$CS:$CX,6,0)),"",IF((VLOOKUP(O4,ESPNData!$CS:$CX,6,0)="--"),"",VLOOKUP(O4,ESPNData!$CS:$CX,6,0)))</f>
        <v>58</v>
      </c>
      <c r="U4" s="75">
        <f>IF(ISERROR(VLOOKUP(O4,ESPNData!$CZ:$DE,6,0)),"",IF((VLOOKUP(O4,ESPNData!$CZ:$DE,6,0)="--"),"",VLOOKUP(O4,ESPNData!$CZ:$DE,6,0)))</f>
        <v>58</v>
      </c>
      <c r="V4" s="69" t="str">
        <f>IF(ISERROR((VLOOKUP(O4,Taken!$E:$F,2,0)-T4)),"",(VLOOKUP(O4,Taken!$E:$F,2,0)-T4))</f>
        <v/>
      </c>
      <c r="W4" s="69">
        <f>MAX(1,ROUND(((((S4-S$35)+Settings!$Q$4)/(SUM(S4:S$35)-((S$35-Settings!$Q$4)*((33+1)-M4))))*(Settings!$V$4-SUM(W$3:W3))),0))</f>
        <v>44</v>
      </c>
      <c r="X4" s="43" t="str">
        <f>IF(ISERROR((VLOOKUP(O4,Taken!$E:$F,2,0)-W4)),"",(VLOOKUP(O4,Taken!$E:$F,2,0)-W4))</f>
        <v/>
      </c>
      <c r="Y4" s="163">
        <f t="shared" ref="Y4:Y35" si="2">Y3+1</f>
        <v>2</v>
      </c>
      <c r="Z4" s="75" t="str">
        <f>IF(ISERROR(VLOOKUP(AA4,Taken!$H:$H,1,0)),"",IF(ISERROR(VLOOKUP(AA4,'Draft Board'!$AS:$AS,1,0)),"X","Y"))</f>
        <v/>
      </c>
      <c r="AA4" s="75" t="str">
        <f>VLOOKUP(Y4,WR!X:Y,2,0)</f>
        <v>Demaryius Thomas</v>
      </c>
      <c r="AB4" s="75" t="str">
        <f>VLOOKUP(AA4,WR!$B:$C,2,0)</f>
        <v>DEN</v>
      </c>
      <c r="AC4" s="72">
        <f>IF((AB4="FA"),"N/A",VLOOKUP(AB4,Settings!$M$2:$N$33,2,0))</f>
        <v>4</v>
      </c>
      <c r="AD4" s="153">
        <f>VLOOKUP(AA4,WR!$B:$W,22,0)</f>
        <v>268.39999999999998</v>
      </c>
      <c r="AE4" s="65">
        <f>AD4-Settings!$AA$5</f>
        <v>67.360606060606074</v>
      </c>
      <c r="AF4" s="129">
        <f>IF(ISERROR(VLOOKUP(AA4,ESPNData!$CS:$CX,6,0)),"",IF((VLOOKUP(AA4,ESPNData!$CS:$CX,6,0)="--"),"",VLOOKUP(AA4,ESPNData!$CS:$CX,6,0)))</f>
        <v>40</v>
      </c>
      <c r="AG4" s="75">
        <f>IF(ISERROR(VLOOKUP(AA4,ESPNData!$CZ:$DE,6,0)),"",IF((VLOOKUP(AA4,ESPNData!$CZ:$DE,6,0)="--"),"",VLOOKUP(AA4,ESPNData!$CZ:$DE,6,0)))</f>
        <v>47</v>
      </c>
      <c r="AH4" s="69" t="str">
        <f>IF(ISERROR((VLOOKUP(AA4,Taken!$H:$I,2,0)-AF4)),"",(VLOOKUP(AA4,Taken!$H:$I,2,0)-AF4))</f>
        <v/>
      </c>
      <c r="AI4" s="69">
        <f>ROUND(((((AE4-AE$35)+Settings!$Q$5)/(SUM(AE4:AE$35)-((AE$35-Settings!$Q$5)*((33+1)-Y4))))*(Settings!$V$5-SUM(AI$3:AI3))),0)</f>
        <v>45</v>
      </c>
      <c r="AJ4" s="43" t="str">
        <f>IF(ISERROR((VLOOKUP(AA4,Taken!$H:$I,2,0)-AI4)),"",(VLOOKUP(AA4,Taken!$H:$I,2,0)-AI4))</f>
        <v/>
      </c>
      <c r="AK4" s="163">
        <f t="shared" ref="AK4:AK32" si="3">AK3+1</f>
        <v>2</v>
      </c>
      <c r="AL4" s="75" t="str">
        <f>IF(ISERROR(VLOOKUP(AM4,Taken!$N:$N,1,0)),"",IF(ISERROR(VLOOKUP(AM4,'Draft Board'!$AS:$AS,1,0)),"X","Y"))</f>
        <v/>
      </c>
      <c r="AM4" s="75" t="str">
        <f>VLOOKUP(AK4,K!Q:R,2,0)</f>
        <v>Matt Prater</v>
      </c>
      <c r="AN4" s="75" t="str">
        <f>VLOOKUP(AM4,K!$B:$C,2,0)</f>
        <v>DEN</v>
      </c>
      <c r="AO4" s="72">
        <f>IF((AN4="FA"),"N/A",VLOOKUP(AN4,Settings!$M$2:$N$33,2,0))</f>
        <v>4</v>
      </c>
      <c r="AP4" s="153">
        <f>VLOOKUP(AM4,K!$B:$P,15,0)</f>
        <v>145.19999999999999</v>
      </c>
      <c r="AQ4" s="65">
        <f>AP4-Settings!$AA$7</f>
        <v>7.6454545454545553</v>
      </c>
      <c r="AR4" s="129">
        <f>IF(ISERROR(VLOOKUP(AM4,ESPNData!$CS:$CX,6,0)),"",IF((VLOOKUP(AM4,ESPNData!$CS:$CX,6,0)="--"),"",VLOOKUP(AM4,ESPNData!$CS:$CX,6,0)))</f>
        <v>1</v>
      </c>
      <c r="AS4" s="75">
        <f>IF(ISERROR(VLOOKUP(AM4,ESPNData!$CZ:$DE,6,0)),"",IF((VLOOKUP(AM4,ESPNData!$CZ:$DE,6,0)="--"),"",VLOOKUP(AM4,ESPNData!$CZ:$DE,6,0)))</f>
        <v>1</v>
      </c>
      <c r="AT4" s="69" t="str">
        <f>IF(ISERROR((VLOOKUP(AM4,Taken!$N:$O,2,0)-AR4)),"",(VLOOKUP(AM4,Taken!$N:$O,2,0)-AR4))</f>
        <v/>
      </c>
      <c r="AU4" s="69">
        <f>MAX(1,ROUND(((((AQ4-AQ$13)+Settings!$Q$7)/(SUM(AQ4:AQ$13)-((AQ$13-Settings!$Q$7)*((11+1)-AK4))))*(Settings!$V$7-SUM(AU$3:AU3))),0))</f>
        <v>1</v>
      </c>
      <c r="AV4" s="43" t="str">
        <f>IF(ISERROR((VLOOKUP(AM4,Taken!$N:$O,2,0)-AU4)),"",(VLOOKUP(AM4,Taken!$N:$O,2,0)-AU4))</f>
        <v/>
      </c>
      <c r="AW4" s="155"/>
    </row>
    <row r="5" spans="1:49" ht="12.75" customHeight="1">
      <c r="A5" s="163">
        <f t="shared" si="0"/>
        <v>3</v>
      </c>
      <c r="B5" s="75" t="str">
        <f>IF(ISERROR(VLOOKUP(C5,Taken!$B:$B,1,0)),"",IF(ISERROR(VLOOKUP(C5,'Draft Board'!$AS:$AS,1,0)),"X","Y"))</f>
        <v/>
      </c>
      <c r="C5" s="75" t="str">
        <f>VLOOKUP(A5,QB!AC:AD,2,0)</f>
        <v>Drew Brees</v>
      </c>
      <c r="D5" s="72" t="str">
        <f>VLOOKUP(C5,QB!$B:$C,2,0)</f>
        <v>NO</v>
      </c>
      <c r="E5" s="72">
        <f>IF((D5="FA"),"N/A",VLOOKUP(D5,Settings!$M$2:$N$33,2,0))</f>
        <v>6</v>
      </c>
      <c r="F5" s="153">
        <f>VLOOKUP(C5,QB!$B:$AB,27,0)</f>
        <v>416.2</v>
      </c>
      <c r="G5" s="65">
        <f>F5-Settings!$AA$3</f>
        <v>78.081818181818221</v>
      </c>
      <c r="H5" s="129">
        <f>IF(ISERROR(VLOOKUP(C5,ESPNData!$CS:$CX,6,0)),"",IF((VLOOKUP(C5,ESPNData!$CS:$CX,6,0)="--"),"",VLOOKUP(C5,ESPNData!$CS:$CX,6,0)))</f>
        <v>39</v>
      </c>
      <c r="I5" s="75">
        <f>IF(ISERROR(VLOOKUP(C5,ESPNData!$CZ:$DE,6,0)),"",IF((VLOOKUP(C5,ESPNData!$CZ:$DE,6,0)="--"),"",VLOOKUP(C5,ESPNData!$CZ:$DE,6,0)))</f>
        <v>39</v>
      </c>
      <c r="J5" s="69" t="str">
        <f>IF(ISERROR((VLOOKUP(C5,Taken!$B:$C,2,0)-H5)),"",(VLOOKUP(C5,Taken!$B:$C,2,0)-H5))</f>
        <v/>
      </c>
      <c r="K5" s="69">
        <f>MAX(1,MIN(K4,ROUNDUP(((((G5-G$24)+Settings!$Q$3)/(SUM(G5:G$24)-((G$24-Settings!$Q$3)*((22+1)-A5))))*(Settings!$V$3-SUM(K$3:K4))),0)))</f>
        <v>34</v>
      </c>
      <c r="L5" s="43" t="str">
        <f>IF(ISERROR((VLOOKUP(C5,Taken!$B:$C,2,0)-K5)),"",(VLOOKUP(C5,Taken!$B:$C,2,0)-K5))</f>
        <v/>
      </c>
      <c r="M5" s="163">
        <f t="shared" si="1"/>
        <v>3</v>
      </c>
      <c r="N5" s="75" t="str">
        <f>IF(ISERROR(VLOOKUP(O5,Taken!$E:$E,1,0)),"",IF(ISERROR(VLOOKUP(O5,'Draft Board'!$AS:$AS,1,0)),"X","Y"))</f>
        <v/>
      </c>
      <c r="O5" s="75" t="str">
        <f>VLOOKUP(M5,RB!Z:AA,2,0)</f>
        <v>Matt Forte</v>
      </c>
      <c r="P5" s="75" t="str">
        <f>VLOOKUP(O5,RB!$B:$C,2,0)</f>
        <v>CHI</v>
      </c>
      <c r="Q5" s="72">
        <f>IF((P5="FA"),"N/A",VLOOKUP(P5,Settings!$M$2:$N$33,2,0))</f>
        <v>9</v>
      </c>
      <c r="R5" s="153">
        <f>VLOOKUP(O5,RB!$B:$Y,24,0)</f>
        <v>275.60000000000002</v>
      </c>
      <c r="S5" s="65">
        <f>R5-Settings!$AA$4</f>
        <v>70.406060606060663</v>
      </c>
      <c r="T5" s="129">
        <f>IF(ISERROR(VLOOKUP(O5,ESPNData!$CS:$CX,6,0)),"",IF((VLOOKUP(O5,ESPNData!$CS:$CX,6,0)="--"),"",VLOOKUP(O5,ESPNData!$CS:$CX,6,0)))</f>
        <v>54</v>
      </c>
      <c r="U5" s="75">
        <f>IF(ISERROR(VLOOKUP(O5,ESPNData!$CZ:$DE,6,0)),"",IF((VLOOKUP(O5,ESPNData!$CZ:$DE,6,0)="--"),"",VLOOKUP(O5,ESPNData!$CZ:$DE,6,0)))</f>
        <v>55</v>
      </c>
      <c r="V5" s="69" t="str">
        <f>IF(ISERROR((VLOOKUP(O5,Taken!$E:$F,2,0)-T5)),"",(VLOOKUP(O5,Taken!$E:$F,2,0)-T5))</f>
        <v/>
      </c>
      <c r="W5" s="69">
        <f>MAX(1,ROUND(((((S5-S$35)+Settings!$Q$4)/(SUM(S5:S$35)-((S$35-Settings!$Q$4)*((33+1)-M5))))*(Settings!$V$4-SUM(W$3:W4))),0))</f>
        <v>43</v>
      </c>
      <c r="X5" s="43" t="str">
        <f>IF(ISERROR((VLOOKUP(O5,Taken!$E:$F,2,0)-W5)),"",(VLOOKUP(O5,Taken!$E:$F,2,0)-W5))</f>
        <v/>
      </c>
      <c r="Y5" s="163">
        <f t="shared" si="2"/>
        <v>3</v>
      </c>
      <c r="Z5" s="75" t="str">
        <f>IF(ISERROR(VLOOKUP(AA5,Taken!$H:$H,1,0)),"",IF(ISERROR(VLOOKUP(AA5,'Draft Board'!$AS:$AS,1,0)),"X","Y"))</f>
        <v/>
      </c>
      <c r="AA5" s="75" t="str">
        <f>VLOOKUP(Y5,WR!X:Y,2,0)</f>
        <v>Dez Bryant</v>
      </c>
      <c r="AB5" s="75" t="str">
        <f>VLOOKUP(AA5,WR!$B:$C,2,0)</f>
        <v>DAL</v>
      </c>
      <c r="AC5" s="72">
        <f>IF((AB5="FA"),"N/A",VLOOKUP(AB5,Settings!$M$2:$N$33,2,0))</f>
        <v>11</v>
      </c>
      <c r="AD5" s="153">
        <f>VLOOKUP(AA5,WR!$B:$W,22,0)</f>
        <v>249.7</v>
      </c>
      <c r="AE5" s="65">
        <f>AD5-Settings!$AA$5</f>
        <v>48.660606060606085</v>
      </c>
      <c r="AF5" s="129">
        <f>IF(ISERROR(VLOOKUP(AA5,ESPNData!$CS:$CX,6,0)),"",IF((VLOOKUP(AA5,ESPNData!$CS:$CX,6,0)="--"),"",VLOOKUP(AA5,ESPNData!$CS:$CX,6,0)))</f>
        <v>38</v>
      </c>
      <c r="AG5" s="75">
        <f>IF(ISERROR(VLOOKUP(AA5,ESPNData!$CZ:$DE,6,0)),"",IF((VLOOKUP(AA5,ESPNData!$CZ:$DE,6,0)="--"),"",VLOOKUP(AA5,ESPNData!$CZ:$DE,6,0)))</f>
        <v>41</v>
      </c>
      <c r="AH5" s="69" t="str">
        <f>IF(ISERROR((VLOOKUP(AA5,Taken!$H:$I,2,0)-AF5)),"",(VLOOKUP(AA5,Taken!$H:$I,2,0)-AF5))</f>
        <v/>
      </c>
      <c r="AI5" s="69">
        <f>ROUND(((((AE5-AE$35)+Settings!$Q$5)/(SUM(AE5:AE$35)-((AE$35-Settings!$Q$5)*((33+1)-Y5))))*(Settings!$V$5-SUM(AI$3:AI4))),0)</f>
        <v>38</v>
      </c>
      <c r="AJ5" s="43" t="str">
        <f>IF(ISERROR((VLOOKUP(AA5,Taken!$H:$I,2,0)-AI5)),"",(VLOOKUP(AA5,Taken!$H:$I,2,0)-AI5))</f>
        <v/>
      </c>
      <c r="AK5" s="163">
        <f t="shared" si="3"/>
        <v>3</v>
      </c>
      <c r="AL5" s="75" t="str">
        <f>IF(ISERROR(VLOOKUP(AM5,Taken!$N:$N,1,0)),"",IF(ISERROR(VLOOKUP(AM5,'Draft Board'!$AS:$AS,1,0)),"X","Y"))</f>
        <v/>
      </c>
      <c r="AM5" s="75" t="str">
        <f>VLOOKUP(AK5,K!Q:R,2,0)</f>
        <v>Phil Dawson</v>
      </c>
      <c r="AN5" s="75" t="str">
        <f>VLOOKUP(AM5,K!$B:$C,2,0)</f>
        <v>SF</v>
      </c>
      <c r="AO5" s="72">
        <f>IF((AN5="FA"),"N/A",VLOOKUP(AN5,Settings!$M$2:$N$33,2,0))</f>
        <v>8</v>
      </c>
      <c r="AP5" s="153">
        <f>VLOOKUP(AM5,K!$B:$P,15,0)</f>
        <v>141.30000000000001</v>
      </c>
      <c r="AQ5" s="65">
        <f>AP5-Settings!$AA$7</f>
        <v>3.745454545454578</v>
      </c>
      <c r="AR5" s="129">
        <f>IF(ISERROR(VLOOKUP(AM5,ESPNData!$CS:$CX,6,0)),"",IF((VLOOKUP(AM5,ESPNData!$CS:$CX,6,0)="--"),"",VLOOKUP(AM5,ESPNData!$CS:$CX,6,0)))</f>
        <v>1</v>
      </c>
      <c r="AS5" s="75">
        <f>IF(ISERROR(VLOOKUP(AM5,ESPNData!$CZ:$DE,6,0)),"",IF((VLOOKUP(AM5,ESPNData!$CZ:$DE,6,0)="--"),"",VLOOKUP(AM5,ESPNData!$CZ:$DE,6,0)))</f>
        <v>1</v>
      </c>
      <c r="AT5" s="69" t="str">
        <f>IF(ISERROR((VLOOKUP(AM5,Taken!$N:$O,2,0)-AR5)),"",(VLOOKUP(AM5,Taken!$N:$O,2,0)-AR5))</f>
        <v/>
      </c>
      <c r="AU5" s="69">
        <f>MAX(1,ROUND(((((AQ5-AQ$13)+Settings!$Q$7)/(SUM(AQ5:AQ$13)-((AQ$13-Settings!$Q$7)*((11+1)-AK5))))*(Settings!$V$7-SUM(AU$3:AU4))),0))</f>
        <v>1</v>
      </c>
      <c r="AV5" s="43" t="str">
        <f>IF(ISERROR((VLOOKUP(AM5,Taken!$N:$O,2,0)-AU5)),"",(VLOOKUP(AM5,Taken!$N:$O,2,0)-AU5))</f>
        <v/>
      </c>
      <c r="AW5" s="155"/>
    </row>
    <row r="6" spans="1:49" ht="12.75" customHeight="1">
      <c r="A6" s="163">
        <f t="shared" si="0"/>
        <v>4</v>
      </c>
      <c r="B6" s="75" t="str">
        <f>IF(ISERROR(VLOOKUP(C6,Taken!$B:$B,1,0)),"",IF(ISERROR(VLOOKUP(C6,'Draft Board'!$AS:$AS,1,0)),"X","Y"))</f>
        <v/>
      </c>
      <c r="C6" s="75" t="str">
        <f>VLOOKUP(A6,QB!AC:AD,2,0)</f>
        <v>Matthew Stafford</v>
      </c>
      <c r="D6" s="72" t="str">
        <f>VLOOKUP(C6,QB!$B:$C,2,0)</f>
        <v>DET</v>
      </c>
      <c r="E6" s="72">
        <f>IF((D6="FA"),"N/A",VLOOKUP(D6,Settings!$M$2:$N$33,2,0))</f>
        <v>9</v>
      </c>
      <c r="F6" s="153">
        <f>VLOOKUP(C6,QB!$B:$AB,27,0)</f>
        <v>361.7</v>
      </c>
      <c r="G6" s="65">
        <f>F6-Settings!$AA$3</f>
        <v>23.581818181818221</v>
      </c>
      <c r="H6" s="129">
        <f>IF(ISERROR(VLOOKUP(C6,ESPNData!$CS:$CX,6,0)),"",IF((VLOOKUP(C6,ESPNData!$CS:$CX,6,0)="--"),"",VLOOKUP(C6,ESPNData!$CS:$CX,6,0)))</f>
        <v>21</v>
      </c>
      <c r="I6" s="75">
        <f>IF(ISERROR(VLOOKUP(C6,ESPNData!$CZ:$DE,6,0)),"",IF((VLOOKUP(C6,ESPNData!$CZ:$DE,6,0)="--"),"",VLOOKUP(C6,ESPNData!$CZ:$DE,6,0)))</f>
        <v>34</v>
      </c>
      <c r="J6" s="69" t="str">
        <f>IF(ISERROR((VLOOKUP(C6,Taken!$B:$C,2,0)-H6)),"",(VLOOKUP(C6,Taken!$B:$C,2,0)-H6))</f>
        <v/>
      </c>
      <c r="K6" s="69">
        <f>MAX(1,MIN(K5,ROUNDUP(((((G6-G$24)+Settings!$Q$3)/(SUM(G6:G$24)-((G$24-Settings!$Q$3)*((22+1)-A6))))*(Settings!$V$3-SUM(K$3:K5))),0)))</f>
        <v>24</v>
      </c>
      <c r="L6" s="43" t="str">
        <f>IF(ISERROR((VLOOKUP(C6,Taken!$B:$C,2,0)-K6)),"",(VLOOKUP(C6,Taken!$B:$C,2,0)-K6))</f>
        <v/>
      </c>
      <c r="M6" s="163">
        <f t="shared" si="1"/>
        <v>4</v>
      </c>
      <c r="N6" s="75" t="str">
        <f>IF(ISERROR(VLOOKUP(O6,Taken!$E:$E,1,0)),"",IF(ISERROR(VLOOKUP(O6,'Draft Board'!$AS:$AS,1,0)),"X","Y"))</f>
        <v/>
      </c>
      <c r="O6" s="75" t="str">
        <f>VLOOKUP(M6,RB!Z:AA,2,0)</f>
        <v>Adrian Peterson</v>
      </c>
      <c r="P6" s="75" t="str">
        <f>VLOOKUP(O6,RB!$B:$C,2,0)</f>
        <v>MIN</v>
      </c>
      <c r="Q6" s="72">
        <f>IF((P6="FA"),"N/A",VLOOKUP(P6,Settings!$M$2:$N$33,2,0))</f>
        <v>10</v>
      </c>
      <c r="R6" s="153">
        <f>VLOOKUP(O6,RB!$B:$Y,24,0)</f>
        <v>264.5</v>
      </c>
      <c r="S6" s="65">
        <f>R6-Settings!$AA$4</f>
        <v>59.30606060606064</v>
      </c>
      <c r="T6" s="129">
        <f>IF(ISERROR(VLOOKUP(O6,ESPNData!$CS:$CX,6,0)),"",IF((VLOOKUP(O6,ESPNData!$CS:$CX,6,0)="--"),"",VLOOKUP(O6,ESPNData!$CS:$CX,6,0)))</f>
        <v>59</v>
      </c>
      <c r="U6" s="75">
        <f>IF(ISERROR(VLOOKUP(O6,ESPNData!$CZ:$DE,6,0)),"",IF((VLOOKUP(O6,ESPNData!$CZ:$DE,6,0)="--"),"",VLOOKUP(O6,ESPNData!$CZ:$DE,6,0)))</f>
        <v>60</v>
      </c>
      <c r="V6" s="69" t="str">
        <f>IF(ISERROR((VLOOKUP(O6,Taken!$E:$F,2,0)-T6)),"",(VLOOKUP(O6,Taken!$E:$F,2,0)-T6))</f>
        <v/>
      </c>
      <c r="W6" s="69">
        <f>MAX(1,ROUND(((((S6-S$35)+Settings!$Q$4)/(SUM(S6:S$35)-((S$35-Settings!$Q$4)*((33+1)-M6))))*(Settings!$V$4-SUM(W$3:W5))),0))</f>
        <v>39</v>
      </c>
      <c r="X6" s="43" t="str">
        <f>IF(ISERROR((VLOOKUP(O6,Taken!$E:$F,2,0)-W6)),"",(VLOOKUP(O6,Taken!$E:$F,2,0)-W6))</f>
        <v/>
      </c>
      <c r="Y6" s="163">
        <f t="shared" si="2"/>
        <v>4</v>
      </c>
      <c r="Z6" s="75" t="str">
        <f>IF(ISERROR(VLOOKUP(AA6,Taken!$H:$H,1,0)),"",IF(ISERROR(VLOOKUP(AA6,'Draft Board'!$AS:$AS,1,0)),"X","Y"))</f>
        <v/>
      </c>
      <c r="AA6" s="75" t="str">
        <f>VLOOKUP(Y6,WR!X:Y,2,0)</f>
        <v>Julio Jones</v>
      </c>
      <c r="AB6" s="75" t="str">
        <f>VLOOKUP(AA6,WR!$B:$C,2,0)</f>
        <v>ATL</v>
      </c>
      <c r="AC6" s="72">
        <f>IF((AB6="FA"),"N/A",VLOOKUP(AB6,Settings!$M$2:$N$33,2,0))</f>
        <v>9</v>
      </c>
      <c r="AD6" s="153">
        <f>VLOOKUP(AA6,WR!$B:$W,22,0)</f>
        <v>247.7</v>
      </c>
      <c r="AE6" s="65">
        <f>AD6-Settings!$AA$5</f>
        <v>46.660606060606085</v>
      </c>
      <c r="AF6" s="129">
        <f>IF(ISERROR(VLOOKUP(AA6,ESPNData!$CS:$CX,6,0)),"",IF((VLOOKUP(AA6,ESPNData!$CS:$CX,6,0)="--"),"",VLOOKUP(AA6,ESPNData!$CS:$CX,6,0)))</f>
        <v>36</v>
      </c>
      <c r="AG6" s="75">
        <f>IF(ISERROR(VLOOKUP(AA6,ESPNData!$CZ:$DE,6,0)),"",IF((VLOOKUP(AA6,ESPNData!$CZ:$DE,6,0)="--"),"",VLOOKUP(AA6,ESPNData!$CZ:$DE,6,0)))</f>
        <v>31</v>
      </c>
      <c r="AH6" s="69" t="str">
        <f>IF(ISERROR((VLOOKUP(AA6,Taken!$H:$I,2,0)-AF6)),"",(VLOOKUP(AA6,Taken!$H:$I,2,0)-AF6))</f>
        <v/>
      </c>
      <c r="AI6" s="69">
        <f>ROUND(((((AE6-AE$35)+Settings!$Q$5)/(SUM(AE6:AE$35)-((AE$35-Settings!$Q$5)*((33+1)-Y6))))*(Settings!$V$5-SUM(AI$3:AI5))),0)</f>
        <v>37</v>
      </c>
      <c r="AJ6" s="43" t="str">
        <f>IF(ISERROR((VLOOKUP(AA6,Taken!$H:$I,2,0)-AI6)),"",(VLOOKUP(AA6,Taken!$H:$I,2,0)-AI6))</f>
        <v/>
      </c>
      <c r="AK6" s="163">
        <f t="shared" si="3"/>
        <v>4</v>
      </c>
      <c r="AL6" s="75" t="str">
        <f>IF(ISERROR(VLOOKUP(AM6,Taken!$N:$N,1,0)),"",IF(ISERROR(VLOOKUP(AM6,'Draft Board'!$AS:$AS,1,0)),"X","Y"))</f>
        <v/>
      </c>
      <c r="AM6" s="75" t="str">
        <f>VLOOKUP(AK6,K!Q:R,2,0)</f>
        <v>Justin Tucker</v>
      </c>
      <c r="AN6" s="75" t="str">
        <f>VLOOKUP(AM6,K!$B:$C,2,0)</f>
        <v>BAL</v>
      </c>
      <c r="AO6" s="72">
        <f>IF((AN6="FA"),"N/A",VLOOKUP(AN6,Settings!$M$2:$N$33,2,0))</f>
        <v>11</v>
      </c>
      <c r="AP6" s="153">
        <f>VLOOKUP(AM6,K!$B:$P,15,0)</f>
        <v>140.6</v>
      </c>
      <c r="AQ6" s="65">
        <f>AP6-Settings!$AA$7</f>
        <v>3.045454545454561</v>
      </c>
      <c r="AR6" s="129">
        <f>IF(ISERROR(VLOOKUP(AM6,ESPNData!$CS:$CX,6,0)),"",IF((VLOOKUP(AM6,ESPNData!$CS:$CX,6,0)="--"),"",VLOOKUP(AM6,ESPNData!$CS:$CX,6,0)))</f>
        <v>1</v>
      </c>
      <c r="AS6" s="75">
        <f>IF(ISERROR(VLOOKUP(AM6,ESPNData!$CZ:$DE,6,0)),"",IF((VLOOKUP(AM6,ESPNData!$CZ:$DE,6,0)="--"),"",VLOOKUP(AM6,ESPNData!$CZ:$DE,6,0)))</f>
        <v>1</v>
      </c>
      <c r="AT6" s="69" t="str">
        <f>IF(ISERROR((VLOOKUP(AM6,Taken!$N:$O,2,0)-AR6)),"",(VLOOKUP(AM6,Taken!$N:$O,2,0)-AR6))</f>
        <v/>
      </c>
      <c r="AU6" s="69">
        <f>MAX(1,ROUND(((((AQ6-AQ$13)+Settings!$Q$7)/(SUM(AQ6:AQ$13)-((AQ$13-Settings!$Q$7)*((11+1)-AK6))))*(Settings!$V$7-SUM(AU$3:AU5))),0))</f>
        <v>1</v>
      </c>
      <c r="AV6" s="43" t="str">
        <f>IF(ISERROR((VLOOKUP(AM6,Taken!$N:$O,2,0)-AU6)),"",(VLOOKUP(AM6,Taken!$N:$O,2,0)-AU6))</f>
        <v/>
      </c>
      <c r="AW6" s="155"/>
    </row>
    <row r="7" spans="1:49" ht="12.75" customHeight="1">
      <c r="A7" s="163">
        <f t="shared" si="0"/>
        <v>5</v>
      </c>
      <c r="B7" s="75" t="str">
        <f>IF(ISERROR(VLOOKUP(C7,Taken!$B:$B,1,0)),"",IF(ISERROR(VLOOKUP(C7,'Draft Board'!$AS:$AS,1,0)),"X","Y"))</f>
        <v/>
      </c>
      <c r="C7" s="75" t="str">
        <f>VLOOKUP(A7,QB!AC:AD,2,0)</f>
        <v>Nick Foles</v>
      </c>
      <c r="D7" s="72" t="str">
        <f>VLOOKUP(C7,QB!$B:$C,2,0)</f>
        <v>PHI</v>
      </c>
      <c r="E7" s="72">
        <f>IF((D7="FA"),"N/A",VLOOKUP(D7,Settings!$M$2:$N$33,2,0))</f>
        <v>7</v>
      </c>
      <c r="F7" s="153">
        <f>VLOOKUP(C7,QB!$B:$AB,27,0)</f>
        <v>357.9</v>
      </c>
      <c r="G7" s="65">
        <f>F7-Settings!$AA$3</f>
        <v>19.78181818181821</v>
      </c>
      <c r="H7" s="129">
        <f>IF(ISERROR(VLOOKUP(C7,ESPNData!$CS:$CX,6,0)),"",IF((VLOOKUP(C7,ESPNData!$CS:$CX,6,0)="--"),"",VLOOKUP(C7,ESPNData!$CS:$CX,6,0)))</f>
        <v>8</v>
      </c>
      <c r="I7" s="75">
        <f>IF(ISERROR(VLOOKUP(C7,ESPNData!$CZ:$DE,6,0)),"",IF((VLOOKUP(C7,ESPNData!$CZ:$DE,6,0)="--"),"",VLOOKUP(C7,ESPNData!$CZ:$DE,6,0)))</f>
        <v>11</v>
      </c>
      <c r="J7" s="69" t="str">
        <f>IF(ISERROR((VLOOKUP(C7,Taken!$B:$C,2,0)-H7)),"",(VLOOKUP(C7,Taken!$B:$C,2,0)-H7))</f>
        <v/>
      </c>
      <c r="K7" s="69">
        <f>MAX(1,MIN(K6,ROUNDUP(((((G7-G$24)+Settings!$Q$3)/(SUM(G7:G$24)-((G$24-Settings!$Q$3)*((22+1)-A7))))*(Settings!$V$3-SUM(K$3:K6))),0)))</f>
        <v>23</v>
      </c>
      <c r="L7" s="43" t="str">
        <f>IF(ISERROR((VLOOKUP(C7,Taken!$B:$C,2,0)-K7)),"",(VLOOKUP(C7,Taken!$B:$C,2,0)-K7))</f>
        <v/>
      </c>
      <c r="M7" s="163">
        <f t="shared" si="1"/>
        <v>5</v>
      </c>
      <c r="N7" s="75" t="str">
        <f>IF(ISERROR(VLOOKUP(O7,Taken!$E:$E,1,0)),"",IF(ISERROR(VLOOKUP(O7,'Draft Board'!$AS:$AS,1,0)),"X","Y"))</f>
        <v/>
      </c>
      <c r="O7" s="75" t="str">
        <f>VLOOKUP(M7,RB!Z:AA,2,0)</f>
        <v>Eddie Lacy</v>
      </c>
      <c r="P7" s="75" t="str">
        <f>VLOOKUP(O7,RB!$B:$C,2,0)</f>
        <v>GB</v>
      </c>
      <c r="Q7" s="72">
        <f>IF((P7="FA"),"N/A",VLOOKUP(P7,Settings!$M$2:$N$33,2,0))</f>
        <v>9</v>
      </c>
      <c r="R7" s="153">
        <f>VLOOKUP(O7,RB!$B:$Y,24,0)</f>
        <v>236.4</v>
      </c>
      <c r="S7" s="65">
        <f>R7-Settings!$AA$4</f>
        <v>31.206060606060646</v>
      </c>
      <c r="T7" s="129">
        <f>IF(ISERROR(VLOOKUP(O7,ESPNData!$CS:$CX,6,0)),"",IF((VLOOKUP(O7,ESPNData!$CS:$CX,6,0)="--"),"",VLOOKUP(O7,ESPNData!$CS:$CX,6,0)))</f>
        <v>52</v>
      </c>
      <c r="U7" s="75">
        <f>IF(ISERROR(VLOOKUP(O7,ESPNData!$CZ:$DE,6,0)),"",IF((VLOOKUP(O7,ESPNData!$CZ:$DE,6,0)="--"),"",VLOOKUP(O7,ESPNData!$CZ:$DE,6,0)))</f>
        <v>53</v>
      </c>
      <c r="V7" s="69" t="str">
        <f>IF(ISERROR((VLOOKUP(O7,Taken!$E:$F,2,0)-T7)),"",(VLOOKUP(O7,Taken!$E:$F,2,0)-T7))</f>
        <v/>
      </c>
      <c r="W7" s="69">
        <f>MAX(1,ROUND(((((S7-S$35)+Settings!$Q$4)/(SUM(S7:S$35)-((S$35-Settings!$Q$4)*((33+1)-M7))))*(Settings!$V$4-SUM(W$3:W6))),0))</f>
        <v>31</v>
      </c>
      <c r="X7" s="43" t="str">
        <f>IF(ISERROR((VLOOKUP(O7,Taken!$E:$F,2,0)-W7)),"",(VLOOKUP(O7,Taken!$E:$F,2,0)-W7))</f>
        <v/>
      </c>
      <c r="Y7" s="163">
        <f t="shared" si="2"/>
        <v>5</v>
      </c>
      <c r="Z7" s="75" t="str">
        <f>IF(ISERROR(VLOOKUP(AA7,Taken!$H:$H,1,0)),"",IF(ISERROR(VLOOKUP(AA7,'Draft Board'!$AS:$AS,1,0)),"X","Y"))</f>
        <v/>
      </c>
      <c r="AA7" s="75" t="str">
        <f>VLOOKUP(Y7,WR!X:Y,2,0)</f>
        <v>A.J. Green</v>
      </c>
      <c r="AB7" s="75" t="str">
        <f>VLOOKUP(AA7,WR!$B:$C,2,0)</f>
        <v>CIN</v>
      </c>
      <c r="AC7" s="72">
        <f>IF((AB7="FA"),"N/A",VLOOKUP(AB7,Settings!$M$2:$N$33,2,0))</f>
        <v>4</v>
      </c>
      <c r="AD7" s="153">
        <f>VLOOKUP(AA7,WR!$B:$W,22,0)</f>
        <v>241.3</v>
      </c>
      <c r="AE7" s="65">
        <f>AD7-Settings!$AA$5</f>
        <v>40.260606060606108</v>
      </c>
      <c r="AF7" s="129">
        <f>IF(ISERROR(VLOOKUP(AA7,ESPNData!$CS:$CX,6,0)),"",IF((VLOOKUP(AA7,ESPNData!$CS:$CX,6,0)="--"),"",VLOOKUP(AA7,ESPNData!$CS:$CX,6,0)))</f>
        <v>39</v>
      </c>
      <c r="AG7" s="75">
        <f>IF(ISERROR(VLOOKUP(AA7,ESPNData!$CZ:$DE,6,0)),"",IF((VLOOKUP(AA7,ESPNData!$CZ:$DE,6,0)="--"),"",VLOOKUP(AA7,ESPNData!$CZ:$DE,6,0)))</f>
        <v>37</v>
      </c>
      <c r="AH7" s="69" t="str">
        <f>IF(ISERROR((VLOOKUP(AA7,Taken!$H:$I,2,0)-AF7)),"",(VLOOKUP(AA7,Taken!$H:$I,2,0)-AF7))</f>
        <v/>
      </c>
      <c r="AI7" s="69">
        <f>ROUND(((((AE7-AE$35)+Settings!$Q$5)/(SUM(AE7:AE$35)-((AE$35-Settings!$Q$5)*((33+1)-Y7))))*(Settings!$V$5-SUM(AI$3:AI6))),0)</f>
        <v>35</v>
      </c>
      <c r="AJ7" s="43" t="str">
        <f>IF(ISERROR((VLOOKUP(AA7,Taken!$H:$I,2,0)-AI7)),"",(VLOOKUP(AA7,Taken!$H:$I,2,0)-AI7))</f>
        <v/>
      </c>
      <c r="AK7" s="163">
        <f t="shared" si="3"/>
        <v>5</v>
      </c>
      <c r="AL7" s="75" t="str">
        <f>IF(ISERROR(VLOOKUP(AM7,Taken!$N:$N,1,0)),"",IF(ISERROR(VLOOKUP(AM7,'Draft Board'!$AS:$AS,1,0)),"X","Y"))</f>
        <v/>
      </c>
      <c r="AM7" s="75" t="str">
        <f>VLOOKUP(AK7,K!Q:R,2,0)</f>
        <v>Mason Crosby</v>
      </c>
      <c r="AN7" s="75" t="str">
        <f>VLOOKUP(AM7,K!$B:$C,2,0)</f>
        <v>GB</v>
      </c>
      <c r="AO7" s="72">
        <f>IF((AN7="FA"),"N/A",VLOOKUP(AN7,Settings!$M$2:$N$33,2,0))</f>
        <v>9</v>
      </c>
      <c r="AP7" s="153">
        <f>VLOOKUP(AM7,K!$B:$P,15,0)</f>
        <v>140.19999999999999</v>
      </c>
      <c r="AQ7" s="65">
        <f>AP7-Settings!$AA$7</f>
        <v>2.6454545454545553</v>
      </c>
      <c r="AR7" s="129">
        <f>IF(ISERROR(VLOOKUP(AM7,ESPNData!$CS:$CX,6,0)),"",IF((VLOOKUP(AM7,ESPNData!$CS:$CX,6,0)="--"),"",VLOOKUP(AM7,ESPNData!$CS:$CX,6,0)))</f>
        <v>1</v>
      </c>
      <c r="AS7" s="75">
        <f>IF(ISERROR(VLOOKUP(AM7,ESPNData!$CZ:$DE,6,0)),"",IF((VLOOKUP(AM7,ESPNData!$CZ:$DE,6,0)="--"),"",VLOOKUP(AM7,ESPNData!$CZ:$DE,6,0)))</f>
        <v>1</v>
      </c>
      <c r="AT7" s="69" t="str">
        <f>IF(ISERROR((VLOOKUP(AM7,Taken!$N:$O,2,0)-AR7)),"",(VLOOKUP(AM7,Taken!$N:$O,2,0)-AR7))</f>
        <v/>
      </c>
      <c r="AU7" s="69">
        <f>MAX(1,ROUND(((((AQ7-AQ$13)+Settings!$Q$7)/(SUM(AQ7:AQ$13)-((AQ$13-Settings!$Q$7)*((11+1)-AK7))))*(Settings!$V$7-SUM(AU$3:AU6))),0))</f>
        <v>1</v>
      </c>
      <c r="AV7" s="43" t="str">
        <f>IF(ISERROR((VLOOKUP(AM7,Taken!$N:$O,2,0)-AU7)),"",(VLOOKUP(AM7,Taken!$N:$O,2,0)-AU7))</f>
        <v/>
      </c>
      <c r="AW7" s="155"/>
    </row>
    <row r="8" spans="1:49" ht="12.75" customHeight="1">
      <c r="A8" s="163">
        <f t="shared" si="0"/>
        <v>6</v>
      </c>
      <c r="B8" s="75" t="str">
        <f>IF(ISERROR(VLOOKUP(C8,Taken!$B:$B,1,0)),"",IF(ISERROR(VLOOKUP(C8,'Draft Board'!$AS:$AS,1,0)),"X","Y"))</f>
        <v/>
      </c>
      <c r="C8" s="75" t="str">
        <f>VLOOKUP(A8,QB!AC:AD,2,0)</f>
        <v>Andrew Luck</v>
      </c>
      <c r="D8" s="72" t="str">
        <f>VLOOKUP(C8,QB!$B:$C,2,0)</f>
        <v>IND</v>
      </c>
      <c r="E8" s="72">
        <f>IF((D8="FA"),"N/A",VLOOKUP(D8,Settings!$M$2:$N$33,2,0))</f>
        <v>10</v>
      </c>
      <c r="F8" s="153">
        <f>VLOOKUP(C8,QB!$B:$AB,27,0)</f>
        <v>348.6</v>
      </c>
      <c r="G8" s="65">
        <f>F8-Settings!$AA$3</f>
        <v>10.481818181818255</v>
      </c>
      <c r="H8" s="129">
        <f>IF(ISERROR(VLOOKUP(C8,ESPNData!$CS:$CX,6,0)),"",IF((VLOOKUP(C8,ESPNData!$CS:$CX,6,0)="--"),"",VLOOKUP(C8,ESPNData!$CS:$CX,6,0)))</f>
        <v>14</v>
      </c>
      <c r="I8" s="75">
        <f>IF(ISERROR(VLOOKUP(C8,ESPNData!$CZ:$DE,6,0)),"",IF((VLOOKUP(C8,ESPNData!$CZ:$DE,6,0)="--"),"",VLOOKUP(C8,ESPNData!$CZ:$DE,6,0)))</f>
        <v>19</v>
      </c>
      <c r="J8" s="69" t="str">
        <f>IF(ISERROR((VLOOKUP(C8,Taken!$B:$C,2,0)-H8)),"",(VLOOKUP(C8,Taken!$B:$C,2,0)-H8))</f>
        <v/>
      </c>
      <c r="K8" s="69">
        <f>MAX(1,MIN(K7,ROUNDUP(((((G8-G$24)+Settings!$Q$3)/(SUM(G8:G$24)-((G$24-Settings!$Q$3)*((22+1)-A8))))*(Settings!$V$3-SUM(K$3:K7))),0)))</f>
        <v>22</v>
      </c>
      <c r="L8" s="43" t="str">
        <f>IF(ISERROR((VLOOKUP(C8,Taken!$B:$C,2,0)-K8)),"",(VLOOKUP(C8,Taken!$B:$C,2,0)-K8))</f>
        <v/>
      </c>
      <c r="M8" s="163">
        <f t="shared" si="1"/>
        <v>6</v>
      </c>
      <c r="N8" s="75" t="str">
        <f>IF(ISERROR(VLOOKUP(O8,Taken!$E:$E,1,0)),"",IF(ISERROR(VLOOKUP(O8,'Draft Board'!$AS:$AS,1,0)),"X","Y"))</f>
        <v/>
      </c>
      <c r="O8" s="75" t="str">
        <f>VLOOKUP(M8,RB!Z:AA,2,0)</f>
        <v>DeMarco Murray</v>
      </c>
      <c r="P8" s="75" t="str">
        <f>VLOOKUP(O8,RB!$B:$C,2,0)</f>
        <v>DAL</v>
      </c>
      <c r="Q8" s="72">
        <f>IF((P8="FA"),"N/A",VLOOKUP(P8,Settings!$M$2:$N$33,2,0))</f>
        <v>11</v>
      </c>
      <c r="R8" s="153">
        <f>VLOOKUP(O8,RB!$B:$Y,24,0)</f>
        <v>236.4</v>
      </c>
      <c r="S8" s="65">
        <f>R8-Settings!$AA$4</f>
        <v>31.206060606060646</v>
      </c>
      <c r="T8" s="129">
        <f>IF(ISERROR(VLOOKUP(O8,ESPNData!$CS:$CX,6,0)),"",IF((VLOOKUP(O8,ESPNData!$CS:$CX,6,0)="--"),"",VLOOKUP(O8,ESPNData!$CS:$CX,6,0)))</f>
        <v>42</v>
      </c>
      <c r="U8" s="75">
        <f>IF(ISERROR(VLOOKUP(O8,ESPNData!$CZ:$DE,6,0)),"",IF((VLOOKUP(O8,ESPNData!$CZ:$DE,6,0)="--"),"",VLOOKUP(O8,ESPNData!$CZ:$DE,6,0)))</f>
        <v>45</v>
      </c>
      <c r="V8" s="69" t="str">
        <f>IF(ISERROR((VLOOKUP(O8,Taken!$E:$F,2,0)-T8)),"",(VLOOKUP(O8,Taken!$E:$F,2,0)-T8))</f>
        <v/>
      </c>
      <c r="W8" s="69">
        <f>MAX(1,ROUND(((((S8-S$35)+Settings!$Q$4)/(SUM(S8:S$35)-((S$35-Settings!$Q$4)*((33+1)-M8))))*(Settings!$V$4-SUM(W$3:W7))),0))</f>
        <v>31</v>
      </c>
      <c r="X8" s="43" t="str">
        <f>IF(ISERROR((VLOOKUP(O8,Taken!$E:$F,2,0)-W8)),"",(VLOOKUP(O8,Taken!$E:$F,2,0)-W8))</f>
        <v/>
      </c>
      <c r="Y8" s="163">
        <f t="shared" si="2"/>
        <v>6</v>
      </c>
      <c r="Z8" s="75" t="str">
        <f>IF(ISERROR(VLOOKUP(AA8,Taken!$H:$H,1,0)),"",IF(ISERROR(VLOOKUP(AA8,'Draft Board'!$AS:$AS,1,0)),"X","Y"))</f>
        <v/>
      </c>
      <c r="AA8" s="75" t="str">
        <f>VLOOKUP(Y8,WR!X:Y,2,0)</f>
        <v>Antonio Brown</v>
      </c>
      <c r="AB8" s="75" t="str">
        <f>VLOOKUP(AA8,WR!$B:$C,2,0)</f>
        <v>PIT</v>
      </c>
      <c r="AC8" s="72">
        <f>IF((AB8="FA"),"N/A",VLOOKUP(AB8,Settings!$M$2:$N$33,2,0))</f>
        <v>12</v>
      </c>
      <c r="AD8" s="153">
        <f>VLOOKUP(AA8,WR!$B:$W,22,0)</f>
        <v>238.3</v>
      </c>
      <c r="AE8" s="65">
        <f>AD8-Settings!$AA$5</f>
        <v>37.260606060606108</v>
      </c>
      <c r="AF8" s="129">
        <f>IF(ISERROR(VLOOKUP(AA8,ESPNData!$CS:$CX,6,0)),"",IF((VLOOKUP(AA8,ESPNData!$CS:$CX,6,0)="--"),"",VLOOKUP(AA8,ESPNData!$CS:$CX,6,0)))</f>
        <v>30</v>
      </c>
      <c r="AG8" s="75">
        <f>IF(ISERROR(VLOOKUP(AA8,ESPNData!$CZ:$DE,6,0)),"",IF((VLOOKUP(AA8,ESPNData!$CZ:$DE,6,0)="--"),"",VLOOKUP(AA8,ESPNData!$CZ:$DE,6,0)))</f>
        <v>30</v>
      </c>
      <c r="AH8" s="69" t="str">
        <f>IF(ISERROR((VLOOKUP(AA8,Taken!$H:$I,2,0)-AF8)),"",(VLOOKUP(AA8,Taken!$H:$I,2,0)-AF8))</f>
        <v/>
      </c>
      <c r="AI8" s="69">
        <f>ROUND(((((AE8-AE$35)+Settings!$Q$5)/(SUM(AE8:AE$35)-((AE$35-Settings!$Q$5)*((33+1)-Y8))))*(Settings!$V$5-SUM(AI$3:AI7))),0)</f>
        <v>34</v>
      </c>
      <c r="AJ8" s="43" t="str">
        <f>IF(ISERROR((VLOOKUP(AA8,Taken!$H:$I,2,0)-AI8)),"",(VLOOKUP(AA8,Taken!$H:$I,2,0)-AI8))</f>
        <v/>
      </c>
      <c r="AK8" s="163">
        <f t="shared" si="3"/>
        <v>6</v>
      </c>
      <c r="AL8" s="75" t="str">
        <f>IF(ISERROR(VLOOKUP(AM8,Taken!$N:$N,1,0)),"",IF(ISERROR(VLOOKUP(AM8,'Draft Board'!$AS:$AS,1,0)),"X","Y"))</f>
        <v/>
      </c>
      <c r="AM8" s="75" t="str">
        <f>VLOOKUP(AK8,K!Q:R,2,0)</f>
        <v>Adam Vinatieri</v>
      </c>
      <c r="AN8" s="75" t="str">
        <f>VLOOKUP(AM8,K!$B:$C,2,0)</f>
        <v>IND</v>
      </c>
      <c r="AO8" s="72">
        <f>IF((AN8="FA"),"N/A",VLOOKUP(AN8,Settings!$M$2:$N$33,2,0))</f>
        <v>10</v>
      </c>
      <c r="AP8" s="153">
        <f>VLOOKUP(AM8,K!$B:$P,15,0)</f>
        <v>137.30000000000001</v>
      </c>
      <c r="AQ8" s="65">
        <f>AP8-Settings!$AA$7</f>
        <v>-0.25454545454542199</v>
      </c>
      <c r="AR8" s="129">
        <f>IF(ISERROR(VLOOKUP(AM8,ESPNData!$CS:$CX,6,0)),"",IF((VLOOKUP(AM8,ESPNData!$CS:$CX,6,0)="--"),"",VLOOKUP(AM8,ESPNData!$CS:$CX,6,0)))</f>
        <v>1</v>
      </c>
      <c r="AS8" s="75">
        <f>IF(ISERROR(VLOOKUP(AM8,ESPNData!$CZ:$DE,6,0)),"",IF((VLOOKUP(AM8,ESPNData!$CZ:$DE,6,0)="--"),"",VLOOKUP(AM8,ESPNData!$CZ:$DE,6,0)))</f>
        <v>1</v>
      </c>
      <c r="AT8" s="69" t="str">
        <f>IF(ISERROR((VLOOKUP(AM8,Taken!$N:$O,2,0)-AR8)),"",(VLOOKUP(AM8,Taken!$N:$O,2,0)-AR8))</f>
        <v/>
      </c>
      <c r="AU8" s="69">
        <f>MAX(1,ROUND(((((AQ8-AQ$13)+Settings!$Q$7)/(SUM(AQ8:AQ$13)-((AQ$13-Settings!$Q$7)*((11+1)-AK8))))*(Settings!$V$7-SUM(AU$3:AU7))),0))</f>
        <v>1</v>
      </c>
      <c r="AV8" s="43" t="str">
        <f>IF(ISERROR((VLOOKUP(AM8,Taken!$N:$O,2,0)-AU8)),"",(VLOOKUP(AM8,Taken!$N:$O,2,0)-AU8))</f>
        <v/>
      </c>
      <c r="AW8" s="155"/>
    </row>
    <row r="9" spans="1:49" ht="12.75" customHeight="1">
      <c r="A9" s="163">
        <f t="shared" si="0"/>
        <v>7</v>
      </c>
      <c r="B9" s="75" t="str">
        <f>IF(ISERROR(VLOOKUP(C9,Taken!$B:$B,1,0)),"",IF(ISERROR(VLOOKUP(C9,'Draft Board'!$AS:$AS,1,0)),"X","Y"))</f>
        <v/>
      </c>
      <c r="C9" s="75" t="str">
        <f>VLOOKUP(A9,QB!AC:AD,2,0)</f>
        <v>Cam Newton</v>
      </c>
      <c r="D9" s="72" t="str">
        <f>VLOOKUP(C9,QB!$B:$C,2,0)</f>
        <v>CAR</v>
      </c>
      <c r="E9" s="72">
        <f>IF((D9="FA"),"N/A",VLOOKUP(D9,Settings!$M$2:$N$33,2,0))</f>
        <v>12</v>
      </c>
      <c r="F9" s="153">
        <f>VLOOKUP(C9,QB!$B:$AB,27,0)</f>
        <v>343.2</v>
      </c>
      <c r="G9" s="65">
        <f>F9-Settings!$AA$3</f>
        <v>5.0818181818182211</v>
      </c>
      <c r="H9" s="129">
        <f>IF(ISERROR(VLOOKUP(C9,ESPNData!$CS:$CX,6,0)),"",IF((VLOOKUP(C9,ESPNData!$CS:$CX,6,0)="--"),"",VLOOKUP(C9,ESPNData!$CS:$CX,6,0)))</f>
        <v>17</v>
      </c>
      <c r="I9" s="75">
        <f>IF(ISERROR(VLOOKUP(C9,ESPNData!$CZ:$DE,6,0)),"",IF((VLOOKUP(C9,ESPNData!$CZ:$DE,6,0)="--"),"",VLOOKUP(C9,ESPNData!$CZ:$DE,6,0)))</f>
        <v>32</v>
      </c>
      <c r="J9" s="69" t="str">
        <f>IF(ISERROR((VLOOKUP(C9,Taken!$B:$C,2,0)-H9)),"",(VLOOKUP(C9,Taken!$B:$C,2,0)-H9))</f>
        <v/>
      </c>
      <c r="K9" s="69">
        <f>MAX(1,MIN(K8,ROUNDUP(((((G9-G$24)+Settings!$Q$3)/(SUM(G9:G$24)-((G$24-Settings!$Q$3)*((22+1)-A9))))*(Settings!$V$3-SUM(K$3:K8))),0)))</f>
        <v>21</v>
      </c>
      <c r="L9" s="43" t="str">
        <f>IF(ISERROR((VLOOKUP(C9,Taken!$B:$C,2,0)-K9)),"",(VLOOKUP(C9,Taken!$B:$C,2,0)-K9))</f>
        <v/>
      </c>
      <c r="M9" s="163">
        <f t="shared" si="1"/>
        <v>7</v>
      </c>
      <c r="N9" s="75" t="str">
        <f>IF(ISERROR(VLOOKUP(O9,Taken!$E:$E,1,0)),"",IF(ISERROR(VLOOKUP(O9,'Draft Board'!$AS:$AS,1,0)),"X","Y"))</f>
        <v/>
      </c>
      <c r="O9" s="75" t="str">
        <f>VLOOKUP(M9,RB!Z:AA,2,0)</f>
        <v>Montee Ball</v>
      </c>
      <c r="P9" s="75" t="str">
        <f>VLOOKUP(O9,RB!$B:$C,2,0)</f>
        <v>DEN</v>
      </c>
      <c r="Q9" s="72">
        <f>IF((P9="FA"),"N/A",VLOOKUP(P9,Settings!$M$2:$N$33,2,0))</f>
        <v>4</v>
      </c>
      <c r="R9" s="153">
        <f>VLOOKUP(O9,RB!$B:$Y,24,0)</f>
        <v>229.1</v>
      </c>
      <c r="S9" s="65">
        <f>R9-Settings!$AA$4</f>
        <v>23.906060606060635</v>
      </c>
      <c r="T9" s="129">
        <f>IF(ISERROR(VLOOKUP(O9,ESPNData!$CS:$CX,6,0)),"",IF((VLOOKUP(O9,ESPNData!$CS:$CX,6,0)="--"),"",VLOOKUP(O9,ESPNData!$CS:$CX,6,0)))</f>
        <v>32</v>
      </c>
      <c r="U9" s="75">
        <f>IF(ISERROR(VLOOKUP(O9,ESPNData!$CZ:$DE,6,0)),"",IF((VLOOKUP(O9,ESPNData!$CZ:$DE,6,0)="--"),"",VLOOKUP(O9,ESPNData!$CZ:$DE,6,0)))</f>
        <v>38</v>
      </c>
      <c r="V9" s="69" t="str">
        <f>IF(ISERROR((VLOOKUP(O9,Taken!$E:$F,2,0)-T9)),"",(VLOOKUP(O9,Taken!$E:$F,2,0)-T9))</f>
        <v/>
      </c>
      <c r="W9" s="69">
        <f>MAX(1,ROUND(((((S9-S$35)+Settings!$Q$4)/(SUM(S9:S$35)-((S$35-Settings!$Q$4)*((33+1)-M9))))*(Settings!$V$4-SUM(W$3:W8))),0))</f>
        <v>28</v>
      </c>
      <c r="X9" s="43" t="str">
        <f>IF(ISERROR((VLOOKUP(O9,Taken!$E:$F,2,0)-W9)),"",(VLOOKUP(O9,Taken!$E:$F,2,0)-W9))</f>
        <v/>
      </c>
      <c r="Y9" s="163">
        <f t="shared" si="2"/>
        <v>7</v>
      </c>
      <c r="Z9" s="75" t="str">
        <f>IF(ISERROR(VLOOKUP(AA9,Taken!$H:$H,1,0)),"",IF(ISERROR(VLOOKUP(AA9,'Draft Board'!$AS:$AS,1,0)),"X","Y"))</f>
        <v/>
      </c>
      <c r="AA9" s="75" t="str">
        <f>VLOOKUP(Y9,WR!X:Y,2,0)</f>
        <v>Brandon Marshall</v>
      </c>
      <c r="AB9" s="75" t="str">
        <f>VLOOKUP(AA9,WR!$B:$C,2,0)</f>
        <v>CHI</v>
      </c>
      <c r="AC9" s="72">
        <f>IF((AB9="FA"),"N/A",VLOOKUP(AB9,Settings!$M$2:$N$33,2,0))</f>
        <v>9</v>
      </c>
      <c r="AD9" s="153">
        <f>VLOOKUP(AA9,WR!$B:$W,22,0)</f>
        <v>237.8</v>
      </c>
      <c r="AE9" s="65">
        <f>AD9-Settings!$AA$5</f>
        <v>36.760606060606108</v>
      </c>
      <c r="AF9" s="129">
        <f>IF(ISERROR(VLOOKUP(AA9,ESPNData!$CS:$CX,6,0)),"",IF((VLOOKUP(AA9,ESPNData!$CS:$CX,6,0)="--"),"",VLOOKUP(AA9,ESPNData!$CS:$CX,6,0)))</f>
        <v>37</v>
      </c>
      <c r="AG9" s="75">
        <f>IF(ISERROR(VLOOKUP(AA9,ESPNData!$CZ:$DE,6,0)),"",IF((VLOOKUP(AA9,ESPNData!$CZ:$DE,6,0)="--"),"",VLOOKUP(AA9,ESPNData!$CZ:$DE,6,0)))</f>
        <v>32</v>
      </c>
      <c r="AH9" s="69" t="str">
        <f>IF(ISERROR((VLOOKUP(AA9,Taken!$H:$I,2,0)-AF9)),"",(VLOOKUP(AA9,Taken!$H:$I,2,0)-AF9))</f>
        <v/>
      </c>
      <c r="AI9" s="69">
        <f>ROUND(((((AE9-AE$35)+Settings!$Q$5)/(SUM(AE9:AE$35)-((AE$35-Settings!$Q$5)*((33+1)-Y9))))*(Settings!$V$5-SUM(AI$3:AI8))),0)</f>
        <v>34</v>
      </c>
      <c r="AJ9" s="43" t="str">
        <f>IF(ISERROR((VLOOKUP(AA9,Taken!$H:$I,2,0)-AI9)),"",(VLOOKUP(AA9,Taken!$H:$I,2,0)-AI9))</f>
        <v/>
      </c>
      <c r="AK9" s="163">
        <f t="shared" si="3"/>
        <v>7</v>
      </c>
      <c r="AL9" s="75" t="str">
        <f>IF(ISERROR(VLOOKUP(AM9,Taken!$N:$N,1,0)),"",IF(ISERROR(VLOOKUP(AM9,'Draft Board'!$AS:$AS,1,0)),"X","Y"))</f>
        <v/>
      </c>
      <c r="AM9" s="75" t="str">
        <f>VLOOKUP(AK9,K!Q:R,2,0)</f>
        <v>Nick Novak</v>
      </c>
      <c r="AN9" s="75" t="str">
        <f>VLOOKUP(AM9,K!$B:$C,2,0)</f>
        <v>SD</v>
      </c>
      <c r="AO9" s="72">
        <f>IF((AN9="FA"),"N/A",VLOOKUP(AN9,Settings!$M$2:$N$33,2,0))</f>
        <v>10</v>
      </c>
      <c r="AP9" s="153">
        <f>VLOOKUP(AM9,K!$B:$P,15,0)</f>
        <v>134.30000000000001</v>
      </c>
      <c r="AQ9" s="65">
        <f>AP9-Settings!$AA$7</f>
        <v>-3.254545454545422</v>
      </c>
      <c r="AR9" s="129">
        <f>IF(ISERROR(VLOOKUP(AM9,ESPNData!$CS:$CX,6,0)),"",IF((VLOOKUP(AM9,ESPNData!$CS:$CX,6,0)="--"),"",VLOOKUP(AM9,ESPNData!$CS:$CX,6,0)))</f>
        <v>1</v>
      </c>
      <c r="AS9" s="75">
        <f>IF(ISERROR(VLOOKUP(AM9,ESPNData!$CZ:$DE,6,0)),"",IF((VLOOKUP(AM9,ESPNData!$CZ:$DE,6,0)="--"),"",VLOOKUP(AM9,ESPNData!$CZ:$DE,6,0)))</f>
        <v>1</v>
      </c>
      <c r="AT9" s="69" t="str">
        <f>IF(ISERROR((VLOOKUP(AM9,Taken!$N:$O,2,0)-AR9)),"",(VLOOKUP(AM9,Taken!$N:$O,2,0)-AR9))</f>
        <v/>
      </c>
      <c r="AU9" s="69">
        <f>MAX(1,ROUND(((((AQ9-AQ$13)+Settings!$Q$7)/(SUM(AQ9:AQ$13)-((AQ$13-Settings!$Q$7)*((11+1)-AK9))))*(Settings!$V$7-SUM(AU$3:AU8))),0))</f>
        <v>1</v>
      </c>
      <c r="AV9" s="43" t="str">
        <f>IF(ISERROR((VLOOKUP(AM9,Taken!$N:$O,2,0)-AU9)),"",(VLOOKUP(AM9,Taken!$N:$O,2,0)-AU9))</f>
        <v/>
      </c>
      <c r="AW9" s="155"/>
    </row>
    <row r="10" spans="1:49" ht="12.75" customHeight="1">
      <c r="A10" s="163">
        <f t="shared" si="0"/>
        <v>8</v>
      </c>
      <c r="B10" s="75" t="str">
        <f>IF(ISERROR(VLOOKUP(C10,Taken!$B:$B,1,0)),"",IF(ISERROR(VLOOKUP(C10,'Draft Board'!$AS:$AS,1,0)),"X","Y"))</f>
        <v/>
      </c>
      <c r="C10" s="75" t="str">
        <f>VLOOKUP(A10,QB!AC:AD,2,0)</f>
        <v>Colin Kaepernick</v>
      </c>
      <c r="D10" s="72" t="str">
        <f>VLOOKUP(C10,QB!$B:$C,2,0)</f>
        <v>SF</v>
      </c>
      <c r="E10" s="72">
        <f>IF((D10="FA"),"N/A",VLOOKUP(D10,Settings!$M$2:$N$33,2,0))</f>
        <v>8</v>
      </c>
      <c r="F10" s="153">
        <f>VLOOKUP(C10,QB!$B:$AB,27,0)</f>
        <v>343.2</v>
      </c>
      <c r="G10" s="65">
        <f>F10-Settings!$AA$3</f>
        <v>5.0818181818182211</v>
      </c>
      <c r="H10" s="129">
        <f>IF(ISERROR(VLOOKUP(C10,ESPNData!$CS:$CX,6,0)),"",IF((VLOOKUP(C10,ESPNData!$CS:$CX,6,0)="--"),"",VLOOKUP(C10,ESPNData!$CS:$CX,6,0)))</f>
        <v>6</v>
      </c>
      <c r="I10" s="75">
        <f>IF(ISERROR(VLOOKUP(C10,ESPNData!$CZ:$DE,6,0)),"",IF((VLOOKUP(C10,ESPNData!$CZ:$DE,6,0)="--"),"",VLOOKUP(C10,ESPNData!$CZ:$DE,6,0)))</f>
        <v>9</v>
      </c>
      <c r="J10" s="69" t="str">
        <f>IF(ISERROR((VLOOKUP(C10,Taken!$B:$C,2,0)-H10)),"",(VLOOKUP(C10,Taken!$B:$C,2,0)-H10))</f>
        <v/>
      </c>
      <c r="K10" s="69">
        <f>MAX(1,MIN(K9,ROUNDUP(((((G10-G$24)+Settings!$Q$3)/(SUM(G10:G$24)-((G$24-Settings!$Q$3)*((22+1)-A10))))*(Settings!$V$3-SUM(K$3:K9))),0)))</f>
        <v>21</v>
      </c>
      <c r="L10" s="43" t="str">
        <f>IF(ISERROR((VLOOKUP(C10,Taken!$B:$C,2,0)-K10)),"",(VLOOKUP(C10,Taken!$B:$C,2,0)-K10))</f>
        <v/>
      </c>
      <c r="M10" s="163">
        <f t="shared" si="1"/>
        <v>8</v>
      </c>
      <c r="N10" s="75" t="str">
        <f>IF(ISERROR(VLOOKUP(O10,Taken!$E:$E,1,0)),"",IF(ISERROR(VLOOKUP(O10,'Draft Board'!$AS:$AS,1,0)),"X","Y"))</f>
        <v/>
      </c>
      <c r="O10" s="75" t="str">
        <f>VLOOKUP(M10,RB!Z:AA,2,0)</f>
        <v>Giovani Bernard</v>
      </c>
      <c r="P10" s="75" t="str">
        <f>VLOOKUP(O10,RB!$B:$C,2,0)</f>
        <v>CIN</v>
      </c>
      <c r="Q10" s="72">
        <f>IF((P10="FA"),"N/A",VLOOKUP(P10,Settings!$M$2:$N$33,2,0))</f>
        <v>4</v>
      </c>
      <c r="R10" s="153">
        <f>VLOOKUP(O10,RB!$B:$Y,24,0)</f>
        <v>228.5</v>
      </c>
      <c r="S10" s="65">
        <f>R10-Settings!$AA$4</f>
        <v>23.30606060606064</v>
      </c>
      <c r="T10" s="129">
        <f>IF(ISERROR(VLOOKUP(O10,ESPNData!$CS:$CX,6,0)),"",IF((VLOOKUP(O10,ESPNData!$CS:$CX,6,0)="--"),"",VLOOKUP(O10,ESPNData!$CS:$CX,6,0)))</f>
        <v>31</v>
      </c>
      <c r="U10" s="75">
        <f>IF(ISERROR(VLOOKUP(O10,ESPNData!$CZ:$DE,6,0)),"",IF((VLOOKUP(O10,ESPNData!$CZ:$DE,6,0)="--"),"",VLOOKUP(O10,ESPNData!$CZ:$DE,6,0)))</f>
        <v>37</v>
      </c>
      <c r="V10" s="69" t="str">
        <f>IF(ISERROR((VLOOKUP(O10,Taken!$E:$F,2,0)-T10)),"",(VLOOKUP(O10,Taken!$E:$F,2,0)-T10))</f>
        <v/>
      </c>
      <c r="W10" s="69">
        <f>MAX(1,ROUND(((((S10-S$35)+Settings!$Q$4)/(SUM(S10:S$35)-((S$35-Settings!$Q$4)*((33+1)-M10))))*(Settings!$V$4-SUM(W$3:W9))),0))</f>
        <v>28</v>
      </c>
      <c r="X10" s="43" t="str">
        <f>IF(ISERROR((VLOOKUP(O10,Taken!$E:$F,2,0)-W10)),"",(VLOOKUP(O10,Taken!$E:$F,2,0)-W10))</f>
        <v/>
      </c>
      <c r="Y10" s="163">
        <f t="shared" si="2"/>
        <v>8</v>
      </c>
      <c r="Z10" s="75" t="str">
        <f>IF(ISERROR(VLOOKUP(AA10,Taken!$H:$H,1,0)),"",IF(ISERROR(VLOOKUP(AA10,'Draft Board'!$AS:$AS,1,0)),"X","Y"))</f>
        <v/>
      </c>
      <c r="AA10" s="75" t="str">
        <f>VLOOKUP(Y10,WR!X:Y,2,0)</f>
        <v>Jordy Nelson</v>
      </c>
      <c r="AB10" s="75" t="str">
        <f>VLOOKUP(AA10,WR!$B:$C,2,0)</f>
        <v>GB</v>
      </c>
      <c r="AC10" s="72">
        <f>IF((AB10="FA"),"N/A",VLOOKUP(AB10,Settings!$M$2:$N$33,2,0))</f>
        <v>9</v>
      </c>
      <c r="AD10" s="153">
        <f>VLOOKUP(AA10,WR!$B:$W,22,0)</f>
        <v>223.6</v>
      </c>
      <c r="AE10" s="65">
        <f>AD10-Settings!$AA$5</f>
        <v>22.560606060606091</v>
      </c>
      <c r="AF10" s="129">
        <f>IF(ISERROR(VLOOKUP(AA10,ESPNData!$CS:$CX,6,0)),"",IF((VLOOKUP(AA10,ESPNData!$CS:$CX,6,0)="--"),"",VLOOKUP(AA10,ESPNData!$CS:$CX,6,0)))</f>
        <v>34</v>
      </c>
      <c r="AG10" s="75">
        <f>IF(ISERROR(VLOOKUP(AA10,ESPNData!$CZ:$DE,6,0)),"",IF((VLOOKUP(AA10,ESPNData!$CZ:$DE,6,0)="--"),"",VLOOKUP(AA10,ESPNData!$CZ:$DE,6,0)))</f>
        <v>30</v>
      </c>
      <c r="AH10" s="69" t="str">
        <f>IF(ISERROR((VLOOKUP(AA10,Taken!$H:$I,2,0)-AF10)),"",(VLOOKUP(AA10,Taken!$H:$I,2,0)-AF10))</f>
        <v/>
      </c>
      <c r="AI10" s="69">
        <f>ROUND(((((AE10-AE$35)+Settings!$Q$5)/(SUM(AE10:AE$35)-((AE$35-Settings!$Q$5)*((33+1)-Y10))))*(Settings!$V$5-SUM(AI$3:AI9))),0)</f>
        <v>29</v>
      </c>
      <c r="AJ10" s="43" t="str">
        <f>IF(ISERROR((VLOOKUP(AA10,Taken!$H:$I,2,0)-AI10)),"",(VLOOKUP(AA10,Taken!$H:$I,2,0)-AI10))</f>
        <v/>
      </c>
      <c r="AK10" s="163">
        <f t="shared" si="3"/>
        <v>8</v>
      </c>
      <c r="AL10" s="75" t="str">
        <f>IF(ISERROR(VLOOKUP(AM10,Taken!$N:$N,1,0)),"",IF(ISERROR(VLOOKUP(AM10,'Draft Board'!$AS:$AS,1,0)),"X","Y"))</f>
        <v/>
      </c>
      <c r="AM10" s="75" t="str">
        <f>VLOOKUP(AK10,K!Q:R,2,0)</f>
        <v>Dan Bailey</v>
      </c>
      <c r="AN10" s="75" t="str">
        <f>VLOOKUP(AM10,K!$B:$C,2,0)</f>
        <v>DAL</v>
      </c>
      <c r="AO10" s="72">
        <f>IF((AN10="FA"),"N/A",VLOOKUP(AN10,Settings!$M$2:$N$33,2,0))</f>
        <v>11</v>
      </c>
      <c r="AP10" s="153">
        <f>VLOOKUP(AM10,K!$B:$P,15,0)</f>
        <v>133.6</v>
      </c>
      <c r="AQ10" s="65">
        <f>AP10-Settings!$AA$7</f>
        <v>-3.954545454545439</v>
      </c>
      <c r="AR10" s="129">
        <f>IF(ISERROR(VLOOKUP(AM10,ESPNData!$CS:$CX,6,0)),"",IF((VLOOKUP(AM10,ESPNData!$CS:$CX,6,0)="--"),"",VLOOKUP(AM10,ESPNData!$CS:$CX,6,0)))</f>
        <v>1</v>
      </c>
      <c r="AS10" s="75">
        <f>IF(ISERROR(VLOOKUP(AM10,ESPNData!$CZ:$DE,6,0)),"",IF((VLOOKUP(AM10,ESPNData!$CZ:$DE,6,0)="--"),"",VLOOKUP(AM10,ESPNData!$CZ:$DE,6,0)))</f>
        <v>1</v>
      </c>
      <c r="AT10" s="69" t="str">
        <f>IF(ISERROR((VLOOKUP(AM10,Taken!$N:$O,2,0)-AR10)),"",(VLOOKUP(AM10,Taken!$N:$O,2,0)-AR10))</f>
        <v/>
      </c>
      <c r="AU10" s="69">
        <f>MAX(1,ROUND(((((AQ10-AQ$13)+Settings!$Q$7)/(SUM(AQ10:AQ$13)-((AQ$13-Settings!$Q$7)*((11+1)-AK10))))*(Settings!$V$7-SUM(AU$3:AU9))),0))</f>
        <v>1</v>
      </c>
      <c r="AV10" s="43" t="str">
        <f>IF(ISERROR((VLOOKUP(AM10,Taken!$N:$O,2,0)-AU10)),"",(VLOOKUP(AM10,Taken!$N:$O,2,0)-AU10))</f>
        <v/>
      </c>
      <c r="AW10" s="155"/>
    </row>
    <row r="11" spans="1:49" ht="12.75" customHeight="1">
      <c r="A11" s="163">
        <f t="shared" si="0"/>
        <v>9</v>
      </c>
      <c r="B11" s="75" t="str">
        <f>IF(ISERROR(VLOOKUP(C11,Taken!$B:$B,1,0)),"",IF(ISERROR(VLOOKUP(C11,'Draft Board'!$AS:$AS,1,0)),"X","Y"))</f>
        <v/>
      </c>
      <c r="C11" s="75" t="str">
        <f>VLOOKUP(A11,QB!AC:AD,2,0)</f>
        <v>Matt Ryan</v>
      </c>
      <c r="D11" s="72" t="str">
        <f>VLOOKUP(C11,QB!$B:$C,2,0)</f>
        <v>ATL</v>
      </c>
      <c r="E11" s="72">
        <f>IF((D11="FA"),"N/A",VLOOKUP(D11,Settings!$M$2:$N$33,2,0))</f>
        <v>9</v>
      </c>
      <c r="F11" s="153">
        <f>VLOOKUP(C11,QB!$B:$AB,27,0)</f>
        <v>342.3</v>
      </c>
      <c r="G11" s="65">
        <f>F11-Settings!$AA$3</f>
        <v>4.1818181818182438</v>
      </c>
      <c r="H11" s="129">
        <f>IF(ISERROR(VLOOKUP(C11,ESPNData!$CS:$CX,6,0)),"",IF((VLOOKUP(C11,ESPNData!$CS:$CX,6,0)="--"),"",VLOOKUP(C11,ESPNData!$CS:$CX,6,0)))</f>
        <v>2</v>
      </c>
      <c r="I11" s="75">
        <f>IF(ISERROR(VLOOKUP(C11,ESPNData!$CZ:$DE,6,0)),"",IF((VLOOKUP(C11,ESPNData!$CZ:$DE,6,0)="--"),"",VLOOKUP(C11,ESPNData!$CZ:$DE,6,0)))</f>
        <v>5</v>
      </c>
      <c r="J11" s="69" t="str">
        <f>IF(ISERROR((VLOOKUP(C11,Taken!$B:$C,2,0)-H11)),"",(VLOOKUP(C11,Taken!$B:$C,2,0)-H11))</f>
        <v/>
      </c>
      <c r="K11" s="69">
        <f>MAX(1,MIN(K10,ROUNDUP(((((G11-G$24)+Settings!$Q$3)/(SUM(G11:G$24)-((G$24-Settings!$Q$3)*((22+1)-A11))))*(Settings!$V$3-SUM(K$3:K10))),0)))</f>
        <v>20</v>
      </c>
      <c r="L11" s="43" t="str">
        <f>IF(ISERROR((VLOOKUP(C11,Taken!$B:$C,2,0)-K11)),"",(VLOOKUP(C11,Taken!$B:$C,2,0)-K11))</f>
        <v/>
      </c>
      <c r="M11" s="163">
        <f t="shared" si="1"/>
        <v>9</v>
      </c>
      <c r="N11" s="75" t="str">
        <f>IF(ISERROR(VLOOKUP(O11,Taken!$E:$E,1,0)),"",IF(ISERROR(VLOOKUP(O11,'Draft Board'!$AS:$AS,1,0)),"X","Y"))</f>
        <v/>
      </c>
      <c r="O11" s="75" t="str">
        <f>VLOOKUP(M11,RB!Z:AA,2,0)</f>
        <v>Marshawn Lynch</v>
      </c>
      <c r="P11" s="75" t="str">
        <f>VLOOKUP(O11,RB!$B:$C,2,0)</f>
        <v>SEA</v>
      </c>
      <c r="Q11" s="72">
        <f>IF((P11="FA"),"N/A",VLOOKUP(P11,Settings!$M$2:$N$33,2,0))</f>
        <v>4</v>
      </c>
      <c r="R11" s="153">
        <f>VLOOKUP(O11,RB!$B:$Y,24,0)</f>
        <v>226.2</v>
      </c>
      <c r="S11" s="65">
        <f>R11-Settings!$AA$4</f>
        <v>21.006060606060629</v>
      </c>
      <c r="T11" s="129">
        <f>IF(ISERROR(VLOOKUP(O11,ESPNData!$CS:$CX,6,0)),"",IF((VLOOKUP(O11,ESPNData!$CS:$CX,6,0)="--"),"",VLOOKUP(O11,ESPNData!$CS:$CX,6,0)))</f>
        <v>53</v>
      </c>
      <c r="U11" s="75">
        <f>IF(ISERROR(VLOOKUP(O11,ESPNData!$CZ:$DE,6,0)),"",IF((VLOOKUP(O11,ESPNData!$CZ:$DE,6,0)="--"),"",VLOOKUP(O11,ESPNData!$CZ:$DE,6,0)))</f>
        <v>54</v>
      </c>
      <c r="V11" s="69" t="str">
        <f>IF(ISERROR((VLOOKUP(O11,Taken!$E:$F,2,0)-T11)),"",(VLOOKUP(O11,Taken!$E:$F,2,0)-T11))</f>
        <v/>
      </c>
      <c r="W11" s="69">
        <f>MAX(1,ROUND(((((S11-S$35)+Settings!$Q$4)/(SUM(S11:S$35)-((S$35-Settings!$Q$4)*((33+1)-M11))))*(Settings!$V$4-SUM(W$3:W10))),0))</f>
        <v>28</v>
      </c>
      <c r="X11" s="43" t="str">
        <f>IF(ISERROR((VLOOKUP(O11,Taken!$E:$F,2,0)-W11)),"",(VLOOKUP(O11,Taken!$E:$F,2,0)-W11))</f>
        <v/>
      </c>
      <c r="Y11" s="163">
        <f t="shared" si="2"/>
        <v>9</v>
      </c>
      <c r="Z11" s="75" t="str">
        <f>IF(ISERROR(VLOOKUP(AA11,Taken!$H:$H,1,0)),"",IF(ISERROR(VLOOKUP(AA11,'Draft Board'!$AS:$AS,1,0)),"X","Y"))</f>
        <v/>
      </c>
      <c r="AA11" s="75" t="str">
        <f>VLOOKUP(Y11,WR!X:Y,2,0)</f>
        <v>Alshon Jeffery</v>
      </c>
      <c r="AB11" s="75" t="str">
        <f>VLOOKUP(AA11,WR!$B:$C,2,0)</f>
        <v>CHI</v>
      </c>
      <c r="AC11" s="72">
        <f>IF((AB11="FA"),"N/A",VLOOKUP(AB11,Settings!$M$2:$N$33,2,0))</f>
        <v>9</v>
      </c>
      <c r="AD11" s="153">
        <f>VLOOKUP(AA11,WR!$B:$W,22,0)</f>
        <v>222</v>
      </c>
      <c r="AE11" s="65">
        <f>AD11-Settings!$AA$5</f>
        <v>20.960606060606096</v>
      </c>
      <c r="AF11" s="129">
        <f>IF(ISERROR(VLOOKUP(AA11,ESPNData!$CS:$CX,6,0)),"",IF((VLOOKUP(AA11,ESPNData!$CS:$CX,6,0)="--"),"",VLOOKUP(AA11,ESPNData!$CS:$CX,6,0)))</f>
        <v>32</v>
      </c>
      <c r="AG11" s="75">
        <f>IF(ISERROR(VLOOKUP(AA11,ESPNData!$CZ:$DE,6,0)),"",IF((VLOOKUP(AA11,ESPNData!$CZ:$DE,6,0)="--"),"",VLOOKUP(AA11,ESPNData!$CZ:$DE,6,0)))</f>
        <v>29</v>
      </c>
      <c r="AH11" s="69" t="str">
        <f>IF(ISERROR((VLOOKUP(AA11,Taken!$H:$I,2,0)-AF11)),"",(VLOOKUP(AA11,Taken!$H:$I,2,0)-AF11))</f>
        <v/>
      </c>
      <c r="AI11" s="69">
        <f>ROUND(((((AE11-AE$35)+Settings!$Q$5)/(SUM(AE11:AE$35)-((AE$35-Settings!$Q$5)*((33+1)-Y11))))*(Settings!$V$5-SUM(AI$3:AI10))),0)</f>
        <v>28</v>
      </c>
      <c r="AJ11" s="43" t="str">
        <f>IF(ISERROR((VLOOKUP(AA11,Taken!$H:$I,2,0)-AI11)),"",(VLOOKUP(AA11,Taken!$H:$I,2,0)-AI11))</f>
        <v/>
      </c>
      <c r="AK11" s="163">
        <f t="shared" si="3"/>
        <v>9</v>
      </c>
      <c r="AL11" s="75" t="str">
        <f>IF(ISERROR(VLOOKUP(AM11,Taken!$N:$N,1,0)),"",IF(ISERROR(VLOOKUP(AM11,'Draft Board'!$AS:$AS,1,0)),"X","Y"))</f>
        <v/>
      </c>
      <c r="AM11" s="75" t="str">
        <f>VLOOKUP(AK11,K!Q:R,2,0)</f>
        <v>Shayne Graham</v>
      </c>
      <c r="AN11" s="75" t="str">
        <f>VLOOKUP(AM11,K!$B:$C,2,0)</f>
        <v>NO</v>
      </c>
      <c r="AO11" s="72">
        <f>IF((AN11="FA"),"N/A",VLOOKUP(AN11,Settings!$M$2:$N$33,2,0))</f>
        <v>6</v>
      </c>
      <c r="AP11" s="153">
        <f>VLOOKUP(AM11,K!$B:$P,15,0)</f>
        <v>131.69999999999999</v>
      </c>
      <c r="AQ11" s="65">
        <f>AP11-Settings!$AA$7</f>
        <v>-5.8545454545454447</v>
      </c>
      <c r="AR11" s="129" t="str">
        <f>IF(ISERROR(VLOOKUP(AM11,ESPNData!$CS:$CX,6,0)),"",IF((VLOOKUP(AM11,ESPNData!$CS:$CX,6,0)="--"),"",VLOOKUP(AM11,ESPNData!$CS:$CX,6,0)))</f>
        <v/>
      </c>
      <c r="AS11" s="75" t="str">
        <f>IF(ISERROR(VLOOKUP(AM11,ESPNData!$CZ:$DE,6,0)),"",IF((VLOOKUP(AM11,ESPNData!$CZ:$DE,6,0)="--"),"",VLOOKUP(AM11,ESPNData!$CZ:$DE,6,0)))</f>
        <v/>
      </c>
      <c r="AT11" s="69" t="str">
        <f>IF(ISERROR((VLOOKUP(AM11,Taken!$N:$O,2,0)-AR11)),"",(VLOOKUP(AM11,Taken!$N:$O,2,0)-AR11))</f>
        <v/>
      </c>
      <c r="AU11" s="69">
        <f>MAX(1,ROUND(((((AQ11-AQ$13)+Settings!$Q$7)/(SUM(AQ11:AQ$13)-((AQ$13-Settings!$Q$7)*((11+1)-AK11))))*(Settings!$V$7-SUM(AU$3:AU10))),0))</f>
        <v>1</v>
      </c>
      <c r="AV11" s="43" t="str">
        <f>IF(ISERROR((VLOOKUP(AM11,Taken!$N:$O,2,0)-AU11)),"",(VLOOKUP(AM11,Taken!$N:$O,2,0)-AU11))</f>
        <v/>
      </c>
      <c r="AW11" s="155"/>
    </row>
    <row r="12" spans="1:49" ht="12.75" customHeight="1">
      <c r="A12" s="163">
        <f t="shared" si="0"/>
        <v>10</v>
      </c>
      <c r="B12" s="75" t="str">
        <f>IF(ISERROR(VLOOKUP(C12,Taken!$B:$B,1,0)),"",IF(ISERROR(VLOOKUP(C12,'Draft Board'!$AS:$AS,1,0)),"X","Y"))</f>
        <v/>
      </c>
      <c r="C12" s="75" t="str">
        <f>VLOOKUP(A12,QB!AC:AD,2,0)</f>
        <v>Robert Griffin III</v>
      </c>
      <c r="D12" s="72" t="str">
        <f>VLOOKUP(C12,QB!$B:$C,2,0)</f>
        <v>WSH</v>
      </c>
      <c r="E12" s="72">
        <f>IF((D12="FA"),"N/A",VLOOKUP(D12,Settings!$M$2:$N$33,2,0))</f>
        <v>10</v>
      </c>
      <c r="F12" s="153">
        <f>VLOOKUP(C12,QB!$B:$AB,27,0)</f>
        <v>338.1</v>
      </c>
      <c r="G12" s="65">
        <f>F12-Settings!$AA$3</f>
        <v>-1.8181818181744802E-2</v>
      </c>
      <c r="H12" s="129">
        <f>IF(ISERROR(VLOOKUP(C12,ESPNData!$CS:$CX,6,0)),"",IF((VLOOKUP(C12,ESPNData!$CS:$CX,6,0)="--"),"",VLOOKUP(C12,ESPNData!$CS:$CX,6,0)))</f>
        <v>8</v>
      </c>
      <c r="I12" s="75">
        <f>IF(ISERROR(VLOOKUP(C12,ESPNData!$CZ:$DE,6,0)),"",IF((VLOOKUP(C12,ESPNData!$CZ:$DE,6,0)="--"),"",VLOOKUP(C12,ESPNData!$CZ:$DE,6,0)))</f>
        <v>14</v>
      </c>
      <c r="J12" s="69" t="str">
        <f>IF(ISERROR((VLOOKUP(C12,Taken!$B:$C,2,0)-H12)),"",(VLOOKUP(C12,Taken!$B:$C,2,0)-H12))</f>
        <v/>
      </c>
      <c r="K12" s="69">
        <f>MAX(1,MIN(K11,ROUNDUP(((((G12-G$24)+Settings!$Q$3)/(SUM(G12:G$24)-((G$24-Settings!$Q$3)*((22+1)-A12))))*(Settings!$V$3-SUM(K$3:K11))),0)))</f>
        <v>19</v>
      </c>
      <c r="L12" s="43" t="str">
        <f>IF(ISERROR((VLOOKUP(C12,Taken!$B:$C,2,0)-K12)),"",(VLOOKUP(C12,Taken!$B:$C,2,0)-K12))</f>
        <v/>
      </c>
      <c r="M12" s="163">
        <f t="shared" si="1"/>
        <v>10</v>
      </c>
      <c r="N12" s="75" t="str">
        <f>IF(ISERROR(VLOOKUP(O12,Taken!$E:$E,1,0)),"",IF(ISERROR(VLOOKUP(O12,'Draft Board'!$AS:$AS,1,0)),"X","Y"))</f>
        <v/>
      </c>
      <c r="O12" s="75" t="str">
        <f>VLOOKUP(M12,RB!Z:AA,2,0)</f>
        <v>Le'Veon Bell</v>
      </c>
      <c r="P12" s="75" t="str">
        <f>VLOOKUP(O12,RB!$B:$C,2,0)</f>
        <v>PIT</v>
      </c>
      <c r="Q12" s="72">
        <f>IF((P12="FA"),"N/A",VLOOKUP(P12,Settings!$M$2:$N$33,2,0))</f>
        <v>12</v>
      </c>
      <c r="R12" s="153">
        <f>VLOOKUP(O12,RB!$B:$Y,24,0)</f>
        <v>226.1</v>
      </c>
      <c r="S12" s="65">
        <f>R12-Settings!$AA$4</f>
        <v>20.906060606060635</v>
      </c>
      <c r="T12" s="129">
        <f>IF(ISERROR(VLOOKUP(O12,ESPNData!$CS:$CX,6,0)),"",IF((VLOOKUP(O12,ESPNData!$CS:$CX,6,0)="--"),"",VLOOKUP(O12,ESPNData!$CS:$CX,6,0)))</f>
        <v>41</v>
      </c>
      <c r="U12" s="75">
        <f>IF(ISERROR(VLOOKUP(O12,ESPNData!$CZ:$DE,6,0)),"",IF((VLOOKUP(O12,ESPNData!$CZ:$DE,6,0)="--"),"",VLOOKUP(O12,ESPNData!$CZ:$DE,6,0)))</f>
        <v>40</v>
      </c>
      <c r="V12" s="69" t="str">
        <f>IF(ISERROR((VLOOKUP(O12,Taken!$E:$F,2,0)-T12)),"",(VLOOKUP(O12,Taken!$E:$F,2,0)-T12))</f>
        <v/>
      </c>
      <c r="W12" s="69">
        <f>MAX(1,ROUND(((((S12-S$35)+Settings!$Q$4)/(SUM(S12:S$35)-((S$35-Settings!$Q$4)*((33+1)-M12))))*(Settings!$V$4-SUM(W$3:W11))),0))</f>
        <v>27</v>
      </c>
      <c r="X12" s="43" t="str">
        <f>IF(ISERROR((VLOOKUP(O12,Taken!$E:$F,2,0)-W12)),"",(VLOOKUP(O12,Taken!$E:$F,2,0)-W12))</f>
        <v/>
      </c>
      <c r="Y12" s="163">
        <f t="shared" si="2"/>
        <v>10</v>
      </c>
      <c r="Z12" s="75" t="str">
        <f>IF(ISERROR(VLOOKUP(AA12,Taken!$H:$H,1,0)),"",IF(ISERROR(VLOOKUP(AA12,'Draft Board'!$AS:$AS,1,0)),"X","Y"))</f>
        <v/>
      </c>
      <c r="AA12" s="75" t="str">
        <f>VLOOKUP(Y12,WR!X:Y,2,0)</f>
        <v>Randall Cobb</v>
      </c>
      <c r="AB12" s="75" t="str">
        <f>VLOOKUP(AA12,WR!$B:$C,2,0)</f>
        <v>GB</v>
      </c>
      <c r="AC12" s="72">
        <f>IF((AB12="FA"),"N/A",VLOOKUP(AB12,Settings!$M$2:$N$33,2,0))</f>
        <v>9</v>
      </c>
      <c r="AD12" s="153">
        <f>VLOOKUP(AA12,WR!$B:$W,22,0)</f>
        <v>213.4</v>
      </c>
      <c r="AE12" s="65">
        <f>AD12-Settings!$AA$5</f>
        <v>12.360606060606102</v>
      </c>
      <c r="AF12" s="129">
        <f>IF(ISERROR(VLOOKUP(AA12,ESPNData!$CS:$CX,6,0)),"",IF((VLOOKUP(AA12,ESPNData!$CS:$CX,6,0)="--"),"",VLOOKUP(AA12,ESPNData!$CS:$CX,6,0)))</f>
        <v>29</v>
      </c>
      <c r="AG12" s="75">
        <f>IF(ISERROR(VLOOKUP(AA12,ESPNData!$CZ:$DE,6,0)),"",IF((VLOOKUP(AA12,ESPNData!$CZ:$DE,6,0)="--"),"",VLOOKUP(AA12,ESPNData!$CZ:$DE,6,0)))</f>
        <v>24</v>
      </c>
      <c r="AH12" s="69" t="str">
        <f>IF(ISERROR((VLOOKUP(AA12,Taken!$H:$I,2,0)-AF12)),"",(VLOOKUP(AA12,Taken!$H:$I,2,0)-AF12))</f>
        <v/>
      </c>
      <c r="AI12" s="69">
        <f>ROUND(((((AE12-AE$35)+Settings!$Q$5)/(SUM(AE12:AE$35)-((AE$35-Settings!$Q$5)*((33+1)-Y12))))*(Settings!$V$5-SUM(AI$3:AI11))),0)</f>
        <v>25</v>
      </c>
      <c r="AJ12" s="43" t="str">
        <f>IF(ISERROR((VLOOKUP(AA12,Taken!$H:$I,2,0)-AI12)),"",(VLOOKUP(AA12,Taken!$H:$I,2,0)-AI12))</f>
        <v/>
      </c>
      <c r="AK12" s="163">
        <f t="shared" si="3"/>
        <v>10</v>
      </c>
      <c r="AL12" s="75" t="str">
        <f>IF(ISERROR(VLOOKUP(AM12,Taken!$N:$N,1,0)),"",IF(ISERROR(VLOOKUP(AM12,'Draft Board'!$AS:$AS,1,0)),"X","Y"))</f>
        <v/>
      </c>
      <c r="AM12" s="75" t="str">
        <f>VLOOKUP(AK12,K!Q:R,2,0)</f>
        <v>Blair Walsh</v>
      </c>
      <c r="AN12" s="75" t="str">
        <f>VLOOKUP(AM12,K!$B:$C,2,0)</f>
        <v>MIN</v>
      </c>
      <c r="AO12" s="72">
        <f>IF((AN12="FA"),"N/A",VLOOKUP(AN12,Settings!$M$2:$N$33,2,0))</f>
        <v>10</v>
      </c>
      <c r="AP12" s="153">
        <f>VLOOKUP(AM12,K!$B:$P,15,0)</f>
        <v>130.19999999999999</v>
      </c>
      <c r="AQ12" s="65">
        <f>AP12-Settings!$AA$7</f>
        <v>-7.3545454545454447</v>
      </c>
      <c r="AR12" s="129">
        <f>IF(ISERROR(VLOOKUP(AM12,ESPNData!$CS:$CX,6,0)),"",IF((VLOOKUP(AM12,ESPNData!$CS:$CX,6,0)="--"),"",VLOOKUP(AM12,ESPNData!$CS:$CX,6,0)))</f>
        <v>1</v>
      </c>
      <c r="AS12" s="75">
        <f>IF(ISERROR(VLOOKUP(AM12,ESPNData!$CZ:$DE,6,0)),"",IF((VLOOKUP(AM12,ESPNData!$CZ:$DE,6,0)="--"),"",VLOOKUP(AM12,ESPNData!$CZ:$DE,6,0)))</f>
        <v>1</v>
      </c>
      <c r="AT12" s="69" t="str">
        <f>IF(ISERROR((VLOOKUP(AM12,Taken!$N:$O,2,0)-AR12)),"",(VLOOKUP(AM12,Taken!$N:$O,2,0)-AR12))</f>
        <v/>
      </c>
      <c r="AU12" s="69">
        <f>MAX(1,ROUND(((((AQ12-AQ$13)+Settings!$Q$7)/(SUM(AQ12:AQ$13)-((AQ$13-Settings!$Q$7)*((11+1)-AK12))))*(Settings!$V$7-SUM(AU$3:AU11))),0))</f>
        <v>1</v>
      </c>
      <c r="AV12" s="43" t="str">
        <f>IF(ISERROR((VLOOKUP(AM12,Taken!$N:$O,2,0)-AU12)),"",(VLOOKUP(AM12,Taken!$N:$O,2,0)-AU12))</f>
        <v/>
      </c>
      <c r="AW12" s="155"/>
    </row>
    <row r="13" spans="1:49" ht="12.75" customHeight="1">
      <c r="A13" s="163">
        <f t="shared" si="0"/>
        <v>11</v>
      </c>
      <c r="B13" s="75" t="str">
        <f>IF(ISERROR(VLOOKUP(C13,Taken!$B:$B,1,0)),"",IF(ISERROR(VLOOKUP(C13,'Draft Board'!$AS:$AS,1,0)),"X","Y"))</f>
        <v/>
      </c>
      <c r="C13" s="75" t="str">
        <f>VLOOKUP(A13,QB!AC:AD,2,0)</f>
        <v>Tony Romo</v>
      </c>
      <c r="D13" s="72" t="str">
        <f>VLOOKUP(C13,QB!$B:$C,2,0)</f>
        <v>DAL</v>
      </c>
      <c r="E13" s="72">
        <f>IF((D13="FA"),"N/A",VLOOKUP(D13,Settings!$M$2:$N$33,2,0))</f>
        <v>11</v>
      </c>
      <c r="F13" s="153">
        <f>VLOOKUP(C13,QB!$B:$AB,27,0)</f>
        <v>337.6</v>
      </c>
      <c r="G13" s="65">
        <f>F13-Settings!$AA$3</f>
        <v>-0.5181818181817448</v>
      </c>
      <c r="H13" s="129">
        <f>IF(ISERROR(VLOOKUP(C13,ESPNData!$CS:$CX,6,0)),"",IF((VLOOKUP(C13,ESPNData!$CS:$CX,6,0)="--"),"",VLOOKUP(C13,ESPNData!$CS:$CX,6,0)))</f>
        <v>1</v>
      </c>
      <c r="I13" s="75">
        <f>IF(ISERROR(VLOOKUP(C13,ESPNData!$CZ:$DE,6,0)),"",IF((VLOOKUP(C13,ESPNData!$CZ:$DE,6,0)="--"),"",VLOOKUP(C13,ESPNData!$CZ:$DE,6,0)))</f>
        <v>2</v>
      </c>
      <c r="J13" s="69" t="str">
        <f>IF(ISERROR((VLOOKUP(C13,Taken!$B:$C,2,0)-H13)),"",(VLOOKUP(C13,Taken!$B:$C,2,0)-H13))</f>
        <v/>
      </c>
      <c r="K13" s="69">
        <f>MAX(1,MIN(K12,ROUNDUP(((((G13-G$24)+Settings!$Q$3)/(SUM(G13:G$24)-((G$24-Settings!$Q$3)*((22+1)-A13))))*(Settings!$V$3-SUM(K$3:K12))),0)))</f>
        <v>19</v>
      </c>
      <c r="L13" s="43" t="str">
        <f>IF(ISERROR((VLOOKUP(C13,Taken!$B:$C,2,0)-K13)),"",(VLOOKUP(C13,Taken!$B:$C,2,0)-K13))</f>
        <v/>
      </c>
      <c r="M13" s="163">
        <f t="shared" si="1"/>
        <v>11</v>
      </c>
      <c r="N13" s="75" t="str">
        <f>IF(ISERROR(VLOOKUP(O13,Taken!$E:$E,1,0)),"",IF(ISERROR(VLOOKUP(O13,'Draft Board'!$AS:$AS,1,0)),"X","Y"))</f>
        <v/>
      </c>
      <c r="O13" s="75" t="str">
        <f>VLOOKUP(M13,RB!Z:AA,2,0)</f>
        <v>Doug Martin</v>
      </c>
      <c r="P13" s="75" t="str">
        <f>VLOOKUP(O13,RB!$B:$C,2,0)</f>
        <v>TB</v>
      </c>
      <c r="Q13" s="72">
        <f>IF((P13="FA"),"N/A",VLOOKUP(P13,Settings!$M$2:$N$33,2,0))</f>
        <v>7</v>
      </c>
      <c r="R13" s="153">
        <f>VLOOKUP(O13,RB!$B:$Y,24,0)</f>
        <v>218</v>
      </c>
      <c r="S13" s="65">
        <f>R13-Settings!$AA$4</f>
        <v>12.80606060606064</v>
      </c>
      <c r="T13" s="129">
        <f>IF(ISERROR(VLOOKUP(O13,ESPNData!$CS:$CX,6,0)),"",IF((VLOOKUP(O13,ESPNData!$CS:$CX,6,0)="--"),"",VLOOKUP(O13,ESPNData!$CS:$CX,6,0)))</f>
        <v>45</v>
      </c>
      <c r="U13" s="75">
        <f>IF(ISERROR(VLOOKUP(O13,ESPNData!$CZ:$DE,6,0)),"",IF((VLOOKUP(O13,ESPNData!$CZ:$DE,6,0)="--"),"",VLOOKUP(O13,ESPNData!$CZ:$DE,6,0)))</f>
        <v>43</v>
      </c>
      <c r="V13" s="69" t="str">
        <f>IF(ISERROR((VLOOKUP(O13,Taken!$E:$F,2,0)-T13)),"",(VLOOKUP(O13,Taken!$E:$F,2,0)-T13))</f>
        <v/>
      </c>
      <c r="W13" s="69">
        <f>MAX(1,ROUND(((((S13-S$35)+Settings!$Q$4)/(SUM(S13:S$35)-((S$35-Settings!$Q$4)*((33+1)-M13))))*(Settings!$V$4-SUM(W$3:W12))),0))</f>
        <v>25</v>
      </c>
      <c r="X13" s="43" t="str">
        <f>IF(ISERROR((VLOOKUP(O13,Taken!$E:$F,2,0)-W13)),"",(VLOOKUP(O13,Taken!$E:$F,2,0)-W13))</f>
        <v/>
      </c>
      <c r="Y13" s="163">
        <f t="shared" si="2"/>
        <v>11</v>
      </c>
      <c r="Z13" s="75" t="str">
        <f>IF(ISERROR(VLOOKUP(AA13,Taken!$H:$H,1,0)),"",IF(ISERROR(VLOOKUP(AA13,'Draft Board'!$AS:$AS,1,0)),"X","Y"))</f>
        <v/>
      </c>
      <c r="AA13" s="75" t="str">
        <f>VLOOKUP(Y13,WR!X:Y,2,0)</f>
        <v>Andre Johnson</v>
      </c>
      <c r="AB13" s="75" t="str">
        <f>VLOOKUP(AA13,WR!$B:$C,2,0)</f>
        <v>HOU</v>
      </c>
      <c r="AC13" s="72">
        <f>IF((AB13="FA"),"N/A",VLOOKUP(AB13,Settings!$M$2:$N$33,2,0))</f>
        <v>10</v>
      </c>
      <c r="AD13" s="153">
        <f>VLOOKUP(AA13,WR!$B:$W,22,0)</f>
        <v>208.2</v>
      </c>
      <c r="AE13" s="65">
        <f>AD13-Settings!$AA$5</f>
        <v>7.1606060606060851</v>
      </c>
      <c r="AF13" s="129">
        <f>IF(ISERROR(VLOOKUP(AA13,ESPNData!$CS:$CX,6,0)),"",IF((VLOOKUP(AA13,ESPNData!$CS:$CX,6,0)="--"),"",VLOOKUP(AA13,ESPNData!$CS:$CX,6,0)))</f>
        <v>28</v>
      </c>
      <c r="AG13" s="75">
        <f>IF(ISERROR(VLOOKUP(AA13,ESPNData!$CZ:$DE,6,0)),"",IF((VLOOKUP(AA13,ESPNData!$CZ:$DE,6,0)="--"),"",VLOOKUP(AA13,ESPNData!$CZ:$DE,6,0)))</f>
        <v>25</v>
      </c>
      <c r="AH13" s="69" t="str">
        <f>IF(ISERROR((VLOOKUP(AA13,Taken!$H:$I,2,0)-AF13)),"",(VLOOKUP(AA13,Taken!$H:$I,2,0)-AF13))</f>
        <v/>
      </c>
      <c r="AI13" s="69">
        <f>ROUND(((((AE13-AE$35)+Settings!$Q$5)/(SUM(AE13:AE$35)-((AE$35-Settings!$Q$5)*((33+1)-Y13))))*(Settings!$V$5-SUM(AI$3:AI12))),0)</f>
        <v>23</v>
      </c>
      <c r="AJ13" s="43" t="str">
        <f>IF(ISERROR((VLOOKUP(AA13,Taken!$H:$I,2,0)-AI13)),"",(VLOOKUP(AA13,Taken!$H:$I,2,0)-AI13))</f>
        <v/>
      </c>
      <c r="AK13" s="163">
        <f t="shared" si="3"/>
        <v>11</v>
      </c>
      <c r="AL13" s="75" t="str">
        <f>IF(ISERROR(VLOOKUP(AM13,Taken!$N:$N,1,0)),"",IF(ISERROR(VLOOKUP(AM13,'Draft Board'!$AS:$AS,1,0)),"X","Y"))</f>
        <v/>
      </c>
      <c r="AM13" s="75" t="str">
        <f>VLOOKUP(AK13,K!Q:R,2,0)</f>
        <v>Matt Bryant</v>
      </c>
      <c r="AN13" s="75" t="str">
        <f>VLOOKUP(AM13,K!$B:$C,2,0)</f>
        <v>ATL</v>
      </c>
      <c r="AO13" s="72">
        <f>IF((AN13="FA"),"N/A",VLOOKUP(AN13,Settings!$M$2:$N$33,2,0))</f>
        <v>9</v>
      </c>
      <c r="AP13" s="153">
        <f>VLOOKUP(AM13,K!$B:$P,15,0)</f>
        <v>127.4</v>
      </c>
      <c r="AQ13" s="65">
        <f>AP13-Settings!$AA$7</f>
        <v>-10.154545454545428</v>
      </c>
      <c r="AR13" s="129" t="str">
        <f>IF(ISERROR(VLOOKUP(AM13,ESPNData!$CS:$CX,6,0)),"",IF((VLOOKUP(AM13,ESPNData!$CS:$CX,6,0)="--"),"",VLOOKUP(AM13,ESPNData!$CS:$CX,6,0)))</f>
        <v/>
      </c>
      <c r="AS13" s="75" t="str">
        <f>IF(ISERROR(VLOOKUP(AM13,ESPNData!$CZ:$DE,6,0)),"",IF((VLOOKUP(AM13,ESPNData!$CZ:$DE,6,0)="--"),"",VLOOKUP(AM13,ESPNData!$CZ:$DE,6,0)))</f>
        <v/>
      </c>
      <c r="AT13" s="69" t="str">
        <f>IF(ISERROR((VLOOKUP(AM13,Taken!$N:$O,2,0)-AR13)),"",(VLOOKUP(AM13,Taken!$N:$O,2,0)-AR13))</f>
        <v/>
      </c>
      <c r="AU13" s="69">
        <f>MAX(1,ROUND(((((AQ13-AQ$13)+Settings!$Q$7)/(SUM(AQ13:AQ$13)-((AQ$13-Settings!$Q$7)*((11+1)-AK13))))*(Settings!$V$7-SUM(AU$3:AU12))),0))</f>
        <v>1</v>
      </c>
      <c r="AV13" s="43" t="str">
        <f>IF(ISERROR((VLOOKUP(AM13,Taken!$N:$O,2,0)-AU13)),"",(VLOOKUP(AM13,Taken!$N:$O,2,0)-AU13))</f>
        <v/>
      </c>
      <c r="AW13" s="155"/>
    </row>
    <row r="14" spans="1:49" ht="12.75" customHeight="1">
      <c r="A14" s="163">
        <f t="shared" si="0"/>
        <v>12</v>
      </c>
      <c r="B14" s="75" t="str">
        <f>IF(ISERROR(VLOOKUP(C14,Taken!$B:$B,1,0)),"",IF(ISERROR(VLOOKUP(C14,'Draft Board'!$AS:$AS,1,0)),"X","Y"))</f>
        <v/>
      </c>
      <c r="C14" s="75" t="str">
        <f>VLOOKUP(A14,QB!AC:AD,2,0)</f>
        <v>Tom Brady</v>
      </c>
      <c r="D14" s="72" t="str">
        <f>VLOOKUP(C14,QB!$B:$C,2,0)</f>
        <v>NE</v>
      </c>
      <c r="E14" s="72">
        <f>IF((D14="FA"),"N/A",VLOOKUP(D14,Settings!$M$2:$N$33,2,0))</f>
        <v>10</v>
      </c>
      <c r="F14" s="153">
        <f>VLOOKUP(C14,QB!$B:$AB,27,0)</f>
        <v>337.4</v>
      </c>
      <c r="G14" s="65">
        <f>F14-Settings!$AA$3</f>
        <v>-0.71818181818179028</v>
      </c>
      <c r="H14" s="129">
        <f>IF(ISERROR(VLOOKUP(C14,ESPNData!$CS:$CX,6,0)),"",IF((VLOOKUP(C14,ESPNData!$CS:$CX,6,0)="--"),"",VLOOKUP(C14,ESPNData!$CS:$CX,6,0)))</f>
        <v>2</v>
      </c>
      <c r="I14" s="75">
        <f>IF(ISERROR(VLOOKUP(C14,ESPNData!$CZ:$DE,6,0)),"",IF((VLOOKUP(C14,ESPNData!$CZ:$DE,6,0)="--"),"",VLOOKUP(C14,ESPNData!$CZ:$DE,6,0)))</f>
        <v>5</v>
      </c>
      <c r="J14" s="69" t="str">
        <f>IF(ISERROR((VLOOKUP(C14,Taken!$B:$C,2,0)-H14)),"",(VLOOKUP(C14,Taken!$B:$C,2,0)-H14))</f>
        <v/>
      </c>
      <c r="K14" s="69">
        <f>MAX(1,MIN(K13,ROUNDUP(((((G14-G$24)+Settings!$Q$3)/(SUM(G14:G$24)-((G$24-Settings!$Q$3)*((22+1)-A14))))*(Settings!$V$3-SUM(K$3:K13))),0)))</f>
        <v>19</v>
      </c>
      <c r="L14" s="43" t="str">
        <f>IF(ISERROR((VLOOKUP(C14,Taken!$B:$C,2,0)-K14)),"",(VLOOKUP(C14,Taken!$B:$C,2,0)-K14))</f>
        <v/>
      </c>
      <c r="M14" s="163">
        <f t="shared" si="1"/>
        <v>12</v>
      </c>
      <c r="N14" s="75" t="str">
        <f>IF(ISERROR(VLOOKUP(O14,Taken!$E:$E,1,0)),"",IF(ISERROR(VLOOKUP(O14,'Draft Board'!$AS:$AS,1,0)),"X","Y"))</f>
        <v/>
      </c>
      <c r="O14" s="75" t="str">
        <f>VLOOKUP(M14,RB!Z:AA,2,0)</f>
        <v>Arian Foster</v>
      </c>
      <c r="P14" s="75" t="str">
        <f>VLOOKUP(O14,RB!$B:$C,2,0)</f>
        <v>HOU</v>
      </c>
      <c r="Q14" s="72">
        <f>IF((P14="FA"),"N/A",VLOOKUP(P14,Settings!$M$2:$N$33,2,0))</f>
        <v>10</v>
      </c>
      <c r="R14" s="153">
        <f>VLOOKUP(O14,RB!$B:$Y,24,0)</f>
        <v>215.2</v>
      </c>
      <c r="S14" s="65">
        <f>R14-Settings!$AA$4</f>
        <v>10.006060606060629</v>
      </c>
      <c r="T14" s="129">
        <f>IF(ISERROR(VLOOKUP(O14,ESPNData!$CS:$CX,6,0)),"",IF((VLOOKUP(O14,ESPNData!$CS:$CX,6,0)="--"),"",VLOOKUP(O14,ESPNData!$CS:$CX,6,0)))</f>
        <v>48</v>
      </c>
      <c r="U14" s="75">
        <f>IF(ISERROR(VLOOKUP(O14,ESPNData!$CZ:$DE,6,0)),"",IF((VLOOKUP(O14,ESPNData!$CZ:$DE,6,0)="--"),"",VLOOKUP(O14,ESPNData!$CZ:$DE,6,0)))</f>
        <v>39</v>
      </c>
      <c r="V14" s="69" t="str">
        <f>IF(ISERROR((VLOOKUP(O14,Taken!$E:$F,2,0)-T14)),"",(VLOOKUP(O14,Taken!$E:$F,2,0)-T14))</f>
        <v/>
      </c>
      <c r="W14" s="69">
        <f>MAX(1,ROUND(((((S14-S$35)+Settings!$Q$4)/(SUM(S14:S$35)-((S$35-Settings!$Q$4)*((33+1)-M14))))*(Settings!$V$4-SUM(W$3:W13))),0))</f>
        <v>24</v>
      </c>
      <c r="X14" s="43" t="str">
        <f>IF(ISERROR((VLOOKUP(O14,Taken!$E:$F,2,0)-W14)),"",(VLOOKUP(O14,Taken!$E:$F,2,0)-W14))</f>
        <v/>
      </c>
      <c r="Y14" s="163">
        <f t="shared" si="2"/>
        <v>12</v>
      </c>
      <c r="Z14" s="75" t="str">
        <f>IF(ISERROR(VLOOKUP(AA14,Taken!$H:$H,1,0)),"",IF(ISERROR(VLOOKUP(AA14,'Draft Board'!$AS:$AS,1,0)),"X","Y"))</f>
        <v/>
      </c>
      <c r="AA14" s="75" t="str">
        <f>VLOOKUP(Y14,WR!X:Y,2,0)</f>
        <v>Vincent Jackson</v>
      </c>
      <c r="AB14" s="75" t="str">
        <f>VLOOKUP(AA14,WR!$B:$C,2,0)</f>
        <v>TB</v>
      </c>
      <c r="AC14" s="72">
        <f>IF((AB14="FA"),"N/A",VLOOKUP(AB14,Settings!$M$2:$N$33,2,0))</f>
        <v>7</v>
      </c>
      <c r="AD14" s="153">
        <f>VLOOKUP(AA14,WR!$B:$W,22,0)</f>
        <v>202.5</v>
      </c>
      <c r="AE14" s="65">
        <f>AD14-Settings!$AA$5</f>
        <v>1.4606060606060964</v>
      </c>
      <c r="AF14" s="129">
        <f>IF(ISERROR(VLOOKUP(AA14,ESPNData!$CS:$CX,6,0)),"",IF((VLOOKUP(AA14,ESPNData!$CS:$CX,6,0)="--"),"",VLOOKUP(AA14,ESPNData!$CS:$CX,6,0)))</f>
        <v>26</v>
      </c>
      <c r="AG14" s="75">
        <f>IF(ISERROR(VLOOKUP(AA14,ESPNData!$CZ:$DE,6,0)),"",IF((VLOOKUP(AA14,ESPNData!$CZ:$DE,6,0)="--"),"",VLOOKUP(AA14,ESPNData!$CZ:$DE,6,0)))</f>
        <v>22</v>
      </c>
      <c r="AH14" s="69" t="str">
        <f>IF(ISERROR((VLOOKUP(AA14,Taken!$H:$I,2,0)-AF14)),"",(VLOOKUP(AA14,Taken!$H:$I,2,0)-AF14))</f>
        <v/>
      </c>
      <c r="AI14" s="69">
        <f>ROUND(((((AE14-AE$35)+Settings!$Q$5)/(SUM(AE14:AE$35)-((AE$35-Settings!$Q$5)*((33+1)-Y14))))*(Settings!$V$5-SUM(AI$3:AI13))),0)</f>
        <v>21</v>
      </c>
      <c r="AJ14" s="43" t="str">
        <f>IF(ISERROR((VLOOKUP(AA14,Taken!$H:$I,2,0)-AI14)),"",(VLOOKUP(AA14,Taken!$H:$I,2,0)-AI14))</f>
        <v/>
      </c>
      <c r="AK14" s="114">
        <f t="shared" si="3"/>
        <v>12</v>
      </c>
      <c r="AL14" s="75" t="str">
        <f>IF(ISERROR(VLOOKUP(AM14,Taken!$N:$N,1,0)),"",IF(ISERROR(VLOOKUP(AM14,'Draft Board'!$AS:$AS,1,0)),"X","Y"))</f>
        <v/>
      </c>
      <c r="AM14" s="75" t="str">
        <f>VLOOKUP(AK14,K!Q:R,2,0)</f>
        <v>Robbie Gould</v>
      </c>
      <c r="AN14" s="75" t="str">
        <f>VLOOKUP(AM14,K!$B:$C,2,0)</f>
        <v>CHI</v>
      </c>
      <c r="AO14" s="72">
        <f>IF((AN14="FA"),"N/A",VLOOKUP(AN14,Settings!$M$2:$N$33,2,0))</f>
        <v>9</v>
      </c>
      <c r="AP14" s="153">
        <f>VLOOKUP(AM14,K!$B:$P,15,0)</f>
        <v>127.3</v>
      </c>
      <c r="AQ14" s="65">
        <f>AP14-Settings!$AA$7</f>
        <v>-10.254545454545436</v>
      </c>
      <c r="AR14" s="129" t="str">
        <f>IF(ISERROR(VLOOKUP(AM14,ESPNData!$CS:$CX,6,0)),"",IF((VLOOKUP(AM14,ESPNData!$CS:$CX,6,0)="--"),"",VLOOKUP(AM14,ESPNData!$CS:$CX,6,0)))</f>
        <v/>
      </c>
      <c r="AS14" s="75" t="str">
        <f>IF(ISERROR(VLOOKUP(AM14,ESPNData!$CZ:$DE,6,0)),"",IF((VLOOKUP(AM14,ESPNData!$CZ:$DE,6,0)="--"),"",VLOOKUP(AM14,ESPNData!$CZ:$DE,6,0)))</f>
        <v/>
      </c>
      <c r="AT14" s="69" t="str">
        <f>IF(ISERROR((VLOOKUP(AM14,Taken!$N:$O,2,0)-AR14)),"",(VLOOKUP(AM14,Taken!$N:$O,2,0)-AR14))</f>
        <v/>
      </c>
      <c r="AU14" s="69">
        <v>1</v>
      </c>
      <c r="AV14" s="43" t="str">
        <f>IF(ISERROR((VLOOKUP(AM14,Taken!$N:$O,2,0)-AU14)),"",(VLOOKUP(AM14,Taken!$N:$O,2,0)-AU14))</f>
        <v/>
      </c>
      <c r="AW14" s="155"/>
    </row>
    <row r="15" spans="1:49" ht="12.75" customHeight="1">
      <c r="A15" s="163">
        <f t="shared" si="0"/>
        <v>13</v>
      </c>
      <c r="B15" s="75" t="str">
        <f>IF(ISERROR(VLOOKUP(C15,Taken!$B:$B,1,0)),"",IF(ISERROR(VLOOKUP(C15,'Draft Board'!$AS:$AS,1,0)),"X","Y"))</f>
        <v/>
      </c>
      <c r="C15" s="75" t="str">
        <f>VLOOKUP(A15,QB!AC:AD,2,0)</f>
        <v>Russell Wilson</v>
      </c>
      <c r="D15" s="72" t="str">
        <f>VLOOKUP(C15,QB!$B:$C,2,0)</f>
        <v>SEA</v>
      </c>
      <c r="E15" s="72">
        <f>IF((D15="FA"),"N/A",VLOOKUP(D15,Settings!$M$2:$N$33,2,0))</f>
        <v>4</v>
      </c>
      <c r="F15" s="153">
        <f>VLOOKUP(C15,QB!$B:$AB,27,0)</f>
        <v>330.7</v>
      </c>
      <c r="G15" s="65">
        <f>F15-Settings!$AA$3</f>
        <v>-7.4181818181817789</v>
      </c>
      <c r="H15" s="129">
        <f>IF(ISERROR(VLOOKUP(C15,ESPNData!$CS:$CX,6,0)),"",IF((VLOOKUP(C15,ESPNData!$CS:$CX,6,0)="--"),"",VLOOKUP(C15,ESPNData!$CS:$CX,6,0)))</f>
        <v>2</v>
      </c>
      <c r="I15" s="75">
        <f>IF(ISERROR(VLOOKUP(C15,ESPNData!$CZ:$DE,6,0)),"",IF((VLOOKUP(C15,ESPNData!$CZ:$DE,6,0)="--"),"",VLOOKUP(C15,ESPNData!$CZ:$DE,6,0)))</f>
        <v>7</v>
      </c>
      <c r="J15" s="69" t="str">
        <f>IF(ISERROR((VLOOKUP(C15,Taken!$B:$C,2,0)-H15)),"",(VLOOKUP(C15,Taken!$B:$C,2,0)-H15))</f>
        <v/>
      </c>
      <c r="K15" s="69">
        <f>MAX(1,MIN(K14,ROUNDUP(((((G15-G$24)+Settings!$Q$3)/(SUM(G15:G$24)-((G$24-Settings!$Q$3)*((22+1)-A15))))*(Settings!$V$3-SUM(K$3:K14))),0)))</f>
        <v>18</v>
      </c>
      <c r="L15" s="43" t="str">
        <f>IF(ISERROR((VLOOKUP(C15,Taken!$B:$C,2,0)-K15)),"",(VLOOKUP(C15,Taken!$B:$C,2,0)-K15))</f>
        <v/>
      </c>
      <c r="M15" s="163">
        <f t="shared" si="1"/>
        <v>13</v>
      </c>
      <c r="N15" s="75" t="str">
        <f>IF(ISERROR(VLOOKUP(O15,Taken!$E:$E,1,0)),"",IF(ISERROR(VLOOKUP(O15,'Draft Board'!$AS:$AS,1,0)),"X","Y"))</f>
        <v/>
      </c>
      <c r="O15" s="75" t="str">
        <f>VLOOKUP(M15,RB!Z:AA,2,0)</f>
        <v>Zac Stacy</v>
      </c>
      <c r="P15" s="75" t="str">
        <f>VLOOKUP(O15,RB!$B:$C,2,0)</f>
        <v>STL</v>
      </c>
      <c r="Q15" s="72">
        <f>IF((P15="FA"),"N/A",VLOOKUP(P15,Settings!$M$2:$N$33,2,0))</f>
        <v>4</v>
      </c>
      <c r="R15" s="153">
        <f>VLOOKUP(O15,RB!$B:$Y,24,0)</f>
        <v>209.5</v>
      </c>
      <c r="S15" s="65">
        <f>R15-Settings!$AA$4</f>
        <v>4.3060606060606403</v>
      </c>
      <c r="T15" s="129">
        <f>IF(ISERROR(VLOOKUP(O15,ESPNData!$CS:$CX,6,0)),"",IF((VLOOKUP(O15,ESPNData!$CS:$CX,6,0)="--"),"",VLOOKUP(O15,ESPNData!$CS:$CX,6,0)))</f>
        <v>37</v>
      </c>
      <c r="U15" s="75">
        <f>IF(ISERROR(VLOOKUP(O15,ESPNData!$CZ:$DE,6,0)),"",IF((VLOOKUP(O15,ESPNData!$CZ:$DE,6,0)="--"),"",VLOOKUP(O15,ESPNData!$CZ:$DE,6,0)))</f>
        <v>33</v>
      </c>
      <c r="V15" s="69" t="str">
        <f>IF(ISERROR((VLOOKUP(O15,Taken!$E:$F,2,0)-T15)),"",(VLOOKUP(O15,Taken!$E:$F,2,0)-T15))</f>
        <v/>
      </c>
      <c r="W15" s="69">
        <f>MAX(1,ROUND(((((S15-S$35)+Settings!$Q$4)/(SUM(S15:S$35)-((S$35-Settings!$Q$4)*((33+1)-M15))))*(Settings!$V$4-SUM(W$3:W14))),0))</f>
        <v>22</v>
      </c>
      <c r="X15" s="43" t="str">
        <f>IF(ISERROR((VLOOKUP(O15,Taken!$E:$F,2,0)-W15)),"",(VLOOKUP(O15,Taken!$E:$F,2,0)-W15))</f>
        <v/>
      </c>
      <c r="Y15" s="163">
        <f t="shared" si="2"/>
        <v>13</v>
      </c>
      <c r="Z15" s="75" t="str">
        <f>IF(ISERROR(VLOOKUP(AA15,Taken!$H:$H,1,0)),"",IF(ISERROR(VLOOKUP(AA15,'Draft Board'!$AS:$AS,1,0)),"X","Y"))</f>
        <v/>
      </c>
      <c r="AA15" s="75" t="str">
        <f>VLOOKUP(Y15,WR!X:Y,2,0)</f>
        <v>Larry Fitzgerald</v>
      </c>
      <c r="AB15" s="75" t="str">
        <f>VLOOKUP(AA15,WR!$B:$C,2,0)</f>
        <v>ARI</v>
      </c>
      <c r="AC15" s="72">
        <f>IF((AB15="FA"),"N/A",VLOOKUP(AB15,Settings!$M$2:$N$33,2,0))</f>
        <v>4</v>
      </c>
      <c r="AD15" s="153">
        <f>VLOOKUP(AA15,WR!$B:$W,22,0)</f>
        <v>199.6</v>
      </c>
      <c r="AE15" s="65">
        <f>AD15-Settings!$AA$5</f>
        <v>-1.4393939393939092</v>
      </c>
      <c r="AF15" s="129">
        <f>IF(ISERROR(VLOOKUP(AA15,ESPNData!$CS:$CX,6,0)),"",IF((VLOOKUP(AA15,ESPNData!$CS:$CX,6,0)="--"),"",VLOOKUP(AA15,ESPNData!$CS:$CX,6,0)))</f>
        <v>25</v>
      </c>
      <c r="AG15" s="75">
        <f>IF(ISERROR(VLOOKUP(AA15,ESPNData!$CZ:$DE,6,0)),"",IF((VLOOKUP(AA15,ESPNData!$CZ:$DE,6,0)="--"),"",VLOOKUP(AA15,ESPNData!$CZ:$DE,6,0)))</f>
        <v>21</v>
      </c>
      <c r="AH15" s="69" t="str">
        <f>IF(ISERROR((VLOOKUP(AA15,Taken!$H:$I,2,0)-AF15)),"",(VLOOKUP(AA15,Taken!$H:$I,2,0)-AF15))</f>
        <v/>
      </c>
      <c r="AI15" s="69">
        <f>ROUND(((((AE15-AE$35)+Settings!$Q$5)/(SUM(AE15:AE$35)-((AE$35-Settings!$Q$5)*((33+1)-Y15))))*(Settings!$V$5-SUM(AI$3:AI14))),0)</f>
        <v>20</v>
      </c>
      <c r="AJ15" s="43" t="str">
        <f>IF(ISERROR((VLOOKUP(AA15,Taken!$H:$I,2,0)-AI15)),"",(VLOOKUP(AA15,Taken!$H:$I,2,0)-AI15))</f>
        <v/>
      </c>
      <c r="AK15" s="114">
        <f t="shared" si="3"/>
        <v>13</v>
      </c>
      <c r="AL15" s="75" t="str">
        <f>IF(ISERROR(VLOOKUP(AM15,Taken!$N:$N,1,0)),"",IF(ISERROR(VLOOKUP(AM15,'Draft Board'!$AS:$AS,1,0)),"X","Y"))</f>
        <v/>
      </c>
      <c r="AM15" s="75" t="str">
        <f>VLOOKUP(AK15,K!Q:R,2,0)</f>
        <v>Alex Henery</v>
      </c>
      <c r="AN15" s="75" t="str">
        <f>VLOOKUP(AM15,K!$B:$C,2,0)</f>
        <v>PHI</v>
      </c>
      <c r="AO15" s="72">
        <f>IF((AN15="FA"),"N/A",VLOOKUP(AN15,Settings!$M$2:$N$33,2,0))</f>
        <v>7</v>
      </c>
      <c r="AP15" s="153">
        <f>VLOOKUP(AM15,K!$B:$P,15,0)</f>
        <v>123</v>
      </c>
      <c r="AQ15" s="65">
        <f>AP15-Settings!$AA$7</f>
        <v>-14.554545454545433</v>
      </c>
      <c r="AR15" s="129" t="str">
        <f>IF(ISERROR(VLOOKUP(AM15,ESPNData!$CS:$CX,6,0)),"",IF((VLOOKUP(AM15,ESPNData!$CS:$CX,6,0)="--"),"",VLOOKUP(AM15,ESPNData!$CS:$CX,6,0)))</f>
        <v/>
      </c>
      <c r="AS15" s="75" t="str">
        <f>IF(ISERROR(VLOOKUP(AM15,ESPNData!$CZ:$DE,6,0)),"",IF((VLOOKUP(AM15,ESPNData!$CZ:$DE,6,0)="--"),"",VLOOKUP(AM15,ESPNData!$CZ:$DE,6,0)))</f>
        <v/>
      </c>
      <c r="AT15" s="69" t="str">
        <f>IF(ISERROR((VLOOKUP(AM15,Taken!$N:$O,2,0)-AR15)),"",(VLOOKUP(AM15,Taken!$N:$O,2,0)-AR15))</f>
        <v/>
      </c>
      <c r="AU15" s="69">
        <v>1</v>
      </c>
      <c r="AV15" s="43" t="str">
        <f>IF(ISERROR((VLOOKUP(AM15,Taken!$N:$O,2,0)-AU15)),"",(VLOOKUP(AM15,Taken!$N:$O,2,0)-AU15))</f>
        <v/>
      </c>
      <c r="AW15" s="155"/>
    </row>
    <row r="16" spans="1:49" ht="12.75" customHeight="1">
      <c r="A16" s="163">
        <f t="shared" si="0"/>
        <v>14</v>
      </c>
      <c r="B16" s="75" t="str">
        <f>IF(ISERROR(VLOOKUP(C16,Taken!$B:$B,1,0)),"",IF(ISERROR(VLOOKUP(C16,'Draft Board'!$AS:$AS,1,0)),"X","Y"))</f>
        <v/>
      </c>
      <c r="C16" s="75" t="str">
        <f>VLOOKUP(A16,QB!AC:AD,2,0)</f>
        <v>Philip Rivers</v>
      </c>
      <c r="D16" s="72" t="str">
        <f>VLOOKUP(C16,QB!$B:$C,2,0)</f>
        <v>SD</v>
      </c>
      <c r="E16" s="72">
        <f>IF((D16="FA"),"N/A",VLOOKUP(D16,Settings!$M$2:$N$33,2,0))</f>
        <v>10</v>
      </c>
      <c r="F16" s="153">
        <f>VLOOKUP(C16,QB!$B:$AB,27,0)</f>
        <v>326.39999999999998</v>
      </c>
      <c r="G16" s="65">
        <f>F16-Settings!$AA$3</f>
        <v>-11.71818181818179</v>
      </c>
      <c r="H16" s="129">
        <f>IF(ISERROR(VLOOKUP(C16,ESPNData!$CS:$CX,6,0)),"",IF((VLOOKUP(C16,ESPNData!$CS:$CX,6,0)="--"),"",VLOOKUP(C16,ESPNData!$CS:$CX,6,0)))</f>
        <v>1</v>
      </c>
      <c r="I16" s="75">
        <f>IF(ISERROR(VLOOKUP(C16,ESPNData!$CZ:$DE,6,0)),"",IF((VLOOKUP(C16,ESPNData!$CZ:$DE,6,0)="--"),"",VLOOKUP(C16,ESPNData!$CZ:$DE,6,0)))</f>
        <v>2</v>
      </c>
      <c r="J16" s="69" t="str">
        <f>IF(ISERROR((VLOOKUP(C16,Taken!$B:$C,2,0)-H16)),"",(VLOOKUP(C16,Taken!$B:$C,2,0)-H16))</f>
        <v/>
      </c>
      <c r="K16" s="69">
        <f>MAX(1,MIN(K15,ROUNDUP(((((G16-G$24)+Settings!$Q$3)/(SUM(G16:G$24)-((G$24-Settings!$Q$3)*((22+1)-A16))))*(Settings!$V$3-SUM(K$3:K15))),0)))</f>
        <v>17</v>
      </c>
      <c r="L16" s="43" t="str">
        <f>IF(ISERROR((VLOOKUP(C16,Taken!$B:$C,2,0)-K16)),"",(VLOOKUP(C16,Taken!$B:$C,2,0)-K16))</f>
        <v/>
      </c>
      <c r="M16" s="163">
        <f t="shared" si="1"/>
        <v>14</v>
      </c>
      <c r="N16" s="75" t="str">
        <f>IF(ISERROR(VLOOKUP(O16,Taken!$E:$E,1,0)),"",IF(ISERROR(VLOOKUP(O16,'Draft Board'!$AS:$AS,1,0)),"X","Y"))</f>
        <v/>
      </c>
      <c r="O16" s="75" t="str">
        <f>VLOOKUP(M16,RB!Z:AA,2,0)</f>
        <v>Andre Ellington</v>
      </c>
      <c r="P16" s="75" t="str">
        <f>VLOOKUP(O16,RB!$B:$C,2,0)</f>
        <v>ARI</v>
      </c>
      <c r="Q16" s="72">
        <f>IF((P16="FA"),"N/A",VLOOKUP(P16,Settings!$M$2:$N$33,2,0))</f>
        <v>4</v>
      </c>
      <c r="R16" s="153">
        <f>VLOOKUP(O16,RB!$B:$Y,24,0)</f>
        <v>209.2</v>
      </c>
      <c r="S16" s="65">
        <f>R16-Settings!$AA$4</f>
        <v>4.006060606060629</v>
      </c>
      <c r="T16" s="129">
        <f>IF(ISERROR(VLOOKUP(O16,ESPNData!$CS:$CX,6,0)),"",IF((VLOOKUP(O16,ESPNData!$CS:$CX,6,0)="--"),"",VLOOKUP(O16,ESPNData!$CS:$CX,6,0)))</f>
        <v>16</v>
      </c>
      <c r="U16" s="75">
        <f>IF(ISERROR(VLOOKUP(O16,ESPNData!$CZ:$DE,6,0)),"",IF((VLOOKUP(O16,ESPNData!$CZ:$DE,6,0)="--"),"",VLOOKUP(O16,ESPNData!$CZ:$DE,6,0)))</f>
        <v>26</v>
      </c>
      <c r="V16" s="69" t="str">
        <f>IF(ISERROR((VLOOKUP(O16,Taken!$E:$F,2,0)-T16)),"",(VLOOKUP(O16,Taken!$E:$F,2,0)-T16))</f>
        <v/>
      </c>
      <c r="W16" s="69">
        <f>MAX(1,ROUND(((((S16-S$35)+Settings!$Q$4)/(SUM(S16:S$35)-((S$35-Settings!$Q$4)*((33+1)-M16))))*(Settings!$V$4-SUM(W$3:W15))),0))</f>
        <v>22</v>
      </c>
      <c r="X16" s="43" t="str">
        <f>IF(ISERROR((VLOOKUP(O16,Taken!$E:$F,2,0)-W16)),"",(VLOOKUP(O16,Taken!$E:$F,2,0)-W16))</f>
        <v/>
      </c>
      <c r="Y16" s="163">
        <f t="shared" si="2"/>
        <v>14</v>
      </c>
      <c r="Z16" s="75" t="str">
        <f>IF(ISERROR(VLOOKUP(AA16,Taken!$H:$H,1,0)),"",IF(ISERROR(VLOOKUP(AA16,'Draft Board'!$AS:$AS,1,0)),"X","Y"))</f>
        <v/>
      </c>
      <c r="AA16" s="75" t="str">
        <f>VLOOKUP(Y16,WR!X:Y,2,0)</f>
        <v>Keenan Allen</v>
      </c>
      <c r="AB16" s="75" t="str">
        <f>VLOOKUP(AA16,WR!$B:$C,2,0)</f>
        <v>SD</v>
      </c>
      <c r="AC16" s="72">
        <f>IF((AB16="FA"),"N/A",VLOOKUP(AB16,Settings!$M$2:$N$33,2,0))</f>
        <v>10</v>
      </c>
      <c r="AD16" s="153">
        <f>VLOOKUP(AA16,WR!$B:$W,22,0)</f>
        <v>197</v>
      </c>
      <c r="AE16" s="65">
        <f>AD16-Settings!$AA$5</f>
        <v>-4.0393939393939036</v>
      </c>
      <c r="AF16" s="129">
        <f>IF(ISERROR(VLOOKUP(AA16,ESPNData!$CS:$CX,6,0)),"",IF((VLOOKUP(AA16,ESPNData!$CS:$CX,6,0)="--"),"",VLOOKUP(AA16,ESPNData!$CS:$CX,6,0)))</f>
        <v>22</v>
      </c>
      <c r="AG16" s="75">
        <f>IF(ISERROR(VLOOKUP(AA16,ESPNData!$CZ:$DE,6,0)),"",IF((VLOOKUP(AA16,ESPNData!$CZ:$DE,6,0)="--"),"",VLOOKUP(AA16,ESPNData!$CZ:$DE,6,0)))</f>
        <v>18</v>
      </c>
      <c r="AH16" s="69" t="str">
        <f>IF(ISERROR((VLOOKUP(AA16,Taken!$H:$I,2,0)-AF16)),"",(VLOOKUP(AA16,Taken!$H:$I,2,0)-AF16))</f>
        <v/>
      </c>
      <c r="AI16" s="69">
        <f>ROUND(((((AE16-AE$35)+Settings!$Q$5)/(SUM(AE16:AE$35)-((AE$35-Settings!$Q$5)*((33+1)-Y16))))*(Settings!$V$5-SUM(AI$3:AI15))),0)</f>
        <v>19</v>
      </c>
      <c r="AJ16" s="43" t="str">
        <f>IF(ISERROR((VLOOKUP(AA16,Taken!$H:$I,2,0)-AI16)),"",(VLOOKUP(AA16,Taken!$H:$I,2,0)-AI16))</f>
        <v/>
      </c>
      <c r="AK16" s="114">
        <f t="shared" si="3"/>
        <v>14</v>
      </c>
      <c r="AL16" s="75" t="str">
        <f>IF(ISERROR(VLOOKUP(AM16,Taken!$N:$N,1,0)),"",IF(ISERROR(VLOOKUP(AM16,'Draft Board'!$AS:$AS,1,0)),"X","Y"))</f>
        <v/>
      </c>
      <c r="AM16" s="75" t="str">
        <f>VLOOKUP(AK16,K!Q:R,2,0)</f>
        <v>Shaun Suisham</v>
      </c>
      <c r="AN16" s="75" t="str">
        <f>VLOOKUP(AM16,K!$B:$C,2,0)</f>
        <v>PIT</v>
      </c>
      <c r="AO16" s="72">
        <f>IF((AN16="FA"),"N/A",VLOOKUP(AN16,Settings!$M$2:$N$33,2,0))</f>
        <v>12</v>
      </c>
      <c r="AP16" s="153">
        <f>VLOOKUP(AM16,K!$B:$P,15,0)</f>
        <v>121.6</v>
      </c>
      <c r="AQ16" s="65">
        <f>AP16-Settings!$AA$7</f>
        <v>-15.954545454545439</v>
      </c>
      <c r="AR16" s="129" t="str">
        <f>IF(ISERROR(VLOOKUP(AM16,ESPNData!$CS:$CX,6,0)),"",IF((VLOOKUP(AM16,ESPNData!$CS:$CX,6,0)="--"),"",VLOOKUP(AM16,ESPNData!$CS:$CX,6,0)))</f>
        <v/>
      </c>
      <c r="AS16" s="75" t="str">
        <f>IF(ISERROR(VLOOKUP(AM16,ESPNData!$CZ:$DE,6,0)),"",IF((VLOOKUP(AM16,ESPNData!$CZ:$DE,6,0)="--"),"",VLOOKUP(AM16,ESPNData!$CZ:$DE,6,0)))</f>
        <v/>
      </c>
      <c r="AT16" s="69" t="str">
        <f>IF(ISERROR((VLOOKUP(AM16,Taken!$N:$O,2,0)-AR16)),"",(VLOOKUP(AM16,Taken!$N:$O,2,0)-AR16))</f>
        <v/>
      </c>
      <c r="AU16" s="69">
        <v>1</v>
      </c>
      <c r="AV16" s="43" t="str">
        <f>IF(ISERROR((VLOOKUP(AM16,Taken!$N:$O,2,0)-AU16)),"",(VLOOKUP(AM16,Taken!$N:$O,2,0)-AU16))</f>
        <v/>
      </c>
      <c r="AW16" s="155"/>
    </row>
    <row r="17" spans="1:49" ht="12.75" customHeight="1">
      <c r="A17" s="163">
        <f t="shared" si="0"/>
        <v>15</v>
      </c>
      <c r="B17" s="75" t="str">
        <f>IF(ISERROR(VLOOKUP(C17,Taken!$B:$B,1,0)),"",IF(ISERROR(VLOOKUP(C17,'Draft Board'!$AS:$AS,1,0)),"X","Y"))</f>
        <v/>
      </c>
      <c r="C17" s="75" t="str">
        <f>VLOOKUP(A17,QB!AC:AD,2,0)</f>
        <v>Jay Cutler</v>
      </c>
      <c r="D17" s="72" t="str">
        <f>VLOOKUP(C17,QB!$B:$C,2,0)</f>
        <v>CHI</v>
      </c>
      <c r="E17" s="72">
        <f>IF((D17="FA"),"N/A",VLOOKUP(D17,Settings!$M$2:$N$33,2,0))</f>
        <v>9</v>
      </c>
      <c r="F17" s="153">
        <f>VLOOKUP(C17,QB!$B:$AB,27,0)</f>
        <v>325</v>
      </c>
      <c r="G17" s="65">
        <f>F17-Settings!$AA$3</f>
        <v>-13.118181818181768</v>
      </c>
      <c r="H17" s="129">
        <f>IF(ISERROR(VLOOKUP(C17,ESPNData!$CS:$CX,6,0)),"",IF((VLOOKUP(C17,ESPNData!$CS:$CX,6,0)="--"),"",VLOOKUP(C17,ESPNData!$CS:$CX,6,0)))</f>
        <v>1</v>
      </c>
      <c r="I17" s="75">
        <f>IF(ISERROR(VLOOKUP(C17,ESPNData!$CZ:$DE,6,0)),"",IF((VLOOKUP(C17,ESPNData!$CZ:$DE,6,0)="--"),"",VLOOKUP(C17,ESPNData!$CZ:$DE,6,0)))</f>
        <v>1</v>
      </c>
      <c r="J17" s="69" t="str">
        <f>IF(ISERROR((VLOOKUP(C17,Taken!$B:$C,2,0)-H17)),"",(VLOOKUP(C17,Taken!$B:$C,2,0)-H17))</f>
        <v/>
      </c>
      <c r="K17" s="69">
        <f>MAX(1,MIN(K16,ROUNDUP(((((G17-G$24)+Settings!$Q$3)/(SUM(G17:G$24)-((G$24-Settings!$Q$3)*((22+1)-A17))))*(Settings!$V$3-SUM(K$3:K16))),0)))</f>
        <v>17</v>
      </c>
      <c r="L17" s="43" t="str">
        <f>IF(ISERROR((VLOOKUP(C17,Taken!$B:$C,2,0)-K17)),"",(VLOOKUP(C17,Taken!$B:$C,2,0)-K17))</f>
        <v/>
      </c>
      <c r="M17" s="163">
        <f t="shared" si="1"/>
        <v>15</v>
      </c>
      <c r="N17" s="75" t="str">
        <f>IF(ISERROR(VLOOKUP(O17,Taken!$E:$E,1,0)),"",IF(ISERROR(VLOOKUP(O17,'Draft Board'!$AS:$AS,1,0)),"X","Y"))</f>
        <v/>
      </c>
      <c r="O17" s="75" t="str">
        <f>VLOOKUP(M17,RB!Z:AA,2,0)</f>
        <v>Toby Gerhart</v>
      </c>
      <c r="P17" s="75" t="str">
        <f>VLOOKUP(O17,RB!$B:$C,2,0)</f>
        <v>JAC</v>
      </c>
      <c r="Q17" s="72">
        <f>IF((P17="FA"),"N/A",VLOOKUP(P17,Settings!$M$2:$N$33,2,0))</f>
        <v>11</v>
      </c>
      <c r="R17" s="153">
        <f>VLOOKUP(O17,RB!$B:$Y,24,0)</f>
        <v>206.5</v>
      </c>
      <c r="S17" s="65">
        <f>R17-Settings!$AA$4</f>
        <v>1.3060606060606403</v>
      </c>
      <c r="T17" s="129">
        <f>IF(ISERROR(VLOOKUP(O17,ESPNData!$CS:$CX,6,0)),"",IF((VLOOKUP(O17,ESPNData!$CS:$CX,6,0)="--"),"",VLOOKUP(O17,ESPNData!$CS:$CX,6,0)))</f>
        <v>11</v>
      </c>
      <c r="U17" s="75">
        <f>IF(ISERROR(VLOOKUP(O17,ESPNData!$CZ:$DE,6,0)),"",IF((VLOOKUP(O17,ESPNData!$CZ:$DE,6,0)="--"),"",VLOOKUP(O17,ESPNData!$CZ:$DE,6,0)))</f>
        <v>10</v>
      </c>
      <c r="V17" s="69" t="str">
        <f>IF(ISERROR((VLOOKUP(O17,Taken!$E:$F,2,0)-T17)),"",(VLOOKUP(O17,Taken!$E:$F,2,0)-T17))</f>
        <v/>
      </c>
      <c r="W17" s="69">
        <f>MAX(1,ROUND(((((S17-S$35)+Settings!$Q$4)/(SUM(S17:S$35)-((S$35-Settings!$Q$4)*((33+1)-M17))))*(Settings!$V$4-SUM(W$3:W16))),0))</f>
        <v>22</v>
      </c>
      <c r="X17" s="43" t="str">
        <f>IF(ISERROR((VLOOKUP(O17,Taken!$E:$F,2,0)-W17)),"",(VLOOKUP(O17,Taken!$E:$F,2,0)-W17))</f>
        <v/>
      </c>
      <c r="Y17" s="163">
        <f t="shared" si="2"/>
        <v>15</v>
      </c>
      <c r="Z17" s="75" t="str">
        <f>IF(ISERROR(VLOOKUP(AA17,Taken!$H:$H,1,0)),"",IF(ISERROR(VLOOKUP(AA17,'Draft Board'!$AS:$AS,1,0)),"X","Y"))</f>
        <v/>
      </c>
      <c r="AA17" s="75" t="str">
        <f>VLOOKUP(Y17,WR!X:Y,2,0)</f>
        <v>Pierre Garcon</v>
      </c>
      <c r="AB17" s="75" t="str">
        <f>VLOOKUP(AA17,WR!$B:$C,2,0)</f>
        <v>WSH</v>
      </c>
      <c r="AC17" s="72">
        <f>IF((AB17="FA"),"N/A",VLOOKUP(AB17,Settings!$M$2:$N$33,2,0))</f>
        <v>10</v>
      </c>
      <c r="AD17" s="153">
        <f>VLOOKUP(AA17,WR!$B:$W,22,0)</f>
        <v>196.8</v>
      </c>
      <c r="AE17" s="65">
        <f>AD17-Settings!$AA$5</f>
        <v>-4.2393939393938922</v>
      </c>
      <c r="AF17" s="129">
        <f>IF(ISERROR(VLOOKUP(AA17,ESPNData!$CS:$CX,6,0)),"",IF((VLOOKUP(AA17,ESPNData!$CS:$CX,6,0)="--"),"",VLOOKUP(AA17,ESPNData!$CS:$CX,6,0)))</f>
        <v>23</v>
      </c>
      <c r="AG17" s="75">
        <f>IF(ISERROR(VLOOKUP(AA17,ESPNData!$CZ:$DE,6,0)),"",IF((VLOOKUP(AA17,ESPNData!$CZ:$DE,6,0)="--"),"",VLOOKUP(AA17,ESPNData!$CZ:$DE,6,0)))</f>
        <v>18</v>
      </c>
      <c r="AH17" s="69" t="str">
        <f>IF(ISERROR((VLOOKUP(AA17,Taken!$H:$I,2,0)-AF17)),"",(VLOOKUP(AA17,Taken!$H:$I,2,0)-AF17))</f>
        <v/>
      </c>
      <c r="AI17" s="69">
        <f>ROUND(((((AE17-AE$35)+Settings!$Q$5)/(SUM(AE17:AE$35)-((AE$35-Settings!$Q$5)*((33+1)-Y17))))*(Settings!$V$5-SUM(AI$3:AI16))),0)</f>
        <v>19</v>
      </c>
      <c r="AJ17" s="43" t="str">
        <f>IF(ISERROR((VLOOKUP(AA17,Taken!$H:$I,2,0)-AI17)),"",(VLOOKUP(AA17,Taken!$H:$I,2,0)-AI17))</f>
        <v/>
      </c>
      <c r="AK17" s="114">
        <f t="shared" si="3"/>
        <v>15</v>
      </c>
      <c r="AL17" s="75" t="str">
        <f>IF(ISERROR(VLOOKUP(AM17,Taken!$N:$N,1,0)),"",IF(ISERROR(VLOOKUP(AM17,'Draft Board'!$AS:$AS,1,0)),"X","Y"))</f>
        <v/>
      </c>
      <c r="AM17" s="75" t="str">
        <f>VLOOKUP(AK17,K!Q:R,2,0)</f>
        <v>Nick Folk</v>
      </c>
      <c r="AN17" s="75" t="str">
        <f>VLOOKUP(AM17,K!$B:$C,2,0)</f>
        <v>NYJ</v>
      </c>
      <c r="AO17" s="72">
        <f>IF((AN17="FA"),"N/A",VLOOKUP(AN17,Settings!$M$2:$N$33,2,0))</f>
        <v>11</v>
      </c>
      <c r="AP17" s="153">
        <f>VLOOKUP(AM17,K!$B:$P,15,0)</f>
        <v>121.2</v>
      </c>
      <c r="AQ17" s="65">
        <f>AP17-Settings!$AA$7</f>
        <v>-16.354545454545431</v>
      </c>
      <c r="AR17" s="129" t="str">
        <f>IF(ISERROR(VLOOKUP(AM17,ESPNData!$CS:$CX,6,0)),"",IF((VLOOKUP(AM17,ESPNData!$CS:$CX,6,0)="--"),"",VLOOKUP(AM17,ESPNData!$CS:$CX,6,0)))</f>
        <v/>
      </c>
      <c r="AS17" s="75" t="str">
        <f>IF(ISERROR(VLOOKUP(AM17,ESPNData!$CZ:$DE,6,0)),"",IF((VLOOKUP(AM17,ESPNData!$CZ:$DE,6,0)="--"),"",VLOOKUP(AM17,ESPNData!$CZ:$DE,6,0)))</f>
        <v/>
      </c>
      <c r="AT17" s="69" t="str">
        <f>IF(ISERROR((VLOOKUP(AM17,Taken!$N:$O,2,0)-AR17)),"",(VLOOKUP(AM17,Taken!$N:$O,2,0)-AR17))</f>
        <v/>
      </c>
      <c r="AU17" s="69">
        <v>1</v>
      </c>
      <c r="AV17" s="43" t="str">
        <f>IF(ISERROR((VLOOKUP(AM17,Taken!$N:$O,2,0)-AU17)),"",(VLOOKUP(AM17,Taken!$N:$O,2,0)-AU17))</f>
        <v/>
      </c>
      <c r="AW17" s="155"/>
    </row>
    <row r="18" spans="1:49" ht="12.75" customHeight="1">
      <c r="A18" s="163">
        <f t="shared" si="0"/>
        <v>16</v>
      </c>
      <c r="B18" s="75" t="str">
        <f>IF(ISERROR(VLOOKUP(C18,Taken!$B:$B,1,0)),"",IF(ISERROR(VLOOKUP(C18,'Draft Board'!$AS:$AS,1,0)),"X","Y"))</f>
        <v/>
      </c>
      <c r="C18" s="75" t="str">
        <f>VLOOKUP(A18,QB!AC:AD,2,0)</f>
        <v>Ben Roethlisberger</v>
      </c>
      <c r="D18" s="72" t="str">
        <f>VLOOKUP(C18,QB!$B:$C,2,0)</f>
        <v>PIT</v>
      </c>
      <c r="E18" s="72">
        <f>IF((D18="FA"),"N/A",VLOOKUP(D18,Settings!$M$2:$N$33,2,0))</f>
        <v>12</v>
      </c>
      <c r="F18" s="153">
        <f>VLOOKUP(C18,QB!$B:$AB,27,0)</f>
        <v>315.60000000000002</v>
      </c>
      <c r="G18" s="65">
        <f>F18-Settings!$AA$3</f>
        <v>-22.518181818181745</v>
      </c>
      <c r="H18" s="129">
        <f>IF(ISERROR(VLOOKUP(C18,ESPNData!$CS:$CX,6,0)),"",IF((VLOOKUP(C18,ESPNData!$CS:$CX,6,0)="--"),"",VLOOKUP(C18,ESPNData!$CS:$CX,6,0)))</f>
        <v>1</v>
      </c>
      <c r="I18" s="75">
        <f>IF(ISERROR(VLOOKUP(C18,ESPNData!$CZ:$DE,6,0)),"",IF((VLOOKUP(C18,ESPNData!$CZ:$DE,6,0)="--"),"",VLOOKUP(C18,ESPNData!$CZ:$DE,6,0)))</f>
        <v>1</v>
      </c>
      <c r="J18" s="69" t="str">
        <f>IF(ISERROR((VLOOKUP(C18,Taken!$B:$C,2,0)-H18)),"",(VLOOKUP(C18,Taken!$B:$C,2,0)-H18))</f>
        <v/>
      </c>
      <c r="K18" s="69">
        <f>MAX(1,MIN(K17,ROUNDUP(((((G18-G$24)+Settings!$Q$3)/(SUM(G18:G$24)-((G$24-Settings!$Q$3)*((22+1)-A18))))*(Settings!$V$3-SUM(K$3:K17))),0)))</f>
        <v>15</v>
      </c>
      <c r="L18" s="43" t="str">
        <f>IF(ISERROR((VLOOKUP(C18,Taken!$B:$C,2,0)-K18)),"",(VLOOKUP(C18,Taken!$B:$C,2,0)-K18))</f>
        <v/>
      </c>
      <c r="M18" s="163">
        <f t="shared" si="1"/>
        <v>16</v>
      </c>
      <c r="N18" s="75" t="str">
        <f>IF(ISERROR(VLOOKUP(O18,Taken!$E:$E,1,0)),"",IF(ISERROR(VLOOKUP(O18,'Draft Board'!$AS:$AS,1,0)),"X","Y"))</f>
        <v/>
      </c>
      <c r="O18" s="75" t="str">
        <f>VLOOKUP(M18,RB!Z:AA,2,0)</f>
        <v>Ray Rice</v>
      </c>
      <c r="P18" s="75" t="str">
        <f>VLOOKUP(O18,RB!$B:$C,2,0)</f>
        <v>BAL</v>
      </c>
      <c r="Q18" s="72">
        <f>IF((P18="FA"),"N/A",VLOOKUP(P18,Settings!$M$2:$N$33,2,0))</f>
        <v>11</v>
      </c>
      <c r="R18" s="153">
        <f>VLOOKUP(O18,RB!$B:$Y,24,0)</f>
        <v>197.1</v>
      </c>
      <c r="S18" s="65">
        <f>R18-Settings!$AA$4</f>
        <v>-8.0939393939393653</v>
      </c>
      <c r="T18" s="129">
        <f>IF(ISERROR(VLOOKUP(O18,ESPNData!$CS:$CX,6,0)),"",IF((VLOOKUP(O18,ESPNData!$CS:$CX,6,0)="--"),"",VLOOKUP(O18,ESPNData!$CS:$CX,6,0)))</f>
        <v>10</v>
      </c>
      <c r="U18" s="75">
        <f>IF(ISERROR(VLOOKUP(O18,ESPNData!$CZ:$DE,6,0)),"",IF((VLOOKUP(O18,ESPNData!$CZ:$DE,6,0)="--"),"",VLOOKUP(O18,ESPNData!$CZ:$DE,6,0)))</f>
        <v>20</v>
      </c>
      <c r="V18" s="69" t="str">
        <f>IF(ISERROR((VLOOKUP(O18,Taken!$E:$F,2,0)-T18)),"",(VLOOKUP(O18,Taken!$E:$F,2,0)-T18))</f>
        <v/>
      </c>
      <c r="W18" s="69">
        <f>MAX(1,ROUND(((((S18-S$35)+Settings!$Q$4)/(SUM(S18:S$35)-((S$35-Settings!$Q$4)*((33+1)-M18))))*(Settings!$V$4-SUM(W$3:W17))),0))</f>
        <v>19</v>
      </c>
      <c r="X18" s="43" t="str">
        <f>IF(ISERROR((VLOOKUP(O18,Taken!$E:$F,2,0)-W18)),"",(VLOOKUP(O18,Taken!$E:$F,2,0)-W18))</f>
        <v/>
      </c>
      <c r="Y18" s="163">
        <f t="shared" si="2"/>
        <v>16</v>
      </c>
      <c r="Z18" s="75" t="str">
        <f>IF(ISERROR(VLOOKUP(AA18,Taken!$H:$H,1,0)),"",IF(ISERROR(VLOOKUP(AA18,'Draft Board'!$AS:$AS,1,0)),"X","Y"))</f>
        <v/>
      </c>
      <c r="AA18" s="75" t="str">
        <f>VLOOKUP(Y18,WR!X:Y,2,0)</f>
        <v>Victor Cruz</v>
      </c>
      <c r="AB18" s="75" t="str">
        <f>VLOOKUP(AA18,WR!$B:$C,2,0)</f>
        <v>NYG</v>
      </c>
      <c r="AC18" s="72">
        <f>IF((AB18="FA"),"N/A",VLOOKUP(AB18,Settings!$M$2:$N$33,2,0))</f>
        <v>8</v>
      </c>
      <c r="AD18" s="153">
        <f>VLOOKUP(AA18,WR!$B:$W,22,0)</f>
        <v>195.8</v>
      </c>
      <c r="AE18" s="65">
        <f>AD18-Settings!$AA$5</f>
        <v>-5.2393939393938922</v>
      </c>
      <c r="AF18" s="129">
        <f>IF(ISERROR(VLOOKUP(AA18,ESPNData!$CS:$CX,6,0)),"",IF((VLOOKUP(AA18,ESPNData!$CS:$CX,6,0)="--"),"",VLOOKUP(AA18,ESPNData!$CS:$CX,6,0)))</f>
        <v>19</v>
      </c>
      <c r="AG18" s="75">
        <f>IF(ISERROR(VLOOKUP(AA18,ESPNData!$CZ:$DE,6,0)),"",IF((VLOOKUP(AA18,ESPNData!$CZ:$DE,6,0)="--"),"",VLOOKUP(AA18,ESPNData!$CZ:$DE,6,0)))</f>
        <v>16</v>
      </c>
      <c r="AH18" s="69" t="str">
        <f>IF(ISERROR((VLOOKUP(AA18,Taken!$H:$I,2,0)-AF18)),"",(VLOOKUP(AA18,Taken!$H:$I,2,0)-AF18))</f>
        <v/>
      </c>
      <c r="AI18" s="69">
        <f>ROUND(((((AE18-AE$35)+Settings!$Q$5)/(SUM(AE18:AE$35)-((AE$35-Settings!$Q$5)*((33+1)-Y18))))*(Settings!$V$5-SUM(AI$3:AI17))),0)</f>
        <v>18</v>
      </c>
      <c r="AJ18" s="43" t="str">
        <f>IF(ISERROR((VLOOKUP(AA18,Taken!$H:$I,2,0)-AI18)),"",(VLOOKUP(AA18,Taken!$H:$I,2,0)-AI18))</f>
        <v/>
      </c>
      <c r="AK18" s="114">
        <f t="shared" si="3"/>
        <v>16</v>
      </c>
      <c r="AL18" s="75" t="str">
        <f>IF(ISERROR(VLOOKUP(AM18,Taken!$N:$N,1,0)),"",IF(ISERROR(VLOOKUP(AM18,'Draft Board'!$AS:$AS,1,0)),"X","Y"))</f>
        <v/>
      </c>
      <c r="AM18" s="75" t="str">
        <f>VLOOKUP(AK18,K!Q:R,2,0)</f>
        <v>Dan Carpenter</v>
      </c>
      <c r="AN18" s="75" t="str">
        <f>VLOOKUP(AM18,K!$B:$C,2,0)</f>
        <v>BUF</v>
      </c>
      <c r="AO18" s="72">
        <f>IF((AN18="FA"),"N/A",VLOOKUP(AN18,Settings!$M$2:$N$33,2,0))</f>
        <v>9</v>
      </c>
      <c r="AP18" s="153">
        <f>VLOOKUP(AM18,K!$B:$P,15,0)</f>
        <v>120.6</v>
      </c>
      <c r="AQ18" s="65">
        <f>AP18-Settings!$AA$7</f>
        <v>-16.954545454545439</v>
      </c>
      <c r="AR18" s="129" t="str">
        <f>IF(ISERROR(VLOOKUP(AM18,ESPNData!$CS:$CX,6,0)),"",IF((VLOOKUP(AM18,ESPNData!$CS:$CX,6,0)="--"),"",VLOOKUP(AM18,ESPNData!$CS:$CX,6,0)))</f>
        <v/>
      </c>
      <c r="AS18" s="75" t="str">
        <f>IF(ISERROR(VLOOKUP(AM18,ESPNData!$CZ:$DE,6,0)),"",IF((VLOOKUP(AM18,ESPNData!$CZ:$DE,6,0)="--"),"",VLOOKUP(AM18,ESPNData!$CZ:$DE,6,0)))</f>
        <v/>
      </c>
      <c r="AT18" s="69" t="str">
        <f>IF(ISERROR((VLOOKUP(AM18,Taken!$N:$O,2,0)-AR18)),"",(VLOOKUP(AM18,Taken!$N:$O,2,0)-AR18))</f>
        <v/>
      </c>
      <c r="AU18" s="69">
        <v>1</v>
      </c>
      <c r="AV18" s="43" t="str">
        <f>IF(ISERROR((VLOOKUP(AM18,Taken!$N:$O,2,0)-AU18)),"",(VLOOKUP(AM18,Taken!$N:$O,2,0)-AU18))</f>
        <v/>
      </c>
      <c r="AW18" s="155"/>
    </row>
    <row r="19" spans="1:49" ht="12.75" customHeight="1">
      <c r="A19" s="163">
        <f t="shared" si="0"/>
        <v>17</v>
      </c>
      <c r="B19" s="75" t="str">
        <f>IF(ISERROR(VLOOKUP(C19,Taken!$B:$B,1,0)),"",IF(ISERROR(VLOOKUP(C19,'Draft Board'!$AS:$AS,1,0)),"X","Y"))</f>
        <v/>
      </c>
      <c r="C19" s="75" t="str">
        <f>VLOOKUP(A19,QB!AC:AD,2,0)</f>
        <v>Andy Dalton</v>
      </c>
      <c r="D19" s="72" t="str">
        <f>VLOOKUP(C19,QB!$B:$C,2,0)</f>
        <v>CIN</v>
      </c>
      <c r="E19" s="72">
        <f>IF((D19="FA"),"N/A",VLOOKUP(D19,Settings!$M$2:$N$33,2,0))</f>
        <v>4</v>
      </c>
      <c r="F19" s="153">
        <f>VLOOKUP(C19,QB!$B:$AB,27,0)</f>
        <v>305.5</v>
      </c>
      <c r="G19" s="65">
        <f>F19-Settings!$AA$3</f>
        <v>-32.618181818181768</v>
      </c>
      <c r="H19" s="129">
        <f>IF(ISERROR(VLOOKUP(C19,ESPNData!$CS:$CX,6,0)),"",IF((VLOOKUP(C19,ESPNData!$CS:$CX,6,0)="--"),"",VLOOKUP(C19,ESPNData!$CS:$CX,6,0)))</f>
        <v>1</v>
      </c>
      <c r="I19" s="75">
        <f>IF(ISERROR(VLOOKUP(C19,ESPNData!$CZ:$DE,6,0)),"",IF((VLOOKUP(C19,ESPNData!$CZ:$DE,6,0)="--"),"",VLOOKUP(C19,ESPNData!$CZ:$DE,6,0)))</f>
        <v>1</v>
      </c>
      <c r="J19" s="69" t="str">
        <f>IF(ISERROR((VLOOKUP(C19,Taken!$B:$C,2,0)-H19)),"",(VLOOKUP(C19,Taken!$B:$C,2,0)-H19))</f>
        <v/>
      </c>
      <c r="K19" s="69">
        <f>MAX(1,MIN(K18,ROUNDUP(((((G19-G$24)+Settings!$Q$3)/(SUM(G19:G$24)-((G$24-Settings!$Q$3)*((22+1)-A19))))*(Settings!$V$3-SUM(K$3:K18))),0)))</f>
        <v>13</v>
      </c>
      <c r="L19" s="43" t="str">
        <f>IF(ISERROR((VLOOKUP(C19,Taken!$B:$C,2,0)-K19)),"",(VLOOKUP(C19,Taken!$B:$C,2,0)-K19))</f>
        <v/>
      </c>
      <c r="M19" s="163">
        <f t="shared" si="1"/>
        <v>17</v>
      </c>
      <c r="N19" s="75" t="str">
        <f>IF(ISERROR(VLOOKUP(O19,Taken!$E:$E,1,0)),"",IF(ISERROR(VLOOKUP(O19,'Draft Board'!$AS:$AS,1,0)),"X","Y"))</f>
        <v/>
      </c>
      <c r="O19" s="75" t="str">
        <f>VLOOKUP(M19,RB!Z:AA,2,0)</f>
        <v>Alfred Morris</v>
      </c>
      <c r="P19" s="75" t="str">
        <f>VLOOKUP(O19,RB!$B:$C,2,0)</f>
        <v>WSH</v>
      </c>
      <c r="Q19" s="72">
        <f>IF((P19="FA"),"N/A",VLOOKUP(P19,Settings!$M$2:$N$33,2,0))</f>
        <v>10</v>
      </c>
      <c r="R19" s="153">
        <f>VLOOKUP(O19,RB!$B:$Y,24,0)</f>
        <v>196.8</v>
      </c>
      <c r="S19" s="65">
        <f>R19-Settings!$AA$4</f>
        <v>-8.3939393939393483</v>
      </c>
      <c r="T19" s="129">
        <f>IF(ISERROR(VLOOKUP(O19,ESPNData!$CS:$CX,6,0)),"",IF((VLOOKUP(O19,ESPNData!$CS:$CX,6,0)="--"),"",VLOOKUP(O19,ESPNData!$CS:$CX,6,0)))</f>
        <v>33</v>
      </c>
      <c r="U19" s="75">
        <f>IF(ISERROR(VLOOKUP(O19,ESPNData!$CZ:$DE,6,0)),"",IF((VLOOKUP(O19,ESPNData!$CZ:$DE,6,0)="--"),"",VLOOKUP(O19,ESPNData!$CZ:$DE,6,0)))</f>
        <v>27</v>
      </c>
      <c r="V19" s="69" t="str">
        <f>IF(ISERROR((VLOOKUP(O19,Taken!$E:$F,2,0)-T19)),"",(VLOOKUP(O19,Taken!$E:$F,2,0)-T19))</f>
        <v/>
      </c>
      <c r="W19" s="69">
        <f>MAX(1,ROUND(((((S19-S$35)+Settings!$Q$4)/(SUM(S19:S$35)-((S$35-Settings!$Q$4)*((33+1)-M19))))*(Settings!$V$4-SUM(W$3:W18))),0))</f>
        <v>19</v>
      </c>
      <c r="X19" s="43" t="str">
        <f>IF(ISERROR((VLOOKUP(O19,Taken!$E:$F,2,0)-W19)),"",(VLOOKUP(O19,Taken!$E:$F,2,0)-W19))</f>
        <v/>
      </c>
      <c r="Y19" s="163">
        <f t="shared" si="2"/>
        <v>17</v>
      </c>
      <c r="Z19" s="75" t="str">
        <f>IF(ISERROR(VLOOKUP(AA19,Taken!$H:$H,1,0)),"",IF(ISERROR(VLOOKUP(AA19,'Draft Board'!$AS:$AS,1,0)),"X","Y"))</f>
        <v/>
      </c>
      <c r="AA19" s="75" t="str">
        <f>VLOOKUP(Y19,WR!X:Y,2,0)</f>
        <v>Michael Crabtree</v>
      </c>
      <c r="AB19" s="75" t="str">
        <f>VLOOKUP(AA19,WR!$B:$C,2,0)</f>
        <v>SF</v>
      </c>
      <c r="AC19" s="72">
        <f>IF((AB19="FA"),"N/A",VLOOKUP(AB19,Settings!$M$2:$N$33,2,0))</f>
        <v>8</v>
      </c>
      <c r="AD19" s="153">
        <f>VLOOKUP(AA19,WR!$B:$W,22,0)</f>
        <v>195.7</v>
      </c>
      <c r="AE19" s="65">
        <f>AD19-Settings!$AA$5</f>
        <v>-5.3393939393939149</v>
      </c>
      <c r="AF19" s="129">
        <f>IF(ISERROR(VLOOKUP(AA19,ESPNData!$CS:$CX,6,0)),"",IF((VLOOKUP(AA19,ESPNData!$CS:$CX,6,0)="--"),"",VLOOKUP(AA19,ESPNData!$CS:$CX,6,0)))</f>
        <v>11</v>
      </c>
      <c r="AG19" s="75">
        <f>IF(ISERROR(VLOOKUP(AA19,ESPNData!$CZ:$DE,6,0)),"",IF((VLOOKUP(AA19,ESPNData!$CZ:$DE,6,0)="--"),"",VLOOKUP(AA19,ESPNData!$CZ:$DE,6,0)))</f>
        <v>13</v>
      </c>
      <c r="AH19" s="69" t="str">
        <f>IF(ISERROR((VLOOKUP(AA19,Taken!$H:$I,2,0)-AF19)),"",(VLOOKUP(AA19,Taken!$H:$I,2,0)-AF19))</f>
        <v/>
      </c>
      <c r="AI19" s="69">
        <f>ROUND(((((AE19-AE$35)+Settings!$Q$5)/(SUM(AE19:AE$35)-((AE$35-Settings!$Q$5)*((33+1)-Y19))))*(Settings!$V$5-SUM(AI$3:AI18))),0)</f>
        <v>19</v>
      </c>
      <c r="AJ19" s="43" t="str">
        <f>IF(ISERROR((VLOOKUP(AA19,Taken!$H:$I,2,0)-AI19)),"",(VLOOKUP(AA19,Taken!$H:$I,2,0)-AI19))</f>
        <v/>
      </c>
      <c r="AK19" s="114">
        <f t="shared" si="3"/>
        <v>17</v>
      </c>
      <c r="AL19" s="75" t="str">
        <f>IF(ISERROR(VLOOKUP(AM19,Taken!$N:$N,1,0)),"",IF(ISERROR(VLOOKUP(AM19,'Draft Board'!$AS:$AS,1,0)),"X","Y"))</f>
        <v/>
      </c>
      <c r="AM19" s="75" t="str">
        <f>VLOOKUP(AK19,K!Q:R,2,0)</f>
        <v>Ryan Succop</v>
      </c>
      <c r="AN19" s="75" t="str">
        <f>VLOOKUP(AM19,K!$B:$C,2,0)</f>
        <v>KC</v>
      </c>
      <c r="AO19" s="72">
        <f>IF((AN19="FA"),"N/A",VLOOKUP(AN19,Settings!$M$2:$N$33,2,0))</f>
        <v>6</v>
      </c>
      <c r="AP19" s="153">
        <f>VLOOKUP(AM19,K!$B:$P,15,0)</f>
        <v>119.6</v>
      </c>
      <c r="AQ19" s="65">
        <f>AP19-Settings!$AA$7</f>
        <v>-17.954545454545439</v>
      </c>
      <c r="AR19" s="129" t="str">
        <f>IF(ISERROR(VLOOKUP(AM19,ESPNData!$CS:$CX,6,0)),"",IF((VLOOKUP(AM19,ESPNData!$CS:$CX,6,0)="--"),"",VLOOKUP(AM19,ESPNData!$CS:$CX,6,0)))</f>
        <v/>
      </c>
      <c r="AS19" s="75" t="str">
        <f>IF(ISERROR(VLOOKUP(AM19,ESPNData!$CZ:$DE,6,0)),"",IF((VLOOKUP(AM19,ESPNData!$CZ:$DE,6,0)="--"),"",VLOOKUP(AM19,ESPNData!$CZ:$DE,6,0)))</f>
        <v/>
      </c>
      <c r="AT19" s="69" t="str">
        <f>IF(ISERROR((VLOOKUP(AM19,Taken!$N:$O,2,0)-AR19)),"",(VLOOKUP(AM19,Taken!$N:$O,2,0)-AR19))</f>
        <v/>
      </c>
      <c r="AU19" s="69">
        <v>1</v>
      </c>
      <c r="AV19" s="43" t="str">
        <f>IF(ISERROR((VLOOKUP(AM19,Taken!$N:$O,2,0)-AU19)),"",(VLOOKUP(AM19,Taken!$N:$O,2,0)-AU19))</f>
        <v/>
      </c>
      <c r="AW19" s="155"/>
    </row>
    <row r="20" spans="1:49" ht="12.75" customHeight="1">
      <c r="A20" s="163">
        <f t="shared" si="0"/>
        <v>18</v>
      </c>
      <c r="B20" s="75" t="str">
        <f>IF(ISERROR(VLOOKUP(C20,Taken!$B:$B,1,0)),"",IF(ISERROR(VLOOKUP(C20,'Draft Board'!$AS:$AS,1,0)),"X","Y"))</f>
        <v/>
      </c>
      <c r="C20" s="75" t="str">
        <f>VLOOKUP(A20,QB!AC:AD,2,0)</f>
        <v>Alex Smith</v>
      </c>
      <c r="D20" s="72" t="str">
        <f>VLOOKUP(C20,QB!$B:$C,2,0)</f>
        <v>KC</v>
      </c>
      <c r="E20" s="72">
        <f>IF((D20="FA"),"N/A",VLOOKUP(D20,Settings!$M$2:$N$33,2,0))</f>
        <v>6</v>
      </c>
      <c r="F20" s="153">
        <f>VLOOKUP(C20,QB!$B:$AB,27,0)</f>
        <v>293.5</v>
      </c>
      <c r="G20" s="65">
        <f>F20-Settings!$AA$3</f>
        <v>-44.618181818181768</v>
      </c>
      <c r="H20" s="129" t="str">
        <f>IF(ISERROR(VLOOKUP(C20,ESPNData!$CS:$CX,6,0)),"",IF((VLOOKUP(C20,ESPNData!$CS:$CX,6,0)="--"),"",VLOOKUP(C20,ESPNData!$CS:$CX,6,0)))</f>
        <v/>
      </c>
      <c r="I20" s="75" t="str">
        <f>IF(ISERROR(VLOOKUP(C20,ESPNData!$CZ:$DE,6,0)),"",IF((VLOOKUP(C20,ESPNData!$CZ:$DE,6,0)="--"),"",VLOOKUP(C20,ESPNData!$CZ:$DE,6,0)))</f>
        <v/>
      </c>
      <c r="J20" s="69" t="str">
        <f>IF(ISERROR((VLOOKUP(C20,Taken!$B:$C,2,0)-H20)),"",(VLOOKUP(C20,Taken!$B:$C,2,0)-H20))</f>
        <v/>
      </c>
      <c r="K20" s="69">
        <f>MAX(1,MIN(K19,ROUNDUP(((((G20-G$24)+Settings!$Q$3)/(SUM(G20:G$24)-((G$24-Settings!$Q$3)*((22+1)-A20))))*(Settings!$V$3-SUM(K$3:K19))),0)))</f>
        <v>11</v>
      </c>
      <c r="L20" s="43" t="str">
        <f>IF(ISERROR((VLOOKUP(C20,Taken!$B:$C,2,0)-K20)),"",(VLOOKUP(C20,Taken!$B:$C,2,0)-K20))</f>
        <v/>
      </c>
      <c r="M20" s="163">
        <f t="shared" si="1"/>
        <v>18</v>
      </c>
      <c r="N20" s="75" t="str">
        <f>IF(ISERROR(VLOOKUP(O20,Taken!$E:$E,1,0)),"",IF(ISERROR(VLOOKUP(O20,'Draft Board'!$AS:$AS,1,0)),"X","Y"))</f>
        <v/>
      </c>
      <c r="O20" s="75" t="str">
        <f>VLOOKUP(M20,RB!Z:AA,2,0)</f>
        <v>Trent Richardson</v>
      </c>
      <c r="P20" s="75" t="str">
        <f>VLOOKUP(O20,RB!$B:$C,2,0)</f>
        <v>IND</v>
      </c>
      <c r="Q20" s="72">
        <f>IF((P20="FA"),"N/A",VLOOKUP(P20,Settings!$M$2:$N$33,2,0))</f>
        <v>10</v>
      </c>
      <c r="R20" s="153">
        <f>VLOOKUP(O20,RB!$B:$Y,24,0)</f>
        <v>194.3</v>
      </c>
      <c r="S20" s="65">
        <f>R20-Settings!$AA$4</f>
        <v>-10.893939393939348</v>
      </c>
      <c r="T20" s="129">
        <f>IF(ISERROR(VLOOKUP(O20,ESPNData!$CS:$CX,6,0)),"",IF((VLOOKUP(O20,ESPNData!$CS:$CX,6,0)="--"),"",VLOOKUP(O20,ESPNData!$CS:$CX,6,0)))</f>
        <v>12</v>
      </c>
      <c r="U20" s="75">
        <f>IF(ISERROR(VLOOKUP(O20,ESPNData!$CZ:$DE,6,0)),"",IF((VLOOKUP(O20,ESPNData!$CZ:$DE,6,0)="--"),"",VLOOKUP(O20,ESPNData!$CZ:$DE,6,0)))</f>
        <v>23</v>
      </c>
      <c r="V20" s="69" t="str">
        <f>IF(ISERROR((VLOOKUP(O20,Taken!$E:$F,2,0)-T20)),"",(VLOOKUP(O20,Taken!$E:$F,2,0)-T20))</f>
        <v/>
      </c>
      <c r="W20" s="69">
        <f>MAX(1,ROUND(((((S20-S$35)+Settings!$Q$4)/(SUM(S20:S$35)-((S$35-Settings!$Q$4)*((33+1)-M20))))*(Settings!$V$4-SUM(W$3:W19))),0))</f>
        <v>18</v>
      </c>
      <c r="X20" s="43" t="str">
        <f>IF(ISERROR((VLOOKUP(O20,Taken!$E:$F,2,0)-W20)),"",(VLOOKUP(O20,Taken!$E:$F,2,0)-W20))</f>
        <v/>
      </c>
      <c r="Y20" s="163">
        <f t="shared" si="2"/>
        <v>18</v>
      </c>
      <c r="Z20" s="75" t="str">
        <f>IF(ISERROR(VLOOKUP(AA20,Taken!$H:$H,1,0)),"",IF(ISERROR(VLOOKUP(AA20,'Draft Board'!$AS:$AS,1,0)),"X","Y"))</f>
        <v/>
      </c>
      <c r="AA20" s="75" t="str">
        <f>VLOOKUP(Y20,WR!X:Y,2,0)</f>
        <v>Roddy White</v>
      </c>
      <c r="AB20" s="75" t="str">
        <f>VLOOKUP(AA20,WR!$B:$C,2,0)</f>
        <v>ATL</v>
      </c>
      <c r="AC20" s="72">
        <f>IF((AB20="FA"),"N/A",VLOOKUP(AB20,Settings!$M$2:$N$33,2,0))</f>
        <v>9</v>
      </c>
      <c r="AD20" s="153">
        <f>VLOOKUP(AA20,WR!$B:$W,22,0)</f>
        <v>195.2</v>
      </c>
      <c r="AE20" s="65">
        <f>AD20-Settings!$AA$5</f>
        <v>-5.8393939393939149</v>
      </c>
      <c r="AF20" s="129">
        <f>IF(ISERROR(VLOOKUP(AA20,ESPNData!$CS:$CX,6,0)),"",IF((VLOOKUP(AA20,ESPNData!$CS:$CX,6,0)="--"),"",VLOOKUP(AA20,ESPNData!$CS:$CX,6,0)))</f>
        <v>18</v>
      </c>
      <c r="AG20" s="75">
        <f>IF(ISERROR(VLOOKUP(AA20,ESPNData!$CZ:$DE,6,0)),"",IF((VLOOKUP(AA20,ESPNData!$CZ:$DE,6,0)="--"),"",VLOOKUP(AA20,ESPNData!$CZ:$DE,6,0)))</f>
        <v>15</v>
      </c>
      <c r="AH20" s="69" t="str">
        <f>IF(ISERROR((VLOOKUP(AA20,Taken!$H:$I,2,0)-AF20)),"",(VLOOKUP(AA20,Taken!$H:$I,2,0)-AF20))</f>
        <v/>
      </c>
      <c r="AI20" s="69">
        <f>ROUND(((((AE20-AE$35)+Settings!$Q$5)/(SUM(AE20:AE$35)-((AE$35-Settings!$Q$5)*((33+1)-Y20))))*(Settings!$V$5-SUM(AI$3:AI19))),0)</f>
        <v>18</v>
      </c>
      <c r="AJ20" s="43" t="str">
        <f>IF(ISERROR((VLOOKUP(AA20,Taken!$H:$I,2,0)-AI20)),"",(VLOOKUP(AA20,Taken!$H:$I,2,0)-AI20))</f>
        <v/>
      </c>
      <c r="AK20" s="114">
        <f t="shared" si="3"/>
        <v>18</v>
      </c>
      <c r="AL20" s="75" t="str">
        <f>IF(ISERROR(VLOOKUP(AM20,Taken!$N:$N,1,0)),"",IF(ISERROR(VLOOKUP(AM20,'Draft Board'!$AS:$AS,1,0)),"X","Y"))</f>
        <v/>
      </c>
      <c r="AM20" s="75" t="str">
        <f>VLOOKUP(AK20,K!Q:R,2,0)</f>
        <v>Jay Feely</v>
      </c>
      <c r="AN20" s="75" t="str">
        <f>VLOOKUP(AM20,K!$B:$C,2,0)</f>
        <v>ARI</v>
      </c>
      <c r="AO20" s="72">
        <f>IF((AN20="FA"),"N/A",VLOOKUP(AN20,Settings!$M$2:$N$33,2,0))</f>
        <v>4</v>
      </c>
      <c r="AP20" s="153">
        <f>VLOOKUP(AM20,K!$B:$P,15,0)</f>
        <v>119.6</v>
      </c>
      <c r="AQ20" s="65">
        <f>AP20-Settings!$AA$7</f>
        <v>-17.954545454545439</v>
      </c>
      <c r="AR20" s="129" t="str">
        <f>IF(ISERROR(VLOOKUP(AM20,ESPNData!$CS:$CX,6,0)),"",IF((VLOOKUP(AM20,ESPNData!$CS:$CX,6,0)="--"),"",VLOOKUP(AM20,ESPNData!$CS:$CX,6,0)))</f>
        <v/>
      </c>
      <c r="AS20" s="75" t="str">
        <f>IF(ISERROR(VLOOKUP(AM20,ESPNData!$CZ:$DE,6,0)),"",IF((VLOOKUP(AM20,ESPNData!$CZ:$DE,6,0)="--"),"",VLOOKUP(AM20,ESPNData!$CZ:$DE,6,0)))</f>
        <v/>
      </c>
      <c r="AT20" s="69" t="str">
        <f>IF(ISERROR((VLOOKUP(AM20,Taken!$N:$O,2,0)-AR20)),"",(VLOOKUP(AM20,Taken!$N:$O,2,0)-AR20))</f>
        <v/>
      </c>
      <c r="AU20" s="69">
        <v>1</v>
      </c>
      <c r="AV20" s="43" t="str">
        <f>IF(ISERROR((VLOOKUP(AM20,Taken!$N:$O,2,0)-AU20)),"",(VLOOKUP(AM20,Taken!$N:$O,2,0)-AU20))</f>
        <v/>
      </c>
      <c r="AW20" s="155"/>
    </row>
    <row r="21" spans="1:49" ht="12.75" customHeight="1">
      <c r="A21" s="163">
        <f t="shared" si="0"/>
        <v>19</v>
      </c>
      <c r="B21" s="75" t="str">
        <f>IF(ISERROR(VLOOKUP(C21,Taken!$B:$B,1,0)),"",IF(ISERROR(VLOOKUP(C21,'Draft Board'!$AS:$AS,1,0)),"X","Y"))</f>
        <v/>
      </c>
      <c r="C21" s="75" t="str">
        <f>VLOOKUP(A21,QB!AC:AD,2,0)</f>
        <v>Ryan Tannehill</v>
      </c>
      <c r="D21" s="72" t="str">
        <f>VLOOKUP(C21,QB!$B:$C,2,0)</f>
        <v>MIA</v>
      </c>
      <c r="E21" s="72">
        <f>IF((D21="FA"),"N/A",VLOOKUP(D21,Settings!$M$2:$N$33,2,0))</f>
        <v>5</v>
      </c>
      <c r="F21" s="153">
        <f>VLOOKUP(C21,QB!$B:$AB,27,0)</f>
        <v>290.5</v>
      </c>
      <c r="G21" s="65">
        <f>F21-Settings!$AA$3</f>
        <v>-47.618181818181768</v>
      </c>
      <c r="H21" s="129" t="str">
        <f>IF(ISERROR(VLOOKUP(C21,ESPNData!$CS:$CX,6,0)),"",IF((VLOOKUP(C21,ESPNData!$CS:$CX,6,0)="--"),"",VLOOKUP(C21,ESPNData!$CS:$CX,6,0)))</f>
        <v/>
      </c>
      <c r="I21" s="75" t="str">
        <f>IF(ISERROR(VLOOKUP(C21,ESPNData!$CZ:$DE,6,0)),"",IF((VLOOKUP(C21,ESPNData!$CZ:$DE,6,0)="--"),"",VLOOKUP(C21,ESPNData!$CZ:$DE,6,0)))</f>
        <v/>
      </c>
      <c r="J21" s="69" t="str">
        <f>IF(ISERROR((VLOOKUP(C21,Taken!$B:$C,2,0)-H21)),"",(VLOOKUP(C21,Taken!$B:$C,2,0)-H21))</f>
        <v/>
      </c>
      <c r="K21" s="69">
        <f>MAX(1,MIN(K20,ROUNDUP(((((G21-G$24)+Settings!$Q$3)/(SUM(G21:G$24)-((G$24-Settings!$Q$3)*((22+1)-A21))))*(Settings!$V$3-SUM(K$3:K20))),0)))</f>
        <v>10</v>
      </c>
      <c r="L21" s="43" t="str">
        <f>IF(ISERROR((VLOOKUP(C21,Taken!$B:$C,2,0)-K21)),"",(VLOOKUP(C21,Taken!$B:$C,2,0)-K21))</f>
        <v/>
      </c>
      <c r="M21" s="163">
        <f t="shared" si="1"/>
        <v>19</v>
      </c>
      <c r="N21" s="75" t="str">
        <f>IF(ISERROR(VLOOKUP(O21,Taken!$E:$E,1,0)),"",IF(ISERROR(VLOOKUP(O21,'Draft Board'!$AS:$AS,1,0)),"X","Y"))</f>
        <v/>
      </c>
      <c r="O21" s="75" t="str">
        <f>VLOOKUP(M21,RB!Z:AA,2,0)</f>
        <v>Reggie Bush</v>
      </c>
      <c r="P21" s="75" t="str">
        <f>VLOOKUP(O21,RB!$B:$C,2,0)</f>
        <v>DET</v>
      </c>
      <c r="Q21" s="72">
        <f>IF((P21="FA"),"N/A",VLOOKUP(P21,Settings!$M$2:$N$33,2,0))</f>
        <v>9</v>
      </c>
      <c r="R21" s="153">
        <f>VLOOKUP(O21,RB!$B:$Y,24,0)</f>
        <v>191.4</v>
      </c>
      <c r="S21" s="65">
        <f>R21-Settings!$AA$4</f>
        <v>-13.793939393939354</v>
      </c>
      <c r="T21" s="129">
        <f>IF(ISERROR(VLOOKUP(O21,ESPNData!$CS:$CX,6,0)),"",IF((VLOOKUP(O21,ESPNData!$CS:$CX,6,0)="--"),"",VLOOKUP(O21,ESPNData!$CS:$CX,6,0)))</f>
        <v>29</v>
      </c>
      <c r="U21" s="75">
        <f>IF(ISERROR(VLOOKUP(O21,ESPNData!$CZ:$DE,6,0)),"",IF((VLOOKUP(O21,ESPNData!$CZ:$DE,6,0)="--"),"",VLOOKUP(O21,ESPNData!$CZ:$DE,6,0)))</f>
        <v>36</v>
      </c>
      <c r="V21" s="69" t="str">
        <f>IF(ISERROR((VLOOKUP(O21,Taken!$E:$F,2,0)-T21)),"",(VLOOKUP(O21,Taken!$E:$F,2,0)-T21))</f>
        <v/>
      </c>
      <c r="W21" s="69">
        <f>MAX(1,ROUND(((((S21-S$35)+Settings!$Q$4)/(SUM(S21:S$35)-((S$35-Settings!$Q$4)*((33+1)-M21))))*(Settings!$V$4-SUM(W$3:W20))),0))</f>
        <v>17</v>
      </c>
      <c r="X21" s="43" t="str">
        <f>IF(ISERROR((VLOOKUP(O21,Taken!$E:$F,2,0)-W21)),"",(VLOOKUP(O21,Taken!$E:$F,2,0)-W21))</f>
        <v/>
      </c>
      <c r="Y21" s="163">
        <f t="shared" si="2"/>
        <v>19</v>
      </c>
      <c r="Z21" s="75" t="str">
        <f>IF(ISERROR(VLOOKUP(AA21,Taken!$H:$H,1,0)),"",IF(ISERROR(VLOOKUP(AA21,'Draft Board'!$AS:$AS,1,0)),"X","Y"))</f>
        <v/>
      </c>
      <c r="AA21" s="75" t="str">
        <f>VLOOKUP(Y21,WR!X:Y,2,0)</f>
        <v>Michael Floyd</v>
      </c>
      <c r="AB21" s="75" t="str">
        <f>VLOOKUP(AA21,WR!$B:$C,2,0)</f>
        <v>ARI</v>
      </c>
      <c r="AC21" s="72">
        <f>IF((AB21="FA"),"N/A",VLOOKUP(AB21,Settings!$M$2:$N$33,2,0))</f>
        <v>4</v>
      </c>
      <c r="AD21" s="153">
        <f>VLOOKUP(AA21,WR!$B:$W,22,0)</f>
        <v>187.7</v>
      </c>
      <c r="AE21" s="65">
        <f>AD21-Settings!$AA$5</f>
        <v>-13.339393939393915</v>
      </c>
      <c r="AF21" s="129">
        <f>IF(ISERROR(VLOOKUP(AA21,ESPNData!$CS:$CX,6,0)),"",IF((VLOOKUP(AA21,ESPNData!$CS:$CX,6,0)="--"),"",VLOOKUP(AA21,ESPNData!$CS:$CX,6,0)))</f>
        <v>9</v>
      </c>
      <c r="AG21" s="75">
        <f>IF(ISERROR(VLOOKUP(AA21,ESPNData!$CZ:$DE,6,0)),"",IF((VLOOKUP(AA21,ESPNData!$CZ:$DE,6,0)="--"),"",VLOOKUP(AA21,ESPNData!$CZ:$DE,6,0)))</f>
        <v>6</v>
      </c>
      <c r="AH21" s="69" t="str">
        <f>IF(ISERROR((VLOOKUP(AA21,Taken!$H:$I,2,0)-AF21)),"",(VLOOKUP(AA21,Taken!$H:$I,2,0)-AF21))</f>
        <v/>
      </c>
      <c r="AI21" s="69">
        <f>ROUND(((((AE21-AE$35)+Settings!$Q$5)/(SUM(AE21:AE$35)-((AE$35-Settings!$Q$5)*((33+1)-Y21))))*(Settings!$V$5-SUM(AI$3:AI20))),0)</f>
        <v>16</v>
      </c>
      <c r="AJ21" s="43" t="str">
        <f>IF(ISERROR((VLOOKUP(AA21,Taken!$H:$I,2,0)-AI21)),"",(VLOOKUP(AA21,Taken!$H:$I,2,0)-AI21))</f>
        <v/>
      </c>
      <c r="AK21" s="114">
        <f t="shared" si="3"/>
        <v>19</v>
      </c>
      <c r="AL21" s="75" t="str">
        <f>IF(ISERROR(VLOOKUP(AM21,Taken!$N:$N,1,0)),"",IF(ISERROR(VLOOKUP(AM21,'Draft Board'!$AS:$AS,1,0)),"X","Y"))</f>
        <v/>
      </c>
      <c r="AM21" s="75" t="str">
        <f>VLOOKUP(AK21,K!Q:R,2,0)</f>
        <v>Greg Zuerlein</v>
      </c>
      <c r="AN21" s="75" t="str">
        <f>VLOOKUP(AM21,K!$B:$C,2,0)</f>
        <v>STL</v>
      </c>
      <c r="AO21" s="72">
        <f>IF((AN21="FA"),"N/A",VLOOKUP(AN21,Settings!$M$2:$N$33,2,0))</f>
        <v>4</v>
      </c>
      <c r="AP21" s="153">
        <f>VLOOKUP(AM21,K!$B:$P,15,0)</f>
        <v>118</v>
      </c>
      <c r="AQ21" s="65">
        <f>AP21-Settings!$AA$7</f>
        <v>-19.554545454545433</v>
      </c>
      <c r="AR21" s="129" t="str">
        <f>IF(ISERROR(VLOOKUP(AM21,ESPNData!$CS:$CX,6,0)),"",IF((VLOOKUP(AM21,ESPNData!$CS:$CX,6,0)="--"),"",VLOOKUP(AM21,ESPNData!$CS:$CX,6,0)))</f>
        <v/>
      </c>
      <c r="AS21" s="75" t="str">
        <f>IF(ISERROR(VLOOKUP(AM21,ESPNData!$CZ:$DE,6,0)),"",IF((VLOOKUP(AM21,ESPNData!$CZ:$DE,6,0)="--"),"",VLOOKUP(AM21,ESPNData!$CZ:$DE,6,0)))</f>
        <v/>
      </c>
      <c r="AT21" s="69" t="str">
        <f>IF(ISERROR((VLOOKUP(AM21,Taken!$N:$O,2,0)-AR21)),"",(VLOOKUP(AM21,Taken!$N:$O,2,0)-AR21))</f>
        <v/>
      </c>
      <c r="AU21" s="69">
        <v>1</v>
      </c>
      <c r="AV21" s="43" t="str">
        <f>IF(ISERROR((VLOOKUP(AM21,Taken!$N:$O,2,0)-AU21)),"",(VLOOKUP(AM21,Taken!$N:$O,2,0)-AU21))</f>
        <v/>
      </c>
      <c r="AW21" s="155"/>
    </row>
    <row r="22" spans="1:49" ht="12.75" customHeight="1">
      <c r="A22" s="163">
        <f t="shared" si="0"/>
        <v>20</v>
      </c>
      <c r="B22" s="75" t="str">
        <f>IF(ISERROR(VLOOKUP(C22,Taken!$B:$B,1,0)),"",IF(ISERROR(VLOOKUP(C22,'Draft Board'!$AS:$AS,1,0)),"X","Y"))</f>
        <v/>
      </c>
      <c r="C22" s="75" t="str">
        <f>VLOOKUP(A22,QB!AC:AD,2,0)</f>
        <v>Carson Palmer</v>
      </c>
      <c r="D22" s="72" t="str">
        <f>VLOOKUP(C22,QB!$B:$C,2,0)</f>
        <v>ARI</v>
      </c>
      <c r="E22" s="72">
        <f>IF((D22="FA"),"N/A",VLOOKUP(D22,Settings!$M$2:$N$33,2,0))</f>
        <v>4</v>
      </c>
      <c r="F22" s="153">
        <f>VLOOKUP(C22,QB!$B:$AB,27,0)</f>
        <v>289.7</v>
      </c>
      <c r="G22" s="65">
        <f>F22-Settings!$AA$3</f>
        <v>-48.418181818181779</v>
      </c>
      <c r="H22" s="129" t="str">
        <f>IF(ISERROR(VLOOKUP(C22,ESPNData!$CS:$CX,6,0)),"",IF((VLOOKUP(C22,ESPNData!$CS:$CX,6,0)="--"),"",VLOOKUP(C22,ESPNData!$CS:$CX,6,0)))</f>
        <v/>
      </c>
      <c r="I22" s="75">
        <f>IF(ISERROR(VLOOKUP(C22,ESPNData!$CZ:$DE,6,0)),"",IF((VLOOKUP(C22,ESPNData!$CZ:$DE,6,0)="--"),"",VLOOKUP(C22,ESPNData!$CZ:$DE,6,0)))</f>
        <v>1</v>
      </c>
      <c r="J22" s="69" t="str">
        <f>IF(ISERROR((VLOOKUP(C22,Taken!$B:$C,2,0)-H22)),"",(VLOOKUP(C22,Taken!$B:$C,2,0)-H22))</f>
        <v/>
      </c>
      <c r="K22" s="69">
        <f>MAX(1,MIN(K21,ROUNDUP(((((G22-G$24)+Settings!$Q$3)/(SUM(G22:G$24)-((G$24-Settings!$Q$3)*((22+1)-A22))))*(Settings!$V$3-SUM(K$3:K21))),0)))</f>
        <v>10</v>
      </c>
      <c r="L22" s="43" t="str">
        <f>IF(ISERROR((VLOOKUP(C22,Taken!$B:$C,2,0)-K22)),"",(VLOOKUP(C22,Taken!$B:$C,2,0)-K22))</f>
        <v/>
      </c>
      <c r="M22" s="163">
        <f t="shared" si="1"/>
        <v>20</v>
      </c>
      <c r="N22" s="75" t="str">
        <f>IF(ISERROR(VLOOKUP(O22,Taken!$E:$E,1,0)),"",IF(ISERROR(VLOOKUP(O22,'Draft Board'!$AS:$AS,1,0)),"X","Y"))</f>
        <v/>
      </c>
      <c r="O22" s="75" t="str">
        <f>VLOOKUP(M22,RB!Z:AA,2,0)</f>
        <v>Joique Bell</v>
      </c>
      <c r="P22" s="75" t="str">
        <f>VLOOKUP(O22,RB!$B:$C,2,0)</f>
        <v>DET</v>
      </c>
      <c r="Q22" s="72">
        <f>IF((P22="FA"),"N/A",VLOOKUP(P22,Settings!$M$2:$N$33,2,0))</f>
        <v>9</v>
      </c>
      <c r="R22" s="153">
        <f>VLOOKUP(O22,RB!$B:$Y,24,0)</f>
        <v>191.1</v>
      </c>
      <c r="S22" s="65">
        <f>R22-Settings!$AA$4</f>
        <v>-14.093939393939365</v>
      </c>
      <c r="T22" s="129">
        <f>IF(ISERROR(VLOOKUP(O22,ESPNData!$CS:$CX,6,0)),"",IF((VLOOKUP(O22,ESPNData!$CS:$CX,6,0)="--"),"",VLOOKUP(O22,ESPNData!$CS:$CX,6,0)))</f>
        <v>9</v>
      </c>
      <c r="U22" s="75">
        <f>IF(ISERROR(VLOOKUP(O22,ESPNData!$CZ:$DE,6,0)),"",IF((VLOOKUP(O22,ESPNData!$CZ:$DE,6,0)="--"),"",VLOOKUP(O22,ESPNData!$CZ:$DE,6,0)))</f>
        <v>10</v>
      </c>
      <c r="V22" s="69" t="str">
        <f>IF(ISERROR((VLOOKUP(O22,Taken!$E:$F,2,0)-T22)),"",(VLOOKUP(O22,Taken!$E:$F,2,0)-T22))</f>
        <v/>
      </c>
      <c r="W22" s="69">
        <f>MAX(1,ROUND(((((S22-S$35)+Settings!$Q$4)/(SUM(S22:S$35)-((S$35-Settings!$Q$4)*((33+1)-M22))))*(Settings!$V$4-SUM(W$3:W21))),0))</f>
        <v>17</v>
      </c>
      <c r="X22" s="43" t="str">
        <f>IF(ISERROR((VLOOKUP(O22,Taken!$E:$F,2,0)-W22)),"",(VLOOKUP(O22,Taken!$E:$F,2,0)-W22))</f>
        <v/>
      </c>
      <c r="Y22" s="163">
        <f t="shared" si="2"/>
        <v>20</v>
      </c>
      <c r="Z22" s="75" t="str">
        <f>IF(ISERROR(VLOOKUP(AA22,Taken!$H:$H,1,0)),"",IF(ISERROR(VLOOKUP(AA22,'Draft Board'!$AS:$AS,1,0)),"X","Y"))</f>
        <v/>
      </c>
      <c r="AA22" s="75" t="str">
        <f>VLOOKUP(Y22,WR!X:Y,2,0)</f>
        <v>Wes Welker</v>
      </c>
      <c r="AB22" s="75" t="str">
        <f>VLOOKUP(AA22,WR!$B:$C,2,0)</f>
        <v>DEN</v>
      </c>
      <c r="AC22" s="72">
        <f>IF((AB22="FA"),"N/A",VLOOKUP(AB22,Settings!$M$2:$N$33,2,0))</f>
        <v>4</v>
      </c>
      <c r="AD22" s="153">
        <f>VLOOKUP(AA22,WR!$B:$W,22,0)</f>
        <v>184.6</v>
      </c>
      <c r="AE22" s="65">
        <f>AD22-Settings!$AA$5</f>
        <v>-16.439393939393909</v>
      </c>
      <c r="AF22" s="129">
        <f>IF(ISERROR(VLOOKUP(AA22,ESPNData!$CS:$CX,6,0)),"",IF((VLOOKUP(AA22,ESPNData!$CS:$CX,6,0)="--"),"",VLOOKUP(AA22,ESPNData!$CS:$CX,6,0)))</f>
        <v>15</v>
      </c>
      <c r="AG22" s="75">
        <f>IF(ISERROR(VLOOKUP(AA22,ESPNData!$CZ:$DE,6,0)),"",IF((VLOOKUP(AA22,ESPNData!$CZ:$DE,6,0)="--"),"",VLOOKUP(AA22,ESPNData!$CZ:$DE,6,0)))</f>
        <v>11</v>
      </c>
      <c r="AH22" s="69" t="str">
        <f>IF(ISERROR((VLOOKUP(AA22,Taken!$H:$I,2,0)-AF22)),"",(VLOOKUP(AA22,Taken!$H:$I,2,0)-AF22))</f>
        <v/>
      </c>
      <c r="AI22" s="69">
        <f>ROUND(((((AE22-AE$35)+Settings!$Q$5)/(SUM(AE22:AE$35)-((AE$35-Settings!$Q$5)*((33+1)-Y22))))*(Settings!$V$5-SUM(AI$3:AI21))),0)</f>
        <v>14</v>
      </c>
      <c r="AJ22" s="43" t="str">
        <f>IF(ISERROR((VLOOKUP(AA22,Taken!$H:$I,2,0)-AI22)),"",(VLOOKUP(AA22,Taken!$H:$I,2,0)-AI22))</f>
        <v/>
      </c>
      <c r="AK22" s="114">
        <f t="shared" si="3"/>
        <v>20</v>
      </c>
      <c r="AL22" s="75" t="str">
        <f>IF(ISERROR(VLOOKUP(AM22,Taken!$N:$N,1,0)),"",IF(ISERROR(VLOOKUP(AM22,'Draft Board'!$AS:$AS,1,0)),"X","Y"))</f>
        <v/>
      </c>
      <c r="AM22" s="75" t="str">
        <f>VLOOKUP(AK22,K!Q:R,2,0)</f>
        <v>Graham Gano</v>
      </c>
      <c r="AN22" s="75" t="str">
        <f>VLOOKUP(AM22,K!$B:$C,2,0)</f>
        <v>CAR</v>
      </c>
      <c r="AO22" s="72">
        <f>IF((AN22="FA"),"N/A",VLOOKUP(AN22,Settings!$M$2:$N$33,2,0))</f>
        <v>12</v>
      </c>
      <c r="AP22" s="153">
        <f>VLOOKUP(AM22,K!$B:$P,15,0)</f>
        <v>115.6</v>
      </c>
      <c r="AQ22" s="65">
        <f>AP22-Settings!$AA$7</f>
        <v>-21.954545454545439</v>
      </c>
      <c r="AR22" s="129" t="str">
        <f>IF(ISERROR(VLOOKUP(AM22,ESPNData!$CS:$CX,6,0)),"",IF((VLOOKUP(AM22,ESPNData!$CS:$CX,6,0)="--"),"",VLOOKUP(AM22,ESPNData!$CS:$CX,6,0)))</f>
        <v/>
      </c>
      <c r="AS22" s="75" t="str">
        <f>IF(ISERROR(VLOOKUP(AM22,ESPNData!$CZ:$DE,6,0)),"",IF((VLOOKUP(AM22,ESPNData!$CZ:$DE,6,0)="--"),"",VLOOKUP(AM22,ESPNData!$CZ:$DE,6,0)))</f>
        <v/>
      </c>
      <c r="AT22" s="69" t="str">
        <f>IF(ISERROR((VLOOKUP(AM22,Taken!$N:$O,2,0)-AR22)),"",(VLOOKUP(AM22,Taken!$N:$O,2,0)-AR22))</f>
        <v/>
      </c>
      <c r="AU22" s="69">
        <v>1</v>
      </c>
      <c r="AV22" s="43" t="str">
        <f>IF(ISERROR((VLOOKUP(AM22,Taken!$N:$O,2,0)-AU22)),"",(VLOOKUP(AM22,Taken!$N:$O,2,0)-AU22))</f>
        <v/>
      </c>
      <c r="AW22" s="155"/>
    </row>
    <row r="23" spans="1:49" ht="12.75" customHeight="1">
      <c r="A23" s="163">
        <f t="shared" si="0"/>
        <v>21</v>
      </c>
      <c r="B23" s="75" t="str">
        <f>IF(ISERROR(VLOOKUP(C23,Taken!$B:$B,1,0)),"",IF(ISERROR(VLOOKUP(C23,'Draft Board'!$AS:$AS,1,0)),"X","Y"))</f>
        <v/>
      </c>
      <c r="C23" s="75" t="str">
        <f>VLOOKUP(A23,QB!AC:AD,2,0)</f>
        <v>Joe Flacco</v>
      </c>
      <c r="D23" s="72" t="str">
        <f>VLOOKUP(C23,QB!$B:$C,2,0)</f>
        <v>BAL</v>
      </c>
      <c r="E23" s="72">
        <f>IF((D23="FA"),"N/A",VLOOKUP(D23,Settings!$M$2:$N$33,2,0))</f>
        <v>11</v>
      </c>
      <c r="F23" s="153">
        <f>VLOOKUP(C23,QB!$B:$AB,27,0)</f>
        <v>276.5</v>
      </c>
      <c r="G23" s="65">
        <f>F23-Settings!$AA$3</f>
        <v>-61.618181818181768</v>
      </c>
      <c r="H23" s="129" t="str">
        <f>IF(ISERROR(VLOOKUP(C23,ESPNData!$CS:$CX,6,0)),"",IF((VLOOKUP(C23,ESPNData!$CS:$CX,6,0)="--"),"",VLOOKUP(C23,ESPNData!$CS:$CX,6,0)))</f>
        <v/>
      </c>
      <c r="I23" s="75" t="str">
        <f>IF(ISERROR(VLOOKUP(C23,ESPNData!$CZ:$DE,6,0)),"",IF((VLOOKUP(C23,ESPNData!$CZ:$DE,6,0)="--"),"",VLOOKUP(C23,ESPNData!$CZ:$DE,6,0)))</f>
        <v/>
      </c>
      <c r="J23" s="69" t="str">
        <f>IF(ISERROR((VLOOKUP(C23,Taken!$B:$C,2,0)-H23)),"",(VLOOKUP(C23,Taken!$B:$C,2,0)-H23))</f>
        <v/>
      </c>
      <c r="K23" s="69">
        <f>MAX(1,MIN(K22,ROUNDUP(((((G23-G$24)+Settings!$Q$3)/(SUM(G23:G$24)-((G$24-Settings!$Q$3)*((22+1)-A23))))*(Settings!$V$3-SUM(K$3:K22))),0)))</f>
        <v>7</v>
      </c>
      <c r="L23" s="43" t="str">
        <f>IF(ISERROR((VLOOKUP(C23,Taken!$B:$C,2,0)-K23)),"",(VLOOKUP(C23,Taken!$B:$C,2,0)-K23))</f>
        <v/>
      </c>
      <c r="M23" s="163">
        <f t="shared" si="1"/>
        <v>21</v>
      </c>
      <c r="N23" s="75" t="str">
        <f>IF(ISERROR(VLOOKUP(O23,Taken!$E:$E,1,0)),"",IF(ISERROR(VLOOKUP(O23,'Draft Board'!$AS:$AS,1,0)),"X","Y"))</f>
        <v/>
      </c>
      <c r="O23" s="75" t="str">
        <f>VLOOKUP(M23,RB!Z:AA,2,0)</f>
        <v>Rashad Jennings</v>
      </c>
      <c r="P23" s="75" t="str">
        <f>VLOOKUP(O23,RB!$B:$C,2,0)</f>
        <v>NYG</v>
      </c>
      <c r="Q23" s="72">
        <f>IF((P23="FA"),"N/A",VLOOKUP(P23,Settings!$M$2:$N$33,2,0))</f>
        <v>8</v>
      </c>
      <c r="R23" s="153">
        <f>VLOOKUP(O23,RB!$B:$Y,24,0)</f>
        <v>188.4</v>
      </c>
      <c r="S23" s="65">
        <f>R23-Settings!$AA$4</f>
        <v>-16.793939393939354</v>
      </c>
      <c r="T23" s="129">
        <f>IF(ISERROR(VLOOKUP(O23,ESPNData!$CS:$CX,6,0)),"",IF((VLOOKUP(O23,ESPNData!$CS:$CX,6,0)="--"),"",VLOOKUP(O23,ESPNData!$CS:$CX,6,0)))</f>
        <v>10</v>
      </c>
      <c r="U23" s="75">
        <f>IF(ISERROR(VLOOKUP(O23,ESPNData!$CZ:$DE,6,0)),"",IF((VLOOKUP(O23,ESPNData!$CZ:$DE,6,0)="--"),"",VLOOKUP(O23,ESPNData!$CZ:$DE,6,0)))</f>
        <v>8</v>
      </c>
      <c r="V23" s="69" t="str">
        <f>IF(ISERROR((VLOOKUP(O23,Taken!$E:$F,2,0)-T23)),"",(VLOOKUP(O23,Taken!$E:$F,2,0)-T23))</f>
        <v/>
      </c>
      <c r="W23" s="69">
        <f>MAX(1,ROUND(((((S23-S$35)+Settings!$Q$4)/(SUM(S23:S$35)-((S$35-Settings!$Q$4)*((33+1)-M23))))*(Settings!$V$4-SUM(W$3:W22))),0))</f>
        <v>16</v>
      </c>
      <c r="X23" s="43" t="str">
        <f>IF(ISERROR((VLOOKUP(O23,Taken!$E:$F,2,0)-W23)),"",(VLOOKUP(O23,Taken!$E:$F,2,0)-W23))</f>
        <v/>
      </c>
      <c r="Y23" s="163">
        <f t="shared" si="2"/>
        <v>21</v>
      </c>
      <c r="Z23" s="75" t="str">
        <f>IF(ISERROR(VLOOKUP(AA23,Taken!$H:$H,1,0)),"",IF(ISERROR(VLOOKUP(AA23,'Draft Board'!$AS:$AS,1,0)),"X","Y"))</f>
        <v/>
      </c>
      <c r="AA23" s="75" t="str">
        <f>VLOOKUP(Y23,WR!X:Y,2,0)</f>
        <v>Julian Edelman</v>
      </c>
      <c r="AB23" s="75" t="str">
        <f>VLOOKUP(AA23,WR!$B:$C,2,0)</f>
        <v>NE</v>
      </c>
      <c r="AC23" s="72">
        <f>IF((AB23="FA"),"N/A",VLOOKUP(AB23,Settings!$M$2:$N$33,2,0))</f>
        <v>10</v>
      </c>
      <c r="AD23" s="153">
        <f>VLOOKUP(AA23,WR!$B:$W,22,0)</f>
        <v>181.4</v>
      </c>
      <c r="AE23" s="65">
        <f>AD23-Settings!$AA$5</f>
        <v>-19.639393939393898</v>
      </c>
      <c r="AF23" s="129">
        <f>IF(ISERROR(VLOOKUP(AA23,ESPNData!$CS:$CX,6,0)),"",IF((VLOOKUP(AA23,ESPNData!$CS:$CX,6,0)="--"),"",VLOOKUP(AA23,ESPNData!$CS:$CX,6,0)))</f>
        <v>7</v>
      </c>
      <c r="AG23" s="75">
        <f>IF(ISERROR(VLOOKUP(AA23,ESPNData!$CZ:$DE,6,0)),"",IF((VLOOKUP(AA23,ESPNData!$CZ:$DE,6,0)="--"),"",VLOOKUP(AA23,ESPNData!$CZ:$DE,6,0)))</f>
        <v>12</v>
      </c>
      <c r="AH23" s="69" t="str">
        <f>IF(ISERROR((VLOOKUP(AA23,Taken!$H:$I,2,0)-AF23)),"",(VLOOKUP(AA23,Taken!$H:$I,2,0)-AF23))</f>
        <v/>
      </c>
      <c r="AI23" s="69">
        <f>ROUND(((((AE23-AE$35)+Settings!$Q$5)/(SUM(AE23:AE$35)-((AE$35-Settings!$Q$5)*((33+1)-Y23))))*(Settings!$V$5-SUM(AI$3:AI22))),0)</f>
        <v>13</v>
      </c>
      <c r="AJ23" s="43" t="str">
        <f>IF(ISERROR((VLOOKUP(AA23,Taken!$H:$I,2,0)-AI23)),"",(VLOOKUP(AA23,Taken!$H:$I,2,0)-AI23))</f>
        <v/>
      </c>
      <c r="AK23" s="114">
        <f t="shared" si="3"/>
        <v>21</v>
      </c>
      <c r="AL23" s="75" t="str">
        <f>IF(ISERROR(VLOOKUP(AM23,Taken!$N:$N,1,0)),"",IF(ISERROR(VLOOKUP(AM23,'Draft Board'!$AS:$AS,1,0)),"X","Y"))</f>
        <v/>
      </c>
      <c r="AM23" s="75" t="str">
        <f>VLOOKUP(AK23,K!Q:R,2,0)</f>
        <v>Sebastian Janikowski</v>
      </c>
      <c r="AN23" s="75" t="str">
        <f>VLOOKUP(AM23,K!$B:$C,2,0)</f>
        <v>OAK</v>
      </c>
      <c r="AO23" s="72">
        <f>IF((AN23="FA"),"N/A",VLOOKUP(AN23,Settings!$M$2:$N$33,2,0))</f>
        <v>5</v>
      </c>
      <c r="AP23" s="153">
        <f>VLOOKUP(AM23,K!$B:$P,15,0)</f>
        <v>112.4</v>
      </c>
      <c r="AQ23" s="65">
        <f>AP23-Settings!$AA$7</f>
        <v>-25.154545454545428</v>
      </c>
      <c r="AR23" s="129" t="str">
        <f>IF(ISERROR(VLOOKUP(AM23,ESPNData!$CS:$CX,6,0)),"",IF((VLOOKUP(AM23,ESPNData!$CS:$CX,6,0)="--"),"",VLOOKUP(AM23,ESPNData!$CS:$CX,6,0)))</f>
        <v/>
      </c>
      <c r="AS23" s="75" t="str">
        <f>IF(ISERROR(VLOOKUP(AM23,ESPNData!$CZ:$DE,6,0)),"",IF((VLOOKUP(AM23,ESPNData!$CZ:$DE,6,0)="--"),"",VLOOKUP(AM23,ESPNData!$CZ:$DE,6,0)))</f>
        <v/>
      </c>
      <c r="AT23" s="69" t="str">
        <f>IF(ISERROR((VLOOKUP(AM23,Taken!$N:$O,2,0)-AR23)),"",(VLOOKUP(AM23,Taken!$N:$O,2,0)-AR23))</f>
        <v/>
      </c>
      <c r="AU23" s="69">
        <v>1</v>
      </c>
      <c r="AV23" s="43" t="str">
        <f>IF(ISERROR((VLOOKUP(AM23,Taken!$N:$O,2,0)-AU23)),"",(VLOOKUP(AM23,Taken!$N:$O,2,0)-AU23))</f>
        <v/>
      </c>
      <c r="AW23" s="155"/>
    </row>
    <row r="24" spans="1:49" ht="12.75" customHeight="1">
      <c r="A24" s="163">
        <f t="shared" si="0"/>
        <v>22</v>
      </c>
      <c r="B24" s="75" t="str">
        <f>IF(ISERROR(VLOOKUP(C24,Taken!$B:$B,1,0)),"",IF(ISERROR(VLOOKUP(C24,'Draft Board'!$AS:$AS,1,0)),"X","Y"))</f>
        <v/>
      </c>
      <c r="C24" s="75" t="str">
        <f>VLOOKUP(A24,QB!AC:AD,2,0)</f>
        <v>Eli Manning</v>
      </c>
      <c r="D24" s="72" t="str">
        <f>VLOOKUP(C24,QB!$B:$C,2,0)</f>
        <v>NYG</v>
      </c>
      <c r="E24" s="72">
        <f>IF((D24="FA"),"N/A",VLOOKUP(D24,Settings!$M$2:$N$33,2,0))</f>
        <v>8</v>
      </c>
      <c r="F24" s="153">
        <f>VLOOKUP(C24,QB!$B:$AB,27,0)</f>
        <v>275.5</v>
      </c>
      <c r="G24" s="65">
        <f>F24-Settings!$AA$3</f>
        <v>-62.618181818181768</v>
      </c>
      <c r="H24" s="129">
        <f>IF(ISERROR(VLOOKUP(C24,ESPNData!$CS:$CX,6,0)),"",IF((VLOOKUP(C24,ESPNData!$CS:$CX,6,0)="--"),"",VLOOKUP(C24,ESPNData!$CS:$CX,6,0)))</f>
        <v>1</v>
      </c>
      <c r="I24" s="75">
        <f>IF(ISERROR(VLOOKUP(C24,ESPNData!$CZ:$DE,6,0)),"",IF((VLOOKUP(C24,ESPNData!$CZ:$DE,6,0)="--"),"",VLOOKUP(C24,ESPNData!$CZ:$DE,6,0)))</f>
        <v>1</v>
      </c>
      <c r="J24" s="69" t="str">
        <f>IF(ISERROR((VLOOKUP(C24,Taken!$B:$C,2,0)-H24)),"",(VLOOKUP(C24,Taken!$B:$C,2,0)-H24))</f>
        <v/>
      </c>
      <c r="K24" s="69">
        <f>MAX(1,MIN(K23,ROUNDUP(((((G24-G$24)+Settings!$Q$3)/(SUM(G24:G$24)-((G$24-Settings!$Q$3)*((22+1)-A24))))*(Settings!$V$3-SUM(K$3:K23))),0)))</f>
        <v>6</v>
      </c>
      <c r="L24" s="43" t="str">
        <f>IF(ISERROR((VLOOKUP(C24,Taken!$B:$C,2,0)-K24)),"",(VLOOKUP(C24,Taken!$B:$C,2,0)-K24))</f>
        <v/>
      </c>
      <c r="M24" s="163">
        <f t="shared" si="1"/>
        <v>22</v>
      </c>
      <c r="N24" s="75" t="str">
        <f>IF(ISERROR(VLOOKUP(O24,Taken!$E:$E,1,0)),"",IF(ISERROR(VLOOKUP(O24,'Draft Board'!$AS:$AS,1,0)),"X","Y"))</f>
        <v/>
      </c>
      <c r="O24" s="75" t="str">
        <f>VLOOKUP(M24,RB!Z:AA,2,0)</f>
        <v>Shane Vereen</v>
      </c>
      <c r="P24" s="75" t="str">
        <f>VLOOKUP(O24,RB!$B:$C,2,0)</f>
        <v>NE</v>
      </c>
      <c r="Q24" s="72">
        <f>IF((P24="FA"),"N/A",VLOOKUP(P24,Settings!$M$2:$N$33,2,0))</f>
        <v>10</v>
      </c>
      <c r="R24" s="153">
        <f>VLOOKUP(O24,RB!$B:$Y,24,0)</f>
        <v>186.2</v>
      </c>
      <c r="S24" s="65">
        <f>R24-Settings!$AA$4</f>
        <v>-18.993939393939371</v>
      </c>
      <c r="T24" s="129">
        <f>IF(ISERROR(VLOOKUP(O24,ESPNData!$CS:$CX,6,0)),"",IF((VLOOKUP(O24,ESPNData!$CS:$CX,6,0)="--"),"",VLOOKUP(O24,ESPNData!$CS:$CX,6,0)))</f>
        <v>7</v>
      </c>
      <c r="U24" s="75">
        <f>IF(ISERROR(VLOOKUP(O24,ESPNData!$CZ:$DE,6,0)),"",IF((VLOOKUP(O24,ESPNData!$CZ:$DE,6,0)="--"),"",VLOOKUP(O24,ESPNData!$CZ:$DE,6,0)))</f>
        <v>13</v>
      </c>
      <c r="V24" s="69" t="str">
        <f>IF(ISERROR((VLOOKUP(O24,Taken!$E:$F,2,0)-T24)),"",(VLOOKUP(O24,Taken!$E:$F,2,0)-T24))</f>
        <v/>
      </c>
      <c r="W24" s="69">
        <f>MAX(1,ROUND(((((S24-S$35)+Settings!$Q$4)/(SUM(S24:S$35)-((S$35-Settings!$Q$4)*((33+1)-M24))))*(Settings!$V$4-SUM(W$3:W23))),0))</f>
        <v>15</v>
      </c>
      <c r="X24" s="43" t="str">
        <f>IF(ISERROR((VLOOKUP(O24,Taken!$E:$F,2,0)-W24)),"",(VLOOKUP(O24,Taken!$E:$F,2,0)-W24))</f>
        <v/>
      </c>
      <c r="Y24" s="163">
        <f t="shared" si="2"/>
        <v>22</v>
      </c>
      <c r="Z24" s="75" t="str">
        <f>IF(ISERROR(VLOOKUP(AA24,Taken!$H:$H,1,0)),"",IF(ISERROR(VLOOKUP(AA24,'Draft Board'!$AS:$AS,1,0)),"X","Y"))</f>
        <v/>
      </c>
      <c r="AA24" s="75" t="str">
        <f>VLOOKUP(Y24,WR!X:Y,2,0)</f>
        <v>Percy Harvin</v>
      </c>
      <c r="AB24" s="75" t="str">
        <f>VLOOKUP(AA24,WR!$B:$C,2,0)</f>
        <v>SEA</v>
      </c>
      <c r="AC24" s="72">
        <f>IF((AB24="FA"),"N/A",VLOOKUP(AB24,Settings!$M$2:$N$33,2,0))</f>
        <v>4</v>
      </c>
      <c r="AD24" s="153">
        <f>VLOOKUP(AA24,WR!$B:$W,22,0)</f>
        <v>181.3</v>
      </c>
      <c r="AE24" s="65">
        <f>AD24-Settings!$AA$5</f>
        <v>-19.739393939393892</v>
      </c>
      <c r="AF24" s="129">
        <f>IF(ISERROR(VLOOKUP(AA24,ESPNData!$CS:$CX,6,0)),"",IF((VLOOKUP(AA24,ESPNData!$CS:$CX,6,0)="--"),"",VLOOKUP(AA24,ESPNData!$CS:$CX,6,0)))</f>
        <v>13</v>
      </c>
      <c r="AG24" s="75">
        <f>IF(ISERROR(VLOOKUP(AA24,ESPNData!$CZ:$DE,6,0)),"",IF((VLOOKUP(AA24,ESPNData!$CZ:$DE,6,0)="--"),"",VLOOKUP(AA24,ESPNData!$CZ:$DE,6,0)))</f>
        <v>9</v>
      </c>
      <c r="AH24" s="69" t="str">
        <f>IF(ISERROR((VLOOKUP(AA24,Taken!$H:$I,2,0)-AF24)),"",(VLOOKUP(AA24,Taken!$H:$I,2,0)-AF24))</f>
        <v/>
      </c>
      <c r="AI24" s="69">
        <f>ROUND(((((AE24-AE$35)+Settings!$Q$5)/(SUM(AE24:AE$35)-((AE$35-Settings!$Q$5)*((33+1)-Y24))))*(Settings!$V$5-SUM(AI$3:AI23))),0)</f>
        <v>13</v>
      </c>
      <c r="AJ24" s="43" t="str">
        <f>IF(ISERROR((VLOOKUP(AA24,Taken!$H:$I,2,0)-AI24)),"",(VLOOKUP(AA24,Taken!$H:$I,2,0)-AI24))</f>
        <v/>
      </c>
      <c r="AK24" s="114">
        <f t="shared" si="3"/>
        <v>22</v>
      </c>
      <c r="AL24" s="75" t="str">
        <f>IF(ISERROR(VLOOKUP(AM24,Taken!$N:$N,1,0)),"",IF(ISERROR(VLOOKUP(AM24,'Draft Board'!$AS:$AS,1,0)),"X","Y"))</f>
        <v/>
      </c>
      <c r="AM24" s="75" t="str">
        <f>VLOOKUP(AK24,K!Q:R,2,0)</f>
        <v>Mike Nugent</v>
      </c>
      <c r="AN24" s="75" t="str">
        <f>VLOOKUP(AM24,K!$B:$C,2,0)</f>
        <v>CIN</v>
      </c>
      <c r="AO24" s="72">
        <f>IF((AN24="FA"),"N/A",VLOOKUP(AN24,Settings!$M$2:$N$33,2,0))</f>
        <v>4</v>
      </c>
      <c r="AP24" s="153">
        <f>VLOOKUP(AM24,K!$B:$P,15,0)</f>
        <v>111.6</v>
      </c>
      <c r="AQ24" s="65">
        <f>AP24-Settings!$AA$7</f>
        <v>-25.954545454545439</v>
      </c>
      <c r="AR24" s="129" t="str">
        <f>IF(ISERROR(VLOOKUP(AM24,ESPNData!$CS:$CX,6,0)),"",IF((VLOOKUP(AM24,ESPNData!$CS:$CX,6,0)="--"),"",VLOOKUP(AM24,ESPNData!$CS:$CX,6,0)))</f>
        <v/>
      </c>
      <c r="AS24" s="75" t="str">
        <f>IF(ISERROR(VLOOKUP(AM24,ESPNData!$CZ:$DE,6,0)),"",IF((VLOOKUP(AM24,ESPNData!$CZ:$DE,6,0)="--"),"",VLOOKUP(AM24,ESPNData!$CZ:$DE,6,0)))</f>
        <v/>
      </c>
      <c r="AT24" s="69" t="str">
        <f>IF(ISERROR((VLOOKUP(AM24,Taken!$N:$O,2,0)-AR24)),"",(VLOOKUP(AM24,Taken!$N:$O,2,0)-AR24))</f>
        <v/>
      </c>
      <c r="AU24" s="69">
        <v>1</v>
      </c>
      <c r="AV24" s="43" t="str">
        <f>IF(ISERROR((VLOOKUP(AM24,Taken!$N:$O,2,0)-AU24)),"",(VLOOKUP(AM24,Taken!$N:$O,2,0)-AU24))</f>
        <v/>
      </c>
      <c r="AW24" s="155"/>
    </row>
    <row r="25" spans="1:49" ht="12.75" customHeight="1">
      <c r="A25" s="60">
        <f t="shared" si="0"/>
        <v>23</v>
      </c>
      <c r="B25" s="75" t="str">
        <f>IF(ISERROR(VLOOKUP(C25,Taken!$B:$B,1,0)),"",IF(ISERROR(VLOOKUP(C25,'Draft Board'!$AS:$AS,1,0)),"X","Y"))</f>
        <v/>
      </c>
      <c r="C25" s="75" t="str">
        <f>VLOOKUP(A25,QB!AC:AD,2,0)</f>
        <v>Sam Bradford</v>
      </c>
      <c r="D25" s="72" t="str">
        <f>VLOOKUP(C25,QB!$B:$C,2,0)</f>
        <v>STL</v>
      </c>
      <c r="E25" s="72">
        <f>IF((D25="FA"),"N/A",VLOOKUP(D25,Settings!$M$2:$N$33,2,0))</f>
        <v>4</v>
      </c>
      <c r="F25" s="153">
        <f>VLOOKUP(C25,QB!$B:$AB,27,0)</f>
        <v>263.5</v>
      </c>
      <c r="G25" s="65">
        <f>F25-Settings!$AA$3</f>
        <v>-74.618181818181768</v>
      </c>
      <c r="H25" s="129" t="str">
        <f>IF(ISERROR(VLOOKUP(C25,ESPNData!$CS:$CX,6,0)),"",IF((VLOOKUP(C25,ESPNData!$CS:$CX,6,0)="--"),"",VLOOKUP(C25,ESPNData!$CS:$CX,6,0)))</f>
        <v/>
      </c>
      <c r="I25" s="75" t="str">
        <f>IF(ISERROR(VLOOKUP(C25,ESPNData!$CZ:$DE,6,0)),"",IF((VLOOKUP(C25,ESPNData!$CZ:$DE,6,0)="--"),"",VLOOKUP(C25,ESPNData!$CZ:$DE,6,0)))</f>
        <v/>
      </c>
      <c r="J25" s="69" t="str">
        <f>IF(ISERROR((VLOOKUP(C25,Taken!$B:$C,2,0)-H25)),"",(VLOOKUP(C25,Taken!$B:$C,2,0)-H25))</f>
        <v/>
      </c>
      <c r="K25" s="69">
        <f>MIN(K24,MAX(1,ROUND(((((G25-G$39)+Settings!$R$3)/(SUM(G25:G$39)-((G$39-Settings!$R$3)*((37+1)-A25))))*(Settings!$X$3)),0)))</f>
        <v>6</v>
      </c>
      <c r="L25" s="43" t="str">
        <f>IF(ISERROR((VLOOKUP(C25,Taken!$B:$C,2,0)-K25)),"",(VLOOKUP(C25,Taken!$B:$C,2,0)-K25))</f>
        <v/>
      </c>
      <c r="M25" s="163">
        <f t="shared" si="1"/>
        <v>23</v>
      </c>
      <c r="N25" s="75" t="str">
        <f>IF(ISERROR(VLOOKUP(O25,Taken!$E:$E,1,0)),"",IF(ISERROR(VLOOKUP(O25,'Draft Board'!$AS:$AS,1,0)),"X","Y"))</f>
        <v/>
      </c>
      <c r="O25" s="75" t="str">
        <f>VLOOKUP(M25,RB!Z:AA,2,0)</f>
        <v>Chris Johnson</v>
      </c>
      <c r="P25" s="75" t="str">
        <f>VLOOKUP(O25,RB!$B:$C,2,0)</f>
        <v>NYJ</v>
      </c>
      <c r="Q25" s="72">
        <f>IF((P25="FA"),"N/A",VLOOKUP(P25,Settings!$M$2:$N$33,2,0))</f>
        <v>11</v>
      </c>
      <c r="R25" s="153">
        <f>VLOOKUP(O25,RB!$B:$Y,24,0)</f>
        <v>185.3</v>
      </c>
      <c r="S25" s="65">
        <f>R25-Settings!$AA$4</f>
        <v>-19.893939393939348</v>
      </c>
      <c r="T25" s="129">
        <f>IF(ISERROR(VLOOKUP(O25,ESPNData!$CS:$CX,6,0)),"",IF((VLOOKUP(O25,ESPNData!$CS:$CX,6,0)="--"),"",VLOOKUP(O25,ESPNData!$CS:$CX,6,0)))</f>
        <v>10</v>
      </c>
      <c r="U25" s="75">
        <f>IF(ISERROR(VLOOKUP(O25,ESPNData!$CZ:$DE,6,0)),"",IF((VLOOKUP(O25,ESPNData!$CZ:$DE,6,0)="--"),"",VLOOKUP(O25,ESPNData!$CZ:$DE,6,0)))</f>
        <v>11</v>
      </c>
      <c r="V25" s="69" t="str">
        <f>IF(ISERROR((VLOOKUP(O25,Taken!$E:$F,2,0)-T25)),"",(VLOOKUP(O25,Taken!$E:$F,2,0)-T25))</f>
        <v/>
      </c>
      <c r="W25" s="69">
        <f>MAX(1,ROUND(((((S25-S$35)+Settings!$Q$4)/(SUM(S25:S$35)-((S$35-Settings!$Q$4)*((33+1)-M25))))*(Settings!$V$4-SUM(W$3:W24))),0))</f>
        <v>15</v>
      </c>
      <c r="X25" s="43" t="str">
        <f>IF(ISERROR((VLOOKUP(O25,Taken!$E:$F,2,0)-W25)),"",(VLOOKUP(O25,Taken!$E:$F,2,0)-W25))</f>
        <v/>
      </c>
      <c r="Y25" s="163">
        <f t="shared" si="2"/>
        <v>23</v>
      </c>
      <c r="Z25" s="75" t="str">
        <f>IF(ISERROR(VLOOKUP(AA25,Taken!$H:$H,1,0)),"",IF(ISERROR(VLOOKUP(AA25,'Draft Board'!$AS:$AS,1,0)),"X","Y"))</f>
        <v/>
      </c>
      <c r="AA25" s="75" t="str">
        <f>VLOOKUP(Y25,WR!X:Y,2,0)</f>
        <v>Cordarrelle Patterson</v>
      </c>
      <c r="AB25" s="75" t="str">
        <f>VLOOKUP(AA25,WR!$B:$C,2,0)</f>
        <v>MIN</v>
      </c>
      <c r="AC25" s="72">
        <f>IF((AB25="FA"),"N/A",VLOOKUP(AB25,Settings!$M$2:$N$33,2,0))</f>
        <v>10</v>
      </c>
      <c r="AD25" s="153">
        <f>VLOOKUP(AA25,WR!$B:$W,22,0)</f>
        <v>180.9</v>
      </c>
      <c r="AE25" s="65">
        <f>AD25-Settings!$AA$5</f>
        <v>-20.139393939393898</v>
      </c>
      <c r="AF25" s="129">
        <f>IF(ISERROR(VLOOKUP(AA25,ESPNData!$CS:$CX,6,0)),"",IF((VLOOKUP(AA25,ESPNData!$CS:$CX,6,0)="--"),"",VLOOKUP(AA25,ESPNData!$CS:$CX,6,0)))</f>
        <v>8</v>
      </c>
      <c r="AG25" s="75">
        <f>IF(ISERROR(VLOOKUP(AA25,ESPNData!$CZ:$DE,6,0)),"",IF((VLOOKUP(AA25,ESPNData!$CZ:$DE,6,0)="--"),"",VLOOKUP(AA25,ESPNData!$CZ:$DE,6,0)))</f>
        <v>9</v>
      </c>
      <c r="AH25" s="69" t="str">
        <f>IF(ISERROR((VLOOKUP(AA25,Taken!$H:$I,2,0)-AF25)),"",(VLOOKUP(AA25,Taken!$H:$I,2,0)-AF25))</f>
        <v/>
      </c>
      <c r="AI25" s="69">
        <f>ROUND(((((AE25-AE$35)+Settings!$Q$5)/(SUM(AE25:AE$35)-((AE$35-Settings!$Q$5)*((33+1)-Y25))))*(Settings!$V$5-SUM(AI$3:AI24))),0)</f>
        <v>13</v>
      </c>
      <c r="AJ25" s="43" t="str">
        <f>IF(ISERROR((VLOOKUP(AA25,Taken!$H:$I,2,0)-AI25)),"",(VLOOKUP(AA25,Taken!$H:$I,2,0)-AI25))</f>
        <v/>
      </c>
      <c r="AK25" s="114">
        <f t="shared" si="3"/>
        <v>23</v>
      </c>
      <c r="AL25" s="75" t="str">
        <f>IF(ISERROR(VLOOKUP(AM25,Taken!$N:$N,1,0)),"",IF(ISERROR(VLOOKUP(AM25,'Draft Board'!$AS:$AS,1,0)),"X","Y"))</f>
        <v/>
      </c>
      <c r="AM25" s="75" t="str">
        <f>VLOOKUP(AK25,K!Q:R,2,0)</f>
        <v>Caleb Sturgis</v>
      </c>
      <c r="AN25" s="75" t="str">
        <f>VLOOKUP(AM25,K!$B:$C,2,0)</f>
        <v>MIA</v>
      </c>
      <c r="AO25" s="72">
        <f>IF((AN25="FA"),"N/A",VLOOKUP(AN25,Settings!$M$2:$N$33,2,0))</f>
        <v>5</v>
      </c>
      <c r="AP25" s="153">
        <f>VLOOKUP(AM25,K!$B:$P,15,0)</f>
        <v>111.4</v>
      </c>
      <c r="AQ25" s="65">
        <f>AP25-Settings!$AA$7</f>
        <v>-26.154545454545428</v>
      </c>
      <c r="AR25" s="129" t="str">
        <f>IF(ISERROR(VLOOKUP(AM25,ESPNData!$CS:$CX,6,0)),"",IF((VLOOKUP(AM25,ESPNData!$CS:$CX,6,0)="--"),"",VLOOKUP(AM25,ESPNData!$CS:$CX,6,0)))</f>
        <v/>
      </c>
      <c r="AS25" s="75" t="str">
        <f>IF(ISERROR(VLOOKUP(AM25,ESPNData!$CZ:$DE,6,0)),"",IF((VLOOKUP(AM25,ESPNData!$CZ:$DE,6,0)="--"),"",VLOOKUP(AM25,ESPNData!$CZ:$DE,6,0)))</f>
        <v/>
      </c>
      <c r="AT25" s="69" t="str">
        <f>IF(ISERROR((VLOOKUP(AM25,Taken!$N:$O,2,0)-AR25)),"",(VLOOKUP(AM25,Taken!$N:$O,2,0)-AR25))</f>
        <v/>
      </c>
      <c r="AU25" s="69">
        <v>1</v>
      </c>
      <c r="AV25" s="43" t="str">
        <f>IF(ISERROR((VLOOKUP(AM25,Taken!$N:$O,2,0)-AU25)),"",(VLOOKUP(AM25,Taken!$N:$O,2,0)-AU25))</f>
        <v/>
      </c>
      <c r="AW25" s="155"/>
    </row>
    <row r="26" spans="1:49" ht="12.75" customHeight="1">
      <c r="A26" s="60">
        <f t="shared" si="0"/>
        <v>24</v>
      </c>
      <c r="B26" s="75" t="str">
        <f>IF(ISERROR(VLOOKUP(C26,Taken!$B:$B,1,0)),"",IF(ISERROR(VLOOKUP(C26,'Draft Board'!$AS:$AS,1,0)),"X","Y"))</f>
        <v/>
      </c>
      <c r="C26" s="75" t="str">
        <f>VLOOKUP(A26,QB!AC:AD,2,0)</f>
        <v>Josh McCown</v>
      </c>
      <c r="D26" s="72" t="str">
        <f>VLOOKUP(C26,QB!$B:$C,2,0)</f>
        <v>TB</v>
      </c>
      <c r="E26" s="72">
        <f>IF((D26="FA"),"N/A",VLOOKUP(D26,Settings!$M$2:$N$33,2,0))</f>
        <v>7</v>
      </c>
      <c r="F26" s="153">
        <f>VLOOKUP(C26,QB!$B:$AB,27,0)</f>
        <v>248.5</v>
      </c>
      <c r="G26" s="65">
        <f>F26-Settings!$AA$3</f>
        <v>-89.618181818181768</v>
      </c>
      <c r="H26" s="129" t="str">
        <f>IF(ISERROR(VLOOKUP(C26,ESPNData!$CS:$CX,6,0)),"",IF((VLOOKUP(C26,ESPNData!$CS:$CX,6,0)="--"),"",VLOOKUP(C26,ESPNData!$CS:$CX,6,0)))</f>
        <v/>
      </c>
      <c r="I26" s="75" t="str">
        <f>IF(ISERROR(VLOOKUP(C26,ESPNData!$CZ:$DE,6,0)),"",IF((VLOOKUP(C26,ESPNData!$CZ:$DE,6,0)="--"),"",VLOOKUP(C26,ESPNData!$CZ:$DE,6,0)))</f>
        <v/>
      </c>
      <c r="J26" s="69" t="str">
        <f>IF(ISERROR((VLOOKUP(C26,Taken!$B:$C,2,0)-H26)),"",(VLOOKUP(C26,Taken!$B:$C,2,0)-H26))</f>
        <v/>
      </c>
      <c r="K26" s="69">
        <f>MIN(K24,MAX(1,ROUND(((((G26-G$39)+Settings!$R$3)/(SUM(G26:G$39)-((G$39-Settings!$R$3)*((37+1)-A26))))*(Settings!$X$3-SUM(K$25:K25))),0)))</f>
        <v>6</v>
      </c>
      <c r="L26" s="43" t="str">
        <f>IF(ISERROR((VLOOKUP(C26,Taken!$B:$C,2,0)-K26)),"",(VLOOKUP(C26,Taken!$B:$C,2,0)-K26))</f>
        <v/>
      </c>
      <c r="M26" s="163">
        <f t="shared" si="1"/>
        <v>24</v>
      </c>
      <c r="N26" s="75" t="str">
        <f>IF(ISERROR(VLOOKUP(O26,Taken!$E:$E,1,0)),"",IF(ISERROR(VLOOKUP(O26,'Draft Board'!$AS:$AS,1,0)),"X","Y"))</f>
        <v/>
      </c>
      <c r="O26" s="75" t="str">
        <f>VLOOKUP(M26,RB!Z:AA,2,0)</f>
        <v>Bishop Sankey</v>
      </c>
      <c r="P26" s="75" t="str">
        <f>VLOOKUP(O26,RB!$B:$C,2,0)</f>
        <v>TEN</v>
      </c>
      <c r="Q26" s="72">
        <f>IF((P26="FA"),"N/A",VLOOKUP(P26,Settings!$M$2:$N$33,2,0))</f>
        <v>9</v>
      </c>
      <c r="R26" s="153">
        <f>VLOOKUP(O26,RB!$B:$Y,24,0)</f>
        <v>184.6</v>
      </c>
      <c r="S26" s="65">
        <f>R26-Settings!$AA$4</f>
        <v>-20.593939393939365</v>
      </c>
      <c r="T26" s="129">
        <f>IF(ISERROR(VLOOKUP(O26,ESPNData!$CS:$CX,6,0)),"",IF((VLOOKUP(O26,ESPNData!$CS:$CX,6,0)="--"),"",VLOOKUP(O26,ESPNData!$CS:$CX,6,0)))</f>
        <v>6</v>
      </c>
      <c r="U26" s="75">
        <f>IF(ISERROR(VLOOKUP(O26,ESPNData!$CZ:$DE,6,0)),"",IF((VLOOKUP(O26,ESPNData!$CZ:$DE,6,0)="--"),"",VLOOKUP(O26,ESPNData!$CZ:$DE,6,0)))</f>
        <v>3</v>
      </c>
      <c r="V26" s="69" t="str">
        <f>IF(ISERROR((VLOOKUP(O26,Taken!$E:$F,2,0)-T26)),"",(VLOOKUP(O26,Taken!$E:$F,2,0)-T26))</f>
        <v/>
      </c>
      <c r="W26" s="69">
        <f>MAX(1,ROUND(((((S26-S$35)+Settings!$Q$4)/(SUM(S26:S$35)-((S$35-Settings!$Q$4)*((33+1)-M26))))*(Settings!$V$4-SUM(W$3:W25))),0))</f>
        <v>15</v>
      </c>
      <c r="X26" s="43" t="str">
        <f>IF(ISERROR((VLOOKUP(O26,Taken!$E:$F,2,0)-W26)),"",(VLOOKUP(O26,Taken!$E:$F,2,0)-W26))</f>
        <v/>
      </c>
      <c r="Y26" s="163">
        <f t="shared" si="2"/>
        <v>24</v>
      </c>
      <c r="Z26" s="75" t="str">
        <f>IF(ISERROR(VLOOKUP(AA26,Taken!$H:$H,1,0)),"",IF(ISERROR(VLOOKUP(AA26,'Draft Board'!$AS:$AS,1,0)),"X","Y"))</f>
        <v/>
      </c>
      <c r="AA26" s="75" t="str">
        <f>VLOOKUP(Y26,WR!X:Y,2,0)</f>
        <v>Torrey Smith</v>
      </c>
      <c r="AB26" s="75" t="str">
        <f>VLOOKUP(AA26,WR!$B:$C,2,0)</f>
        <v>BAL</v>
      </c>
      <c r="AC26" s="72">
        <f>IF((AB26="FA"),"N/A",VLOOKUP(AB26,Settings!$M$2:$N$33,2,0))</f>
        <v>11</v>
      </c>
      <c r="AD26" s="153">
        <f>VLOOKUP(AA26,WR!$B:$W,22,0)</f>
        <v>176.4</v>
      </c>
      <c r="AE26" s="65">
        <f>AD26-Settings!$AA$5</f>
        <v>-24.639393939393898</v>
      </c>
      <c r="AF26" s="129">
        <f>IF(ISERROR(VLOOKUP(AA26,ESPNData!$CS:$CX,6,0)),"",IF((VLOOKUP(AA26,ESPNData!$CS:$CX,6,0)="--"),"",VLOOKUP(AA26,ESPNData!$CS:$CX,6,0)))</f>
        <v>10</v>
      </c>
      <c r="AG26" s="75">
        <f>IF(ISERROR(VLOOKUP(AA26,ESPNData!$CZ:$DE,6,0)),"",IF((VLOOKUP(AA26,ESPNData!$CZ:$DE,6,0)="--"),"",VLOOKUP(AA26,ESPNData!$CZ:$DE,6,0)))</f>
        <v>6</v>
      </c>
      <c r="AH26" s="69" t="str">
        <f>IF(ISERROR((VLOOKUP(AA26,Taken!$H:$I,2,0)-AF26)),"",(VLOOKUP(AA26,Taken!$H:$I,2,0)-AF26))</f>
        <v/>
      </c>
      <c r="AI26" s="69">
        <f>ROUND(((((AE26-AE$35)+Settings!$Q$5)/(SUM(AE26:AE$35)-((AE$35-Settings!$Q$5)*((33+1)-Y26))))*(Settings!$V$5-SUM(AI$3:AI25))),0)</f>
        <v>11</v>
      </c>
      <c r="AJ26" s="43" t="str">
        <f>IF(ISERROR((VLOOKUP(AA26,Taken!$H:$I,2,0)-AI26)),"",(VLOOKUP(AA26,Taken!$H:$I,2,0)-AI26))</f>
        <v/>
      </c>
      <c r="AK26" s="114">
        <f t="shared" si="3"/>
        <v>24</v>
      </c>
      <c r="AL26" s="75" t="str">
        <f>IF(ISERROR(VLOOKUP(AM26,Taken!$N:$N,1,0)),"",IF(ISERROR(VLOOKUP(AM26,'Draft Board'!$AS:$AS,1,0)),"X","Y"))</f>
        <v/>
      </c>
      <c r="AM26" s="75" t="str">
        <f>VLOOKUP(AK26,K!Q:R,2,0)</f>
        <v>Josh Brown</v>
      </c>
      <c r="AN26" s="75" t="str">
        <f>VLOOKUP(AM26,K!$B:$C,2,0)</f>
        <v>NYG</v>
      </c>
      <c r="AO26" s="72">
        <f>IF((AN26="FA"),"N/A",VLOOKUP(AN26,Settings!$M$2:$N$33,2,0))</f>
        <v>8</v>
      </c>
      <c r="AP26" s="153">
        <f>VLOOKUP(AM26,K!$B:$P,15,0)</f>
        <v>110</v>
      </c>
      <c r="AQ26" s="65">
        <f>AP26-Settings!$AA$7</f>
        <v>-27.554545454545433</v>
      </c>
      <c r="AR26" s="129" t="str">
        <f>IF(ISERROR(VLOOKUP(AM26,ESPNData!$CS:$CX,6,0)),"",IF((VLOOKUP(AM26,ESPNData!$CS:$CX,6,0)="--"),"",VLOOKUP(AM26,ESPNData!$CS:$CX,6,0)))</f>
        <v/>
      </c>
      <c r="AS26" s="75" t="str">
        <f>IF(ISERROR(VLOOKUP(AM26,ESPNData!$CZ:$DE,6,0)),"",IF((VLOOKUP(AM26,ESPNData!$CZ:$DE,6,0)="--"),"",VLOOKUP(AM26,ESPNData!$CZ:$DE,6,0)))</f>
        <v/>
      </c>
      <c r="AT26" s="69" t="str">
        <f>IF(ISERROR((VLOOKUP(AM26,Taken!$N:$O,2,0)-AR26)),"",(VLOOKUP(AM26,Taken!$N:$O,2,0)-AR26))</f>
        <v/>
      </c>
      <c r="AU26" s="69">
        <v>1</v>
      </c>
      <c r="AV26" s="43" t="str">
        <f>IF(ISERROR((VLOOKUP(AM26,Taken!$N:$O,2,0)-AU26)),"",(VLOOKUP(AM26,Taken!$N:$O,2,0)-AU26))</f>
        <v/>
      </c>
      <c r="AW26" s="155"/>
    </row>
    <row r="27" spans="1:49" ht="12.75" customHeight="1">
      <c r="A27" s="60">
        <f t="shared" si="0"/>
        <v>25</v>
      </c>
      <c r="B27" s="75" t="str">
        <f>IF(ISERROR(VLOOKUP(C27,Taken!$B:$B,1,0)),"",IF(ISERROR(VLOOKUP(C27,'Draft Board'!$AS:$AS,1,0)),"X","Y"))</f>
        <v/>
      </c>
      <c r="C27" s="75" t="str">
        <f>VLOOKUP(A27,QB!AC:AD,2,0)</f>
        <v>EJ Manuel</v>
      </c>
      <c r="D27" s="72" t="str">
        <f>VLOOKUP(C27,QB!$B:$C,2,0)</f>
        <v>BUF</v>
      </c>
      <c r="E27" s="72">
        <f>IF((D27="FA"),"N/A",VLOOKUP(D27,Settings!$M$2:$N$33,2,0))</f>
        <v>9</v>
      </c>
      <c r="F27" s="153">
        <f>VLOOKUP(C27,QB!$B:$AB,27,0)</f>
        <v>235.5</v>
      </c>
      <c r="G27" s="65">
        <f>F27-Settings!$AA$3</f>
        <v>-102.61818181818177</v>
      </c>
      <c r="H27" s="129" t="str">
        <f>IF(ISERROR(VLOOKUP(C27,ESPNData!$CS:$CX,6,0)),"",IF((VLOOKUP(C27,ESPNData!$CS:$CX,6,0)="--"),"",VLOOKUP(C27,ESPNData!$CS:$CX,6,0)))</f>
        <v/>
      </c>
      <c r="I27" s="75" t="str">
        <f>IF(ISERROR(VLOOKUP(C27,ESPNData!$CZ:$DE,6,0)),"",IF((VLOOKUP(C27,ESPNData!$CZ:$DE,6,0)="--"),"",VLOOKUP(C27,ESPNData!$CZ:$DE,6,0)))</f>
        <v/>
      </c>
      <c r="J27" s="69" t="str">
        <f>IF(ISERROR((VLOOKUP(C27,Taken!$B:$C,2,0)-H27)),"",(VLOOKUP(C27,Taken!$B:$C,2,0)-H27))</f>
        <v/>
      </c>
      <c r="K27" s="69">
        <f>MIN(K25,MAX(1,ROUND(((((G27-G$39)+Settings!$R$3)/(SUM(G27:G$39)-((G$39-Settings!$R$3)*((37+1)-A27))))*(Settings!$X$3-SUM(K$25:K26))),0)))</f>
        <v>6</v>
      </c>
      <c r="L27" s="43" t="str">
        <f>IF(ISERROR((VLOOKUP(C27,Taken!$B:$C,2,0)-K27)),"",(VLOOKUP(C27,Taken!$B:$C,2,0)-K27))</f>
        <v/>
      </c>
      <c r="M27" s="163">
        <f t="shared" si="1"/>
        <v>25</v>
      </c>
      <c r="N27" s="75" t="str">
        <f>IF(ISERROR(VLOOKUP(O27,Taken!$E:$E,1,0)),"",IF(ISERROR(VLOOKUP(O27,'Draft Board'!$AS:$AS,1,0)),"X","Y"))</f>
        <v/>
      </c>
      <c r="O27" s="75" t="str">
        <f>VLOOKUP(M27,RB!Z:AA,2,0)</f>
        <v>C.J. Spiller</v>
      </c>
      <c r="P27" s="75" t="str">
        <f>VLOOKUP(O27,RB!$B:$C,2,0)</f>
        <v>BUF</v>
      </c>
      <c r="Q27" s="72">
        <f>IF((P27="FA"),"N/A",VLOOKUP(P27,Settings!$M$2:$N$33,2,0))</f>
        <v>9</v>
      </c>
      <c r="R27" s="153">
        <f>VLOOKUP(O27,RB!$B:$Y,24,0)</f>
        <v>181.9</v>
      </c>
      <c r="S27" s="65">
        <f>R27-Settings!$AA$4</f>
        <v>-23.293939393939354</v>
      </c>
      <c r="T27" s="129">
        <f>IF(ISERROR(VLOOKUP(O27,ESPNData!$CS:$CX,6,0)),"",IF((VLOOKUP(O27,ESPNData!$CS:$CX,6,0)="--"),"",VLOOKUP(O27,ESPNData!$CS:$CX,6,0)))</f>
        <v>20</v>
      </c>
      <c r="U27" s="75">
        <f>IF(ISERROR(VLOOKUP(O27,ESPNData!$CZ:$DE,6,0)),"",IF((VLOOKUP(O27,ESPNData!$CZ:$DE,6,0)="--"),"",VLOOKUP(O27,ESPNData!$CZ:$DE,6,0)))</f>
        <v>17</v>
      </c>
      <c r="V27" s="69" t="str">
        <f>IF(ISERROR((VLOOKUP(O27,Taken!$E:$F,2,0)-T27)),"",(VLOOKUP(O27,Taken!$E:$F,2,0)-T27))</f>
        <v/>
      </c>
      <c r="W27" s="69">
        <f>MAX(1,ROUND(((((S27-S$35)+Settings!$Q$4)/(SUM(S27:S$35)-((S$35-Settings!$Q$4)*((33+1)-M27))))*(Settings!$V$4-SUM(W$3:W26))),0))</f>
        <v>14</v>
      </c>
      <c r="X27" s="43" t="str">
        <f>IF(ISERROR((VLOOKUP(O27,Taken!$E:$F,2,0)-W27)),"",(VLOOKUP(O27,Taken!$E:$F,2,0)-W27))</f>
        <v/>
      </c>
      <c r="Y27" s="163">
        <f t="shared" si="2"/>
        <v>25</v>
      </c>
      <c r="Z27" s="75" t="str">
        <f>IF(ISERROR(VLOOKUP(AA27,Taken!$H:$H,1,0)),"",IF(ISERROR(VLOOKUP(AA27,'Draft Board'!$AS:$AS,1,0)),"X","Y"))</f>
        <v/>
      </c>
      <c r="AA27" s="75" t="str">
        <f>VLOOKUP(Y27,WR!X:Y,2,0)</f>
        <v>Jeremy Maclin</v>
      </c>
      <c r="AB27" s="75" t="str">
        <f>VLOOKUP(AA27,WR!$B:$C,2,0)</f>
        <v>PHI</v>
      </c>
      <c r="AC27" s="72">
        <f>IF((AB27="FA"),"N/A",VLOOKUP(AB27,Settings!$M$2:$N$33,2,0))</f>
        <v>7</v>
      </c>
      <c r="AD27" s="153">
        <f>VLOOKUP(AA27,WR!$B:$W,22,0)</f>
        <v>175.3</v>
      </c>
      <c r="AE27" s="65">
        <f>AD27-Settings!$AA$5</f>
        <v>-25.739393939393892</v>
      </c>
      <c r="AF27" s="129">
        <f>IF(ISERROR(VLOOKUP(AA27,ESPNData!$CS:$CX,6,0)),"",IF((VLOOKUP(AA27,ESPNData!$CS:$CX,6,0)="--"),"",VLOOKUP(AA27,ESPNData!$CS:$CX,6,0)))</f>
        <v>7</v>
      </c>
      <c r="AG27" s="75">
        <f>IF(ISERROR(VLOOKUP(AA27,ESPNData!$CZ:$DE,6,0)),"",IF((VLOOKUP(AA27,ESPNData!$CZ:$DE,6,0)="--"),"",VLOOKUP(AA27,ESPNData!$CZ:$DE,6,0)))</f>
        <v>4</v>
      </c>
      <c r="AH27" s="69" t="str">
        <f>IF(ISERROR((VLOOKUP(AA27,Taken!$H:$I,2,0)-AF27)),"",(VLOOKUP(AA27,Taken!$H:$I,2,0)-AF27))</f>
        <v/>
      </c>
      <c r="AI27" s="69">
        <f>ROUND(((((AE27-AE$35)+Settings!$Q$5)/(SUM(AE27:AE$35)-((AE$35-Settings!$Q$5)*((33+1)-Y27))))*(Settings!$V$5-SUM(AI$3:AI26))),0)</f>
        <v>11</v>
      </c>
      <c r="AJ27" s="43" t="str">
        <f>IF(ISERROR((VLOOKUP(AA27,Taken!$H:$I,2,0)-AI27)),"",(VLOOKUP(AA27,Taken!$H:$I,2,0)-AI27))</f>
        <v/>
      </c>
      <c r="AK27" s="114">
        <f t="shared" si="3"/>
        <v>25</v>
      </c>
      <c r="AL27" s="75" t="str">
        <f>IF(ISERROR(VLOOKUP(AM27,Taken!$N:$N,1,0)),"",IF(ISERROR(VLOOKUP(AM27,'Draft Board'!$AS:$AS,1,0)),"X","Y"))</f>
        <v/>
      </c>
      <c r="AM27" s="75" t="str">
        <f>VLOOKUP(AK27,K!Q:R,2,0)</f>
        <v>Connor Barth</v>
      </c>
      <c r="AN27" s="75" t="str">
        <f>VLOOKUP(AM27,K!$B:$C,2,0)</f>
        <v>TB</v>
      </c>
      <c r="AO27" s="72">
        <f>IF((AN27="FA"),"N/A",VLOOKUP(AN27,Settings!$M$2:$N$33,2,0))</f>
        <v>7</v>
      </c>
      <c r="AP27" s="153">
        <f>VLOOKUP(AM27,K!$B:$P,15,0)</f>
        <v>109.3</v>
      </c>
      <c r="AQ27" s="65">
        <f>AP27-Settings!$AA$7</f>
        <v>-28.254545454545436</v>
      </c>
      <c r="AR27" s="129" t="str">
        <f>IF(ISERROR(VLOOKUP(AM27,ESPNData!$CS:$CX,6,0)),"",IF((VLOOKUP(AM27,ESPNData!$CS:$CX,6,0)="--"),"",VLOOKUP(AM27,ESPNData!$CS:$CX,6,0)))</f>
        <v/>
      </c>
      <c r="AS27" s="75" t="str">
        <f>IF(ISERROR(VLOOKUP(AM27,ESPNData!$CZ:$DE,6,0)),"",IF((VLOOKUP(AM27,ESPNData!$CZ:$DE,6,0)="--"),"",VLOOKUP(AM27,ESPNData!$CZ:$DE,6,0)))</f>
        <v/>
      </c>
      <c r="AT27" s="69" t="str">
        <f>IF(ISERROR((VLOOKUP(AM27,Taken!$N:$O,2,0)-AR27)),"",(VLOOKUP(AM27,Taken!$N:$O,2,0)-AR27))</f>
        <v/>
      </c>
      <c r="AU27" s="69">
        <v>1</v>
      </c>
      <c r="AV27" s="43" t="str">
        <f>IF(ISERROR((VLOOKUP(AM27,Taken!$N:$O,2,0)-AU27)),"",(VLOOKUP(AM27,Taken!$N:$O,2,0)-AU27))</f>
        <v/>
      </c>
      <c r="AW27" s="155"/>
    </row>
    <row r="28" spans="1:49" ht="12.75" customHeight="1">
      <c r="A28" s="60">
        <f t="shared" si="0"/>
        <v>26</v>
      </c>
      <c r="B28" s="75" t="str">
        <f>IF(ISERROR(VLOOKUP(C28,Taken!$B:$B,1,0)),"",IF(ISERROR(VLOOKUP(C28,'Draft Board'!$AS:$AS,1,0)),"X","Y"))</f>
        <v/>
      </c>
      <c r="C28" s="75" t="str">
        <f>VLOOKUP(A28,QB!AC:AD,2,0)</f>
        <v>Johnny Manziel</v>
      </c>
      <c r="D28" s="72" t="str">
        <f>VLOOKUP(C28,QB!$B:$C,2,0)</f>
        <v>CLE</v>
      </c>
      <c r="E28" s="72">
        <f>IF((D28="FA"),"N/A",VLOOKUP(D28,Settings!$M$2:$N$33,2,0))</f>
        <v>4</v>
      </c>
      <c r="F28" s="153">
        <f>VLOOKUP(C28,QB!$B:$AB,27,0)</f>
        <v>220.7</v>
      </c>
      <c r="G28" s="65">
        <f>F28-Settings!$AA$3</f>
        <v>-117.41818181818178</v>
      </c>
      <c r="H28" s="129" t="str">
        <f>IF(ISERROR(VLOOKUP(C28,ESPNData!$CS:$CX,6,0)),"",IF((VLOOKUP(C28,ESPNData!$CS:$CX,6,0)="--"),"",VLOOKUP(C28,ESPNData!$CS:$CX,6,0)))</f>
        <v/>
      </c>
      <c r="I28" s="75" t="str">
        <f>IF(ISERROR(VLOOKUP(C28,ESPNData!$CZ:$DE,6,0)),"",IF((VLOOKUP(C28,ESPNData!$CZ:$DE,6,0)="--"),"",VLOOKUP(C28,ESPNData!$CZ:$DE,6,0)))</f>
        <v/>
      </c>
      <c r="J28" s="69" t="str">
        <f>IF(ISERROR((VLOOKUP(C28,Taken!$B:$C,2,0)-H28)),"",(VLOOKUP(C28,Taken!$B:$C,2,0)-H28))</f>
        <v/>
      </c>
      <c r="K28" s="69">
        <f>MIN(K26,MAX(1,ROUND(((((G28-G$39)+Settings!$R$3)/(SUM(G28:G$39)-((G$39-Settings!$R$3)*((37+1)-A28))))*(Settings!$X$3-SUM(K$25:K27))),0)))</f>
        <v>6</v>
      </c>
      <c r="L28" s="43" t="str">
        <f>IF(ISERROR((VLOOKUP(C28,Taken!$B:$C,2,0)-K28)),"",(VLOOKUP(C28,Taken!$B:$C,2,0)-K28))</f>
        <v/>
      </c>
      <c r="M28" s="163">
        <f t="shared" si="1"/>
        <v>26</v>
      </c>
      <c r="N28" s="75" t="str">
        <f>IF(ISERROR(VLOOKUP(O28,Taken!$E:$E,1,0)),"",IF(ISERROR(VLOOKUP(O28,'Draft Board'!$AS:$AS,1,0)),"X","Y"))</f>
        <v/>
      </c>
      <c r="O28" s="75" t="str">
        <f>VLOOKUP(M28,RB!Z:AA,2,0)</f>
        <v>Frank Gore</v>
      </c>
      <c r="P28" s="75" t="str">
        <f>VLOOKUP(O28,RB!$B:$C,2,0)</f>
        <v>SF</v>
      </c>
      <c r="Q28" s="72">
        <f>IF((P28="FA"),"N/A",VLOOKUP(P28,Settings!$M$2:$N$33,2,0))</f>
        <v>8</v>
      </c>
      <c r="R28" s="153">
        <f>VLOOKUP(O28,RB!$B:$Y,24,0)</f>
        <v>179.4</v>
      </c>
      <c r="S28" s="65">
        <f>R28-Settings!$AA$4</f>
        <v>-25.793939393939354</v>
      </c>
      <c r="T28" s="129">
        <f>IF(ISERROR(VLOOKUP(O28,ESPNData!$CS:$CX,6,0)),"",IF((VLOOKUP(O28,ESPNData!$CS:$CX,6,0)="--"),"",VLOOKUP(O28,ESPNData!$CS:$CX,6,0)))</f>
        <v>20</v>
      </c>
      <c r="U28" s="75">
        <f>IF(ISERROR(VLOOKUP(O28,ESPNData!$CZ:$DE,6,0)),"",IF((VLOOKUP(O28,ESPNData!$CZ:$DE,6,0)="--"),"",VLOOKUP(O28,ESPNData!$CZ:$DE,6,0)))</f>
        <v>12</v>
      </c>
      <c r="V28" s="69" t="str">
        <f>IF(ISERROR((VLOOKUP(O28,Taken!$E:$F,2,0)-T28)),"",(VLOOKUP(O28,Taken!$E:$F,2,0)-T28))</f>
        <v/>
      </c>
      <c r="W28" s="69">
        <f>MAX(1,ROUND(((((S28-S$35)+Settings!$Q$4)/(SUM(S28:S$35)-((S$35-Settings!$Q$4)*((33+1)-M28))))*(Settings!$V$4-SUM(W$3:W27))),0))</f>
        <v>13</v>
      </c>
      <c r="X28" s="43" t="str">
        <f>IF(ISERROR((VLOOKUP(O28,Taken!$E:$F,2,0)-W28)),"",(VLOOKUP(O28,Taken!$E:$F,2,0)-W28))</f>
        <v/>
      </c>
      <c r="Y28" s="163">
        <f t="shared" si="2"/>
        <v>26</v>
      </c>
      <c r="Z28" s="75" t="str">
        <f>IF(ISERROR(VLOOKUP(AA28,Taken!$H:$H,1,0)),"",IF(ISERROR(VLOOKUP(AA28,'Draft Board'!$AS:$AS,1,0)),"X","Y"))</f>
        <v/>
      </c>
      <c r="AA28" s="75" t="str">
        <f>VLOOKUP(Y28,WR!X:Y,2,0)</f>
        <v>T.Y. Hilton</v>
      </c>
      <c r="AB28" s="75" t="str">
        <f>VLOOKUP(AA28,WR!$B:$C,2,0)</f>
        <v>IND</v>
      </c>
      <c r="AC28" s="72">
        <f>IF((AB28="FA"),"N/A",VLOOKUP(AB28,Settings!$M$2:$N$33,2,0))</f>
        <v>10</v>
      </c>
      <c r="AD28" s="153">
        <f>VLOOKUP(AA28,WR!$B:$W,22,0)</f>
        <v>174.5</v>
      </c>
      <c r="AE28" s="65">
        <f>AD28-Settings!$AA$5</f>
        <v>-26.539393939393904</v>
      </c>
      <c r="AF28" s="129">
        <f>IF(ISERROR(VLOOKUP(AA28,ESPNData!$CS:$CX,6,0)),"",IF((VLOOKUP(AA28,ESPNData!$CS:$CX,6,0)="--"),"",VLOOKUP(AA28,ESPNData!$CS:$CX,6,0)))</f>
        <v>7</v>
      </c>
      <c r="AG28" s="75">
        <f>IF(ISERROR(VLOOKUP(AA28,ESPNData!$CZ:$DE,6,0)),"",IF((VLOOKUP(AA28,ESPNData!$CZ:$DE,6,0)="--"),"",VLOOKUP(AA28,ESPNData!$CZ:$DE,6,0)))</f>
        <v>7</v>
      </c>
      <c r="AH28" s="69" t="str">
        <f>IF(ISERROR((VLOOKUP(AA28,Taken!$H:$I,2,0)-AF28)),"",(VLOOKUP(AA28,Taken!$H:$I,2,0)-AF28))</f>
        <v/>
      </c>
      <c r="AI28" s="69">
        <f>ROUND(((((AE28-AE$35)+Settings!$Q$5)/(SUM(AE28:AE$35)-((AE$35-Settings!$Q$5)*((33+1)-Y28))))*(Settings!$V$5-SUM(AI$3:AI27))),0)</f>
        <v>11</v>
      </c>
      <c r="AJ28" s="43" t="str">
        <f>IF(ISERROR((VLOOKUP(AA28,Taken!$H:$I,2,0)-AI28)),"",(VLOOKUP(AA28,Taken!$H:$I,2,0)-AI28))</f>
        <v/>
      </c>
      <c r="AK28" s="114">
        <f t="shared" si="3"/>
        <v>26</v>
      </c>
      <c r="AL28" s="75" t="str">
        <f>IF(ISERROR(VLOOKUP(AM28,Taken!$N:$N,1,0)),"",IF(ISERROR(VLOOKUP(AM28,'Draft Board'!$AS:$AS,1,0)),"X","Y"))</f>
        <v/>
      </c>
      <c r="AM28" s="75" t="str">
        <f>VLOOKUP(AK28,K!Q:R,2,0)</f>
        <v>Kai Forbath</v>
      </c>
      <c r="AN28" s="75" t="str">
        <f>VLOOKUP(AM28,K!$B:$C,2,0)</f>
        <v>WSH</v>
      </c>
      <c r="AO28" s="72">
        <f>IF((AN28="FA"),"N/A",VLOOKUP(AN28,Settings!$M$2:$N$33,2,0))</f>
        <v>10</v>
      </c>
      <c r="AP28" s="153">
        <f>VLOOKUP(AM28,K!$B:$P,15,0)</f>
        <v>107.6</v>
      </c>
      <c r="AQ28" s="65">
        <f>AP28-Settings!$AA$7</f>
        <v>-29.954545454545439</v>
      </c>
      <c r="AR28" s="129" t="str">
        <f>IF(ISERROR(VLOOKUP(AM28,ESPNData!$CS:$CX,6,0)),"",IF((VLOOKUP(AM28,ESPNData!$CS:$CX,6,0)="--"),"",VLOOKUP(AM28,ESPNData!$CS:$CX,6,0)))</f>
        <v/>
      </c>
      <c r="AS28" s="75" t="str">
        <f>IF(ISERROR(VLOOKUP(AM28,ESPNData!$CZ:$DE,6,0)),"",IF((VLOOKUP(AM28,ESPNData!$CZ:$DE,6,0)="--"),"",VLOOKUP(AM28,ESPNData!$CZ:$DE,6,0)))</f>
        <v/>
      </c>
      <c r="AT28" s="69" t="str">
        <f>IF(ISERROR((VLOOKUP(AM28,Taken!$N:$O,2,0)-AR28)),"",(VLOOKUP(AM28,Taken!$N:$O,2,0)-AR28))</f>
        <v/>
      </c>
      <c r="AU28" s="69">
        <v>1</v>
      </c>
      <c r="AV28" s="43" t="str">
        <f>IF(ISERROR((VLOOKUP(AM28,Taken!$N:$O,2,0)-AU28)),"",(VLOOKUP(AM28,Taken!$N:$O,2,0)-AU28))</f>
        <v/>
      </c>
      <c r="AW28" s="155"/>
    </row>
    <row r="29" spans="1:49" ht="12.75" customHeight="1">
      <c r="A29" s="60">
        <f t="shared" si="0"/>
        <v>27</v>
      </c>
      <c r="B29" s="75" t="str">
        <f>IF(ISERROR(VLOOKUP(C29,Taken!$B:$B,1,0)),"",IF(ISERROR(VLOOKUP(C29,'Draft Board'!$AS:$AS,1,0)),"X","Y"))</f>
        <v/>
      </c>
      <c r="C29" s="75" t="str">
        <f>VLOOKUP(A29,QB!AC:AD,2,0)</f>
        <v>Geno Smith</v>
      </c>
      <c r="D29" s="72" t="str">
        <f>VLOOKUP(C29,QB!$B:$C,2,0)</f>
        <v>NYJ</v>
      </c>
      <c r="E29" s="72">
        <f>IF((D29="FA"),"N/A",VLOOKUP(D29,Settings!$M$2:$N$33,2,0))</f>
        <v>11</v>
      </c>
      <c r="F29" s="153">
        <f>VLOOKUP(C29,QB!$B:$AB,27,0)</f>
        <v>215.8</v>
      </c>
      <c r="G29" s="65">
        <f>F29-Settings!$AA$3</f>
        <v>-122.31818181818176</v>
      </c>
      <c r="H29" s="129" t="str">
        <f>IF(ISERROR(VLOOKUP(C29,ESPNData!$CS:$CX,6,0)),"",IF((VLOOKUP(C29,ESPNData!$CS:$CX,6,0)="--"),"",VLOOKUP(C29,ESPNData!$CS:$CX,6,0)))</f>
        <v/>
      </c>
      <c r="I29" s="75" t="str">
        <f>IF(ISERROR(VLOOKUP(C29,ESPNData!$CZ:$DE,6,0)),"",IF((VLOOKUP(C29,ESPNData!$CZ:$DE,6,0)="--"),"",VLOOKUP(C29,ESPNData!$CZ:$DE,6,0)))</f>
        <v/>
      </c>
      <c r="J29" s="69" t="str">
        <f>IF(ISERROR((VLOOKUP(C29,Taken!$B:$C,2,0)-H29)),"",(VLOOKUP(C29,Taken!$B:$C,2,0)-H29))</f>
        <v/>
      </c>
      <c r="K29" s="69">
        <f>MIN(K27,MAX(1,ROUND(((((G29-G$39)+Settings!$R$3)/(SUM(G29:G$39)-((G$39-Settings!$R$3)*((37+1)-A29))))*(Settings!$X$3-SUM(K$25:K28))),0)))</f>
        <v>6</v>
      </c>
      <c r="L29" s="43" t="str">
        <f>IF(ISERROR((VLOOKUP(C29,Taken!$B:$C,2,0)-K29)),"",(VLOOKUP(C29,Taken!$B:$C,2,0)-K29))</f>
        <v/>
      </c>
      <c r="M29" s="163">
        <f t="shared" si="1"/>
        <v>27</v>
      </c>
      <c r="N29" s="75" t="str">
        <f>IF(ISERROR(VLOOKUP(O29,Taken!$E:$E,1,0)),"",IF(ISERROR(VLOOKUP(O29,'Draft Board'!$AS:$AS,1,0)),"X","Y"))</f>
        <v/>
      </c>
      <c r="O29" s="75" t="str">
        <f>VLOOKUP(M29,RB!Z:AA,2,0)</f>
        <v>Ryan Mathews</v>
      </c>
      <c r="P29" s="75" t="str">
        <f>VLOOKUP(O29,RB!$B:$C,2,0)</f>
        <v>SD</v>
      </c>
      <c r="Q29" s="72">
        <f>IF((P29="FA"),"N/A",VLOOKUP(P29,Settings!$M$2:$N$33,2,0))</f>
        <v>10</v>
      </c>
      <c r="R29" s="153">
        <f>VLOOKUP(O29,RB!$B:$Y,24,0)</f>
        <v>177.4</v>
      </c>
      <c r="S29" s="65">
        <f>R29-Settings!$AA$4</f>
        <v>-27.793939393939354</v>
      </c>
      <c r="T29" s="129">
        <f>IF(ISERROR(VLOOKUP(O29,ESPNData!$CS:$CX,6,0)),"",IF((VLOOKUP(O29,ESPNData!$CS:$CX,6,0)="--"),"",VLOOKUP(O29,ESPNData!$CS:$CX,6,0)))</f>
        <v>22</v>
      </c>
      <c r="U29" s="75">
        <f>IF(ISERROR(VLOOKUP(O29,ESPNData!$CZ:$DE,6,0)),"",IF((VLOOKUP(O29,ESPNData!$CZ:$DE,6,0)="--"),"",VLOOKUP(O29,ESPNData!$CZ:$DE,6,0)))</f>
        <v>13</v>
      </c>
      <c r="V29" s="69" t="str">
        <f>IF(ISERROR((VLOOKUP(O29,Taken!$E:$F,2,0)-T29)),"",(VLOOKUP(O29,Taken!$E:$F,2,0)-T29))</f>
        <v/>
      </c>
      <c r="W29" s="69">
        <f>MAX(1,ROUND(((((S29-S$35)+Settings!$Q$4)/(SUM(S29:S$35)-((S$35-Settings!$Q$4)*((33+1)-M29))))*(Settings!$V$4-SUM(W$3:W28))),0))</f>
        <v>13</v>
      </c>
      <c r="X29" s="43" t="str">
        <f>IF(ISERROR((VLOOKUP(O29,Taken!$E:$F,2,0)-W29)),"",(VLOOKUP(O29,Taken!$E:$F,2,0)-W29))</f>
        <v/>
      </c>
      <c r="Y29" s="163">
        <f t="shared" si="2"/>
        <v>27</v>
      </c>
      <c r="Z29" s="75" t="str">
        <f>IF(ISERROR(VLOOKUP(AA29,Taken!$H:$H,1,0)),"",IF(ISERROR(VLOOKUP(AA29,'Draft Board'!$AS:$AS,1,0)),"X","Y"))</f>
        <v/>
      </c>
      <c r="AA29" s="75" t="str">
        <f>VLOOKUP(Y29,WR!X:Y,2,0)</f>
        <v>Kendall Wright</v>
      </c>
      <c r="AB29" s="75" t="str">
        <f>VLOOKUP(AA29,WR!$B:$C,2,0)</f>
        <v>TEN</v>
      </c>
      <c r="AC29" s="72">
        <f>IF((AB29="FA"),"N/A",VLOOKUP(AB29,Settings!$M$2:$N$33,2,0))</f>
        <v>9</v>
      </c>
      <c r="AD29" s="153">
        <f>VLOOKUP(AA29,WR!$B:$W,22,0)</f>
        <v>173.7</v>
      </c>
      <c r="AE29" s="65">
        <f>AD29-Settings!$AA$5</f>
        <v>-27.339393939393915</v>
      </c>
      <c r="AF29" s="129">
        <f>IF(ISERROR(VLOOKUP(AA29,ESPNData!$CS:$CX,6,0)),"",IF((VLOOKUP(AA29,ESPNData!$CS:$CX,6,0)="--"),"",VLOOKUP(AA29,ESPNData!$CS:$CX,6,0)))</f>
        <v>5</v>
      </c>
      <c r="AG29" s="75">
        <f>IF(ISERROR(VLOOKUP(AA29,ESPNData!$CZ:$DE,6,0)),"",IF((VLOOKUP(AA29,ESPNData!$CZ:$DE,6,0)="--"),"",VLOOKUP(AA29,ESPNData!$CZ:$DE,6,0)))</f>
        <v>5</v>
      </c>
      <c r="AH29" s="69" t="str">
        <f>IF(ISERROR((VLOOKUP(AA29,Taken!$H:$I,2,0)-AF29)),"",(VLOOKUP(AA29,Taken!$H:$I,2,0)-AF29))</f>
        <v/>
      </c>
      <c r="AI29" s="69">
        <f>ROUND(((((AE29-AE$35)+Settings!$Q$5)/(SUM(AE29:AE$35)-((AE$35-Settings!$Q$5)*((33+1)-Y29))))*(Settings!$V$5-SUM(AI$3:AI28))),0)</f>
        <v>11</v>
      </c>
      <c r="AJ29" s="43" t="str">
        <f>IF(ISERROR((VLOOKUP(AA29,Taken!$H:$I,2,0)-AI29)),"",(VLOOKUP(AA29,Taken!$H:$I,2,0)-AI29))</f>
        <v/>
      </c>
      <c r="AK29" s="114">
        <f t="shared" si="3"/>
        <v>27</v>
      </c>
      <c r="AL29" s="75" t="str">
        <f>IF(ISERROR(VLOOKUP(AM29,Taken!$N:$N,1,0)),"",IF(ISERROR(VLOOKUP(AM29,'Draft Board'!$AS:$AS,1,0)),"X","Y"))</f>
        <v/>
      </c>
      <c r="AM29" s="75" t="str">
        <f>VLOOKUP(AK29,K!Q:R,2,0)</f>
        <v>Randy Bullock</v>
      </c>
      <c r="AN29" s="75" t="str">
        <f>VLOOKUP(AM29,K!$B:$C,2,0)</f>
        <v>HOU</v>
      </c>
      <c r="AO29" s="72">
        <f>IF((AN29="FA"),"N/A",VLOOKUP(AN29,Settings!$M$2:$N$33,2,0))</f>
        <v>10</v>
      </c>
      <c r="AP29" s="153">
        <f>VLOOKUP(AM29,K!$B:$P,15,0)</f>
        <v>104.7</v>
      </c>
      <c r="AQ29" s="65">
        <f>AP29-Settings!$AA$7</f>
        <v>-32.854545454545431</v>
      </c>
      <c r="AR29" s="129" t="str">
        <f>IF(ISERROR(VLOOKUP(AM29,ESPNData!$CS:$CX,6,0)),"",IF((VLOOKUP(AM29,ESPNData!$CS:$CX,6,0)="--"),"",VLOOKUP(AM29,ESPNData!$CS:$CX,6,0)))</f>
        <v/>
      </c>
      <c r="AS29" s="75" t="str">
        <f>IF(ISERROR(VLOOKUP(AM29,ESPNData!$CZ:$DE,6,0)),"",IF((VLOOKUP(AM29,ESPNData!$CZ:$DE,6,0)="--"),"",VLOOKUP(AM29,ESPNData!$CZ:$DE,6,0)))</f>
        <v/>
      </c>
      <c r="AT29" s="69" t="str">
        <f>IF(ISERROR((VLOOKUP(AM29,Taken!$N:$O,2,0)-AR29)),"",(VLOOKUP(AM29,Taken!$N:$O,2,0)-AR29))</f>
        <v/>
      </c>
      <c r="AU29" s="69">
        <v>1</v>
      </c>
      <c r="AV29" s="43" t="str">
        <f>IF(ISERROR((VLOOKUP(AM29,Taken!$N:$O,2,0)-AU29)),"",(VLOOKUP(AM29,Taken!$N:$O,2,0)-AU29))</f>
        <v/>
      </c>
      <c r="AW29" s="155"/>
    </row>
    <row r="30" spans="1:49" ht="12.75" customHeight="1">
      <c r="A30" s="60">
        <f t="shared" si="0"/>
        <v>28</v>
      </c>
      <c r="B30" s="75" t="str">
        <f>IF(ISERROR(VLOOKUP(C30,Taken!$B:$B,1,0)),"",IF(ISERROR(VLOOKUP(C30,'Draft Board'!$AS:$AS,1,0)),"X","Y"))</f>
        <v/>
      </c>
      <c r="C30" s="75" t="str">
        <f>VLOOKUP(A30,QB!AC:AD,2,0)</f>
        <v>Jake Locker</v>
      </c>
      <c r="D30" s="72" t="str">
        <f>VLOOKUP(C30,QB!$B:$C,2,0)</f>
        <v>TEN</v>
      </c>
      <c r="E30" s="72">
        <f>IF((D30="FA"),"N/A",VLOOKUP(D30,Settings!$M$2:$N$33,2,0))</f>
        <v>9</v>
      </c>
      <c r="F30" s="153">
        <f>VLOOKUP(C30,QB!$B:$AB,27,0)</f>
        <v>209</v>
      </c>
      <c r="G30" s="65">
        <f>F30-Settings!$AA$3</f>
        <v>-129.11818181818177</v>
      </c>
      <c r="H30" s="129" t="str">
        <f>IF(ISERROR(VLOOKUP(C30,ESPNData!$CS:$CX,6,0)),"",IF((VLOOKUP(C30,ESPNData!$CS:$CX,6,0)="--"),"",VLOOKUP(C30,ESPNData!$CS:$CX,6,0)))</f>
        <v/>
      </c>
      <c r="I30" s="75" t="str">
        <f>IF(ISERROR(VLOOKUP(C30,ESPNData!$CZ:$DE,6,0)),"",IF((VLOOKUP(C30,ESPNData!$CZ:$DE,6,0)="--"),"",VLOOKUP(C30,ESPNData!$CZ:$DE,6,0)))</f>
        <v/>
      </c>
      <c r="J30" s="69" t="str">
        <f>IF(ISERROR((VLOOKUP(C30,Taken!$B:$C,2,0)-H30)),"",(VLOOKUP(C30,Taken!$B:$C,2,0)-H30))</f>
        <v/>
      </c>
      <c r="K30" s="69">
        <f>MIN(K28,MAX(1,ROUND(((((G30-G$39)+Settings!$R$3)/(SUM(G30:G$39)-((G$39-Settings!$R$3)*((37+1)-A30))))*(Settings!$X$3-SUM(K$25:K29))),0)))</f>
        <v>6</v>
      </c>
      <c r="L30" s="43" t="str">
        <f>IF(ISERROR((VLOOKUP(C30,Taken!$B:$C,2,0)-K30)),"",(VLOOKUP(C30,Taken!$B:$C,2,0)-K30))</f>
        <v/>
      </c>
      <c r="M30" s="163">
        <f t="shared" si="1"/>
        <v>28</v>
      </c>
      <c r="N30" s="75" t="str">
        <f>IF(ISERROR(VLOOKUP(O30,Taken!$E:$E,1,0)),"",IF(ISERROR(VLOOKUP(O30,'Draft Board'!$AS:$AS,1,0)),"X","Y"))</f>
        <v/>
      </c>
      <c r="O30" s="75" t="str">
        <f>VLOOKUP(M30,RB!Z:AA,2,0)</f>
        <v>Ben Tate</v>
      </c>
      <c r="P30" s="75" t="str">
        <f>VLOOKUP(O30,RB!$B:$C,2,0)</f>
        <v>CLE</v>
      </c>
      <c r="Q30" s="72">
        <f>IF((P30="FA"),"N/A",VLOOKUP(P30,Settings!$M$2:$N$33,2,0))</f>
        <v>4</v>
      </c>
      <c r="R30" s="153">
        <f>VLOOKUP(O30,RB!$B:$Y,24,0)</f>
        <v>173.5</v>
      </c>
      <c r="S30" s="65">
        <f>R30-Settings!$AA$4</f>
        <v>-31.69393939393936</v>
      </c>
      <c r="T30" s="129">
        <f>IF(ISERROR(VLOOKUP(O30,ESPNData!$CS:$CX,6,0)),"",IF((VLOOKUP(O30,ESPNData!$CS:$CX,6,0)="--"),"",VLOOKUP(O30,ESPNData!$CS:$CX,6,0)))</f>
        <v>27</v>
      </c>
      <c r="U30" s="75">
        <f>IF(ISERROR(VLOOKUP(O30,ESPNData!$CZ:$DE,6,0)),"",IF((VLOOKUP(O30,ESPNData!$CZ:$DE,6,0)="--"),"",VLOOKUP(O30,ESPNData!$CZ:$DE,6,0)))</f>
        <v>28</v>
      </c>
      <c r="V30" s="69" t="str">
        <f>IF(ISERROR((VLOOKUP(O30,Taken!$E:$F,2,0)-T30)),"",(VLOOKUP(O30,Taken!$E:$F,2,0)-T30))</f>
        <v/>
      </c>
      <c r="W30" s="69">
        <f>MAX(1,ROUND(((((S30-S$35)+Settings!$Q$4)/(SUM(S30:S$35)-((S$35-Settings!$Q$4)*((33+1)-M30))))*(Settings!$V$4-SUM(W$3:W29))),0))</f>
        <v>12</v>
      </c>
      <c r="X30" s="43" t="str">
        <f>IF(ISERROR((VLOOKUP(O30,Taken!$E:$F,2,0)-W30)),"",(VLOOKUP(O30,Taken!$E:$F,2,0)-W30))</f>
        <v/>
      </c>
      <c r="Y30" s="163">
        <f t="shared" si="2"/>
        <v>28</v>
      </c>
      <c r="Z30" s="75" t="str">
        <f>IF(ISERROR(VLOOKUP(AA30,Taken!$H:$H,1,0)),"",IF(ISERROR(VLOOKUP(AA30,'Draft Board'!$AS:$AS,1,0)),"X","Y"))</f>
        <v/>
      </c>
      <c r="AA30" s="75" t="str">
        <f>VLOOKUP(Y30,WR!X:Y,2,0)</f>
        <v>Marques Colston</v>
      </c>
      <c r="AB30" s="75" t="str">
        <f>VLOOKUP(AA30,WR!$B:$C,2,0)</f>
        <v>NO</v>
      </c>
      <c r="AC30" s="72">
        <f>IF((AB30="FA"),"N/A",VLOOKUP(AB30,Settings!$M$2:$N$33,2,0))</f>
        <v>6</v>
      </c>
      <c r="AD30" s="153">
        <f>VLOOKUP(AA30,WR!$B:$W,22,0)</f>
        <v>173.6</v>
      </c>
      <c r="AE30" s="65">
        <f>AD30-Settings!$AA$5</f>
        <v>-27.439393939393909</v>
      </c>
      <c r="AF30" s="129">
        <f>IF(ISERROR(VLOOKUP(AA30,ESPNData!$CS:$CX,6,0)),"",IF((VLOOKUP(AA30,ESPNData!$CS:$CX,6,0)="--"),"",VLOOKUP(AA30,ESPNData!$CS:$CX,6,0)))</f>
        <v>6</v>
      </c>
      <c r="AG30" s="75">
        <f>IF(ISERROR(VLOOKUP(AA30,ESPNData!$CZ:$DE,6,0)),"",IF((VLOOKUP(AA30,ESPNData!$CZ:$DE,6,0)="--"),"",VLOOKUP(AA30,ESPNData!$CZ:$DE,6,0)))</f>
        <v>5</v>
      </c>
      <c r="AH30" s="69" t="str">
        <f>IF(ISERROR((VLOOKUP(AA30,Taken!$H:$I,2,0)-AF30)),"",(VLOOKUP(AA30,Taken!$H:$I,2,0)-AF30))</f>
        <v/>
      </c>
      <c r="AI30" s="69">
        <f>ROUND(((((AE30-AE$35)+Settings!$Q$5)/(SUM(AE30:AE$35)-((AE$35-Settings!$Q$5)*((33+1)-Y30))))*(Settings!$V$5-SUM(AI$3:AI29))),0)</f>
        <v>10</v>
      </c>
      <c r="AJ30" s="43" t="str">
        <f>IF(ISERROR((VLOOKUP(AA30,Taken!$H:$I,2,0)-AI30)),"",(VLOOKUP(AA30,Taken!$H:$I,2,0)-AI30))</f>
        <v/>
      </c>
      <c r="AK30" s="114">
        <f t="shared" si="3"/>
        <v>28</v>
      </c>
      <c r="AL30" s="75" t="str">
        <f>IF(ISERROR(VLOOKUP(AM30,Taken!$N:$N,1,0)),"",IF(ISERROR(VLOOKUP(AM30,'Draft Board'!$AS:$AS,1,0)),"X","Y"))</f>
        <v/>
      </c>
      <c r="AM30" s="75" t="str">
        <f>VLOOKUP(AK30,K!Q:R,2,0)</f>
        <v>Josh Scobee</v>
      </c>
      <c r="AN30" s="75" t="str">
        <f>VLOOKUP(AM30,K!$B:$C,2,0)</f>
        <v>JAC</v>
      </c>
      <c r="AO30" s="72">
        <f>IF((AN30="FA"),"N/A",VLOOKUP(AN30,Settings!$M$2:$N$33,2,0))</f>
        <v>11</v>
      </c>
      <c r="AP30" s="153">
        <f>VLOOKUP(AM30,K!$B:$P,15,0)</f>
        <v>104</v>
      </c>
      <c r="AQ30" s="65">
        <f>AP30-Settings!$AA$7</f>
        <v>-33.554545454545433</v>
      </c>
      <c r="AR30" s="129" t="str">
        <f>IF(ISERROR(VLOOKUP(AM30,ESPNData!$CS:$CX,6,0)),"",IF((VLOOKUP(AM30,ESPNData!$CS:$CX,6,0)="--"),"",VLOOKUP(AM30,ESPNData!$CS:$CX,6,0)))</f>
        <v/>
      </c>
      <c r="AS30" s="75" t="str">
        <f>IF(ISERROR(VLOOKUP(AM30,ESPNData!$CZ:$DE,6,0)),"",IF((VLOOKUP(AM30,ESPNData!$CZ:$DE,6,0)="--"),"",VLOOKUP(AM30,ESPNData!$CZ:$DE,6,0)))</f>
        <v/>
      </c>
      <c r="AT30" s="69" t="str">
        <f>IF(ISERROR((VLOOKUP(AM30,Taken!$N:$O,2,0)-AR30)),"",(VLOOKUP(AM30,Taken!$N:$O,2,0)-AR30))</f>
        <v/>
      </c>
      <c r="AU30" s="69">
        <v>1</v>
      </c>
      <c r="AV30" s="43" t="str">
        <f>IF(ISERROR((VLOOKUP(AM30,Taken!$N:$O,2,0)-AU30)),"",(VLOOKUP(AM30,Taken!$N:$O,2,0)-AU30))</f>
        <v/>
      </c>
      <c r="AW30" s="155"/>
    </row>
    <row r="31" spans="1:49" ht="12.75" customHeight="1">
      <c r="A31" s="60">
        <f t="shared" si="0"/>
        <v>29</v>
      </c>
      <c r="B31" s="75" t="str">
        <f>IF(ISERROR(VLOOKUP(C31,Taken!$B:$B,1,0)),"",IF(ISERROR(VLOOKUP(C31,'Draft Board'!$AS:$AS,1,0)),"X","Y"))</f>
        <v/>
      </c>
      <c r="C31" s="75" t="str">
        <f>VLOOKUP(A31,QB!AC:AD,2,0)</f>
        <v>Matt Schaub</v>
      </c>
      <c r="D31" s="72" t="str">
        <f>VLOOKUP(C31,QB!$B:$C,2,0)</f>
        <v>OAK</v>
      </c>
      <c r="E31" s="72">
        <f>IF((D31="FA"),"N/A",VLOOKUP(D31,Settings!$M$2:$N$33,2,0))</f>
        <v>5</v>
      </c>
      <c r="F31" s="153">
        <f>VLOOKUP(C31,QB!$B:$AB,27,0)</f>
        <v>199.8</v>
      </c>
      <c r="G31" s="65">
        <f>F31-Settings!$AA$3</f>
        <v>-138.31818181818176</v>
      </c>
      <c r="H31" s="129" t="str">
        <f>IF(ISERROR(VLOOKUP(C31,ESPNData!$CS:$CX,6,0)),"",IF((VLOOKUP(C31,ESPNData!$CS:$CX,6,0)="--"),"",VLOOKUP(C31,ESPNData!$CS:$CX,6,0)))</f>
        <v/>
      </c>
      <c r="I31" s="75" t="str">
        <f>IF(ISERROR(VLOOKUP(C31,ESPNData!$CZ:$DE,6,0)),"",IF((VLOOKUP(C31,ESPNData!$CZ:$DE,6,0)="--"),"",VLOOKUP(C31,ESPNData!$CZ:$DE,6,0)))</f>
        <v/>
      </c>
      <c r="J31" s="69" t="str">
        <f>IF(ISERROR((VLOOKUP(C31,Taken!$B:$C,2,0)-H31)),"",(VLOOKUP(C31,Taken!$B:$C,2,0)-H31))</f>
        <v/>
      </c>
      <c r="K31" s="69">
        <f>MIN(K29,MAX(1,ROUND(((((G31-G$39)+Settings!$R$3)/(SUM(G31:G$39)-((G$39-Settings!$R$3)*((37+1)-A31))))*(Settings!$X$3-SUM(K$25:K30))),0)))</f>
        <v>6</v>
      </c>
      <c r="L31" s="43" t="str">
        <f>IF(ISERROR((VLOOKUP(C31,Taken!$B:$C,2,0)-K31)),"",(VLOOKUP(C31,Taken!$B:$C,2,0)-K31))</f>
        <v/>
      </c>
      <c r="M31" s="163">
        <f t="shared" si="1"/>
        <v>29</v>
      </c>
      <c r="N31" s="75" t="str">
        <f>IF(ISERROR(VLOOKUP(O31,Taken!$E:$E,1,0)),"",IF(ISERROR(VLOOKUP(O31,'Draft Board'!$AS:$AS,1,0)),"X","Y"))</f>
        <v/>
      </c>
      <c r="O31" s="75" t="str">
        <f>VLOOKUP(M31,RB!Z:AA,2,0)</f>
        <v>Pierre Thomas</v>
      </c>
      <c r="P31" s="75" t="str">
        <f>VLOOKUP(O31,RB!$B:$C,2,0)</f>
        <v>NO</v>
      </c>
      <c r="Q31" s="72">
        <f>IF((P31="FA"),"N/A",VLOOKUP(P31,Settings!$M$2:$N$33,2,0))</f>
        <v>6</v>
      </c>
      <c r="R31" s="153">
        <f>VLOOKUP(O31,RB!$B:$Y,24,0)</f>
        <v>166.9</v>
      </c>
      <c r="S31" s="65">
        <f>R31-Settings!$AA$4</f>
        <v>-38.293939393939354</v>
      </c>
      <c r="T31" s="129">
        <f>IF(ISERROR(VLOOKUP(O31,ESPNData!$CS:$CX,6,0)),"",IF((VLOOKUP(O31,ESPNData!$CS:$CX,6,0)="--"),"",VLOOKUP(O31,ESPNData!$CS:$CX,6,0)))</f>
        <v>5</v>
      </c>
      <c r="U31" s="75">
        <f>IF(ISERROR(VLOOKUP(O31,ESPNData!$CZ:$DE,6,0)),"",IF((VLOOKUP(O31,ESPNData!$CZ:$DE,6,0)="--"),"",VLOOKUP(O31,ESPNData!$CZ:$DE,6,0)))</f>
        <v>4</v>
      </c>
      <c r="V31" s="69" t="str">
        <f>IF(ISERROR((VLOOKUP(O31,Taken!$E:$F,2,0)-T31)),"",(VLOOKUP(O31,Taken!$E:$F,2,0)-T31))</f>
        <v/>
      </c>
      <c r="W31" s="69">
        <f>MAX(1,ROUND(((((S31-S$35)+Settings!$Q$4)/(SUM(S31:S$35)-((S$35-Settings!$Q$4)*((33+1)-M31))))*(Settings!$V$4-SUM(W$3:W30))),0))</f>
        <v>9</v>
      </c>
      <c r="X31" s="43" t="str">
        <f>IF(ISERROR((VLOOKUP(O31,Taken!$E:$F,2,0)-W31)),"",(VLOOKUP(O31,Taken!$E:$F,2,0)-W31))</f>
        <v/>
      </c>
      <c r="Y31" s="163">
        <f t="shared" si="2"/>
        <v>29</v>
      </c>
      <c r="Z31" s="75" t="str">
        <f>IF(ISERROR(VLOOKUP(AA31,Taken!$H:$H,1,0)),"",IF(ISERROR(VLOOKUP(AA31,'Draft Board'!$AS:$AS,1,0)),"X","Y"))</f>
        <v/>
      </c>
      <c r="AA31" s="75" t="str">
        <f>VLOOKUP(Y31,WR!X:Y,2,0)</f>
        <v>Mike Wallace</v>
      </c>
      <c r="AB31" s="75" t="str">
        <f>VLOOKUP(AA31,WR!$B:$C,2,0)</f>
        <v>MIA</v>
      </c>
      <c r="AC31" s="72">
        <f>IF((AB31="FA"),"N/A",VLOOKUP(AB31,Settings!$M$2:$N$33,2,0))</f>
        <v>5</v>
      </c>
      <c r="AD31" s="153">
        <f>VLOOKUP(AA31,WR!$B:$W,22,0)</f>
        <v>172</v>
      </c>
      <c r="AE31" s="65">
        <f>AD31-Settings!$AA$5</f>
        <v>-29.039393939393904</v>
      </c>
      <c r="AF31" s="129">
        <f>IF(ISERROR(VLOOKUP(AA31,ESPNData!$CS:$CX,6,0)),"",IF((VLOOKUP(AA31,ESPNData!$CS:$CX,6,0)="--"),"",VLOOKUP(AA31,ESPNData!$CS:$CX,6,0)))</f>
        <v>4</v>
      </c>
      <c r="AG31" s="75">
        <f>IF(ISERROR(VLOOKUP(AA31,ESPNData!$CZ:$DE,6,0)),"",IF((VLOOKUP(AA31,ESPNData!$CZ:$DE,6,0)="--"),"",VLOOKUP(AA31,ESPNData!$CZ:$DE,6,0)))</f>
        <v>4</v>
      </c>
      <c r="AH31" s="69" t="str">
        <f>IF(ISERROR((VLOOKUP(AA31,Taken!$H:$I,2,0)-AF31)),"",(VLOOKUP(AA31,Taken!$H:$I,2,0)-AF31))</f>
        <v/>
      </c>
      <c r="AI31" s="69">
        <f>ROUND(((((AE31-AE$35)+Settings!$Q$5)/(SUM(AE31:AE$35)-((AE$35-Settings!$Q$5)*((33+1)-Y31))))*(Settings!$V$5-SUM(AI$3:AI30))),0)</f>
        <v>10</v>
      </c>
      <c r="AJ31" s="43" t="str">
        <f>IF(ISERROR((VLOOKUP(AA31,Taken!$H:$I,2,0)-AI31)),"",(VLOOKUP(AA31,Taken!$H:$I,2,0)-AI31))</f>
        <v/>
      </c>
      <c r="AK31" s="114">
        <f t="shared" si="3"/>
        <v>29</v>
      </c>
      <c r="AL31" s="75" t="str">
        <f>IF(ISERROR(VLOOKUP(AM31,Taken!$N:$N,1,0)),"",IF(ISERROR(VLOOKUP(AM31,'Draft Board'!$AS:$AS,1,0)),"X","Y"))</f>
        <v/>
      </c>
      <c r="AM31" s="75" t="str">
        <f>VLOOKUP(AK31,K!Q:R,2,0)</f>
        <v>Maikon Bonani</v>
      </c>
      <c r="AN31" s="75" t="str">
        <f>VLOOKUP(AM31,K!$B:$C,2,0)</f>
        <v>TEN</v>
      </c>
      <c r="AO31" s="72">
        <f>IF((AN31="FA"),"N/A",VLOOKUP(AN31,Settings!$M$2:$N$33,2,0))</f>
        <v>9</v>
      </c>
      <c r="AP31" s="153">
        <f>VLOOKUP(AM31,K!$B:$P,15,0)</f>
        <v>96</v>
      </c>
      <c r="AQ31" s="65">
        <f>AP31-Settings!$AA$7</f>
        <v>-41.554545454545433</v>
      </c>
      <c r="AR31" s="129" t="str">
        <f>IF(ISERROR(VLOOKUP(AM31,ESPNData!$CS:$CX,6,0)),"",IF((VLOOKUP(AM31,ESPNData!$CS:$CX,6,0)="--"),"",VLOOKUP(AM31,ESPNData!$CS:$CX,6,0)))</f>
        <v/>
      </c>
      <c r="AS31" s="75" t="str">
        <f>IF(ISERROR(VLOOKUP(AM31,ESPNData!$CZ:$DE,6,0)),"",IF((VLOOKUP(AM31,ESPNData!$CZ:$DE,6,0)="--"),"",VLOOKUP(AM31,ESPNData!$CZ:$DE,6,0)))</f>
        <v/>
      </c>
      <c r="AT31" s="69" t="str">
        <f>IF(ISERROR((VLOOKUP(AM31,Taken!$N:$O,2,0)-AR31)),"",(VLOOKUP(AM31,Taken!$N:$O,2,0)-AR31))</f>
        <v/>
      </c>
      <c r="AU31" s="69">
        <v>1</v>
      </c>
      <c r="AV31" s="43" t="str">
        <f>IF(ISERROR((VLOOKUP(AM31,Taken!$N:$O,2,0)-AU31)),"",(VLOOKUP(AM31,Taken!$N:$O,2,0)-AU31))</f>
        <v/>
      </c>
      <c r="AW31" s="155"/>
    </row>
    <row r="32" spans="1:49" ht="12.75" customHeight="1">
      <c r="A32" s="60">
        <f t="shared" si="0"/>
        <v>30</v>
      </c>
      <c r="B32" s="75" t="str">
        <f>IF(ISERROR(VLOOKUP(C32,Taken!$B:$B,1,0)),"",IF(ISERROR(VLOOKUP(C32,'Draft Board'!$AS:$AS,1,0)),"X","Y"))</f>
        <v/>
      </c>
      <c r="C32" s="75" t="str">
        <f>VLOOKUP(A32,QB!AC:AD,2,0)</f>
        <v>Ryan Fitzpatrick</v>
      </c>
      <c r="D32" s="72" t="str">
        <f>VLOOKUP(C32,QB!$B:$C,2,0)</f>
        <v>HOU</v>
      </c>
      <c r="E32" s="72">
        <f>IF((D32="FA"),"N/A",VLOOKUP(D32,Settings!$M$2:$N$33,2,0))</f>
        <v>10</v>
      </c>
      <c r="F32" s="153">
        <f>VLOOKUP(C32,QB!$B:$AB,27,0)</f>
        <v>187.9</v>
      </c>
      <c r="G32" s="65">
        <f>F32-Settings!$AA$3</f>
        <v>-150.21818181818176</v>
      </c>
      <c r="H32" s="129" t="str">
        <f>IF(ISERROR(VLOOKUP(C32,ESPNData!$CS:$CX,6,0)),"",IF((VLOOKUP(C32,ESPNData!$CS:$CX,6,0)="--"),"",VLOOKUP(C32,ESPNData!$CS:$CX,6,0)))</f>
        <v/>
      </c>
      <c r="I32" s="75" t="str">
        <f>IF(ISERROR(VLOOKUP(C32,ESPNData!$CZ:$DE,6,0)),"",IF((VLOOKUP(C32,ESPNData!$CZ:$DE,6,0)="--"),"",VLOOKUP(C32,ESPNData!$CZ:$DE,6,0)))</f>
        <v/>
      </c>
      <c r="J32" s="69" t="str">
        <f>IF(ISERROR((VLOOKUP(C32,Taken!$B:$C,2,0)-H32)),"",(VLOOKUP(C32,Taken!$B:$C,2,0)-H32))</f>
        <v/>
      </c>
      <c r="K32" s="69">
        <f>MIN(K30,MAX(1,ROUND(((((G32-G$39)+Settings!$R$3)/(SUM(G32:G$39)-((G$39-Settings!$R$3)*((37+1)-A32))))*(Settings!$X$3-SUM(K$25:K31))),0)))</f>
        <v>6</v>
      </c>
      <c r="L32" s="43" t="str">
        <f>IF(ISERROR((VLOOKUP(C32,Taken!$B:$C,2,0)-K32)),"",(VLOOKUP(C32,Taken!$B:$C,2,0)-K32))</f>
        <v/>
      </c>
      <c r="M32" s="163">
        <f t="shared" si="1"/>
        <v>30</v>
      </c>
      <c r="N32" s="75" t="str">
        <f>IF(ISERROR(VLOOKUP(O32,Taken!$E:$E,1,0)),"",IF(ISERROR(VLOOKUP(O32,'Draft Board'!$AS:$AS,1,0)),"X","Y"))</f>
        <v/>
      </c>
      <c r="O32" s="75" t="str">
        <f>VLOOKUP(M32,RB!Z:AA,2,0)</f>
        <v>Stevan Ridley</v>
      </c>
      <c r="P32" s="75" t="str">
        <f>VLOOKUP(O32,RB!$B:$C,2,0)</f>
        <v>NE</v>
      </c>
      <c r="Q32" s="72">
        <f>IF((P32="FA"),"N/A",VLOOKUP(P32,Settings!$M$2:$N$33,2,0))</f>
        <v>10</v>
      </c>
      <c r="R32" s="153">
        <f>VLOOKUP(O32,RB!$B:$Y,24,0)</f>
        <v>156.5</v>
      </c>
      <c r="S32" s="65">
        <f>R32-Settings!$AA$4</f>
        <v>-48.69393939393936</v>
      </c>
      <c r="T32" s="129">
        <f>IF(ISERROR(VLOOKUP(O32,ESPNData!$CS:$CX,6,0)),"",IF((VLOOKUP(O32,ESPNData!$CS:$CX,6,0)="--"),"",VLOOKUP(O32,ESPNData!$CS:$CX,6,0)))</f>
        <v>7</v>
      </c>
      <c r="U32" s="75">
        <f>IF(ISERROR(VLOOKUP(O32,ESPNData!$CZ:$DE,6,0)),"",IF((VLOOKUP(O32,ESPNData!$CZ:$DE,6,0)="--"),"",VLOOKUP(O32,ESPNData!$CZ:$DE,6,0)))</f>
        <v>4</v>
      </c>
      <c r="V32" s="69" t="str">
        <f>IF(ISERROR((VLOOKUP(O32,Taken!$E:$F,2,0)-T32)),"",(VLOOKUP(O32,Taken!$E:$F,2,0)-T32))</f>
        <v/>
      </c>
      <c r="W32" s="69">
        <f>MAX(1,ROUND(((((S32-S$35)+Settings!$Q$4)/(SUM(S32:S$35)-((S$35-Settings!$Q$4)*((33+1)-M32))))*(Settings!$V$4-SUM(W$3:W31))),0))</f>
        <v>6</v>
      </c>
      <c r="X32" s="43" t="str">
        <f>IF(ISERROR((VLOOKUP(O32,Taken!$E:$F,2,0)-W32)),"",(VLOOKUP(O32,Taken!$E:$F,2,0)-W32))</f>
        <v/>
      </c>
      <c r="Y32" s="163">
        <f t="shared" si="2"/>
        <v>30</v>
      </c>
      <c r="Z32" s="75" t="str">
        <f>IF(ISERROR(VLOOKUP(AA32,Taken!$H:$H,1,0)),"",IF(ISERROR(VLOOKUP(AA32,'Draft Board'!$AS:$AS,1,0)),"X","Y"))</f>
        <v/>
      </c>
      <c r="AA32" s="75" t="str">
        <f>VLOOKUP(Y32,WR!X:Y,2,0)</f>
        <v>DeSean Jackson</v>
      </c>
      <c r="AB32" s="75" t="str">
        <f>VLOOKUP(AA32,WR!$B:$C,2,0)</f>
        <v>WSH</v>
      </c>
      <c r="AC32" s="72">
        <f>IF((AB32="FA"),"N/A",VLOOKUP(AB32,Settings!$M$2:$N$33,2,0))</f>
        <v>10</v>
      </c>
      <c r="AD32" s="153">
        <f>VLOOKUP(AA32,WR!$B:$W,22,0)</f>
        <v>171.2</v>
      </c>
      <c r="AE32" s="65">
        <f>AD32-Settings!$AA$5</f>
        <v>-29.839393939393915</v>
      </c>
      <c r="AF32" s="129">
        <f>IF(ISERROR(VLOOKUP(AA32,ESPNData!$CS:$CX,6,0)),"",IF((VLOOKUP(AA32,ESPNData!$CS:$CX,6,0)="--"),"",VLOOKUP(AA32,ESPNData!$CS:$CX,6,0)))</f>
        <v>17</v>
      </c>
      <c r="AG32" s="75">
        <f>IF(ISERROR(VLOOKUP(AA32,ESPNData!$CZ:$DE,6,0)),"",IF((VLOOKUP(AA32,ESPNData!$CZ:$DE,6,0)="--"),"",VLOOKUP(AA32,ESPNData!$CZ:$DE,6,0)))</f>
        <v>12</v>
      </c>
      <c r="AH32" s="69" t="str">
        <f>IF(ISERROR((VLOOKUP(AA32,Taken!$H:$I,2,0)-AF32)),"",(VLOOKUP(AA32,Taken!$H:$I,2,0)-AF32))</f>
        <v/>
      </c>
      <c r="AI32" s="69">
        <f>ROUND(((((AE32-AE$35)+Settings!$Q$5)/(SUM(AE32:AE$35)-((AE$35-Settings!$Q$5)*((33+1)-Y32))))*(Settings!$V$5-SUM(AI$3:AI31))),0)</f>
        <v>10</v>
      </c>
      <c r="AJ32" s="43" t="str">
        <f>IF(ISERROR((VLOOKUP(AA32,Taken!$H:$I,2,0)-AI32)),"",(VLOOKUP(AA32,Taken!$H:$I,2,0)-AI32))</f>
        <v/>
      </c>
      <c r="AK32" s="154">
        <f t="shared" si="3"/>
        <v>30</v>
      </c>
      <c r="AL32" s="173" t="str">
        <f>IF(ISERROR(VLOOKUP(AM32,Taken!$N:$N,1,0)),"",IF(ISERROR(VLOOKUP(AM32,'Draft Board'!$AS:$AS,1,0)),"X","Y"))</f>
        <v/>
      </c>
      <c r="AM32" s="75" t="str">
        <f>VLOOKUP(AK32,K!Q:R,2,0)</f>
        <v>Billy Cundiff</v>
      </c>
      <c r="AN32" s="173" t="str">
        <f>VLOOKUP(AM32,K!$B:$C,2,0)</f>
        <v>CLE</v>
      </c>
      <c r="AO32" s="50">
        <f>IF((AN32="FA"),"N/A",VLOOKUP(AN32,Settings!$M$2:$N$33,2,0))</f>
        <v>4</v>
      </c>
      <c r="AP32" s="30">
        <f>VLOOKUP(AM32,K!$B:$P,15,0)</f>
        <v>95.1</v>
      </c>
      <c r="AQ32" s="152">
        <f>AP32-Settings!$AA$7</f>
        <v>-42.454545454545439</v>
      </c>
      <c r="AR32" s="201" t="str">
        <f>IF(ISERROR(VLOOKUP(AM32,ESPNData!$CS:$CX,6,0)),"",IF((VLOOKUP(AM32,ESPNData!$CS:$CX,6,0)="--"),"",VLOOKUP(AM32,ESPNData!$CS:$CX,6,0)))</f>
        <v/>
      </c>
      <c r="AS32" s="173" t="str">
        <f>IF(ISERROR(VLOOKUP(AM32,ESPNData!$CZ:$DE,6,0)),"",IF((VLOOKUP(AM32,ESPNData!$CZ:$DE,6,0)="--"),"",VLOOKUP(AM32,ESPNData!$CZ:$DE,6,0)))</f>
        <v/>
      </c>
      <c r="AT32" s="157" t="str">
        <f>IF(ISERROR((VLOOKUP(AM32,Taken!$N:$O,2,0)-AR32)),"",(VLOOKUP(AM32,Taken!$N:$O,2,0)-AR32))</f>
        <v/>
      </c>
      <c r="AU32" s="157">
        <v>1</v>
      </c>
      <c r="AV32" s="149" t="str">
        <f>IF(ISERROR((VLOOKUP(AM32,Taken!$N:$O,2,0)-AU32)),"",(VLOOKUP(AM32,Taken!$N:$O,2,0)-AU32))</f>
        <v/>
      </c>
      <c r="AW32" s="155"/>
    </row>
    <row r="33" spans="1:49" ht="12.75" customHeight="1">
      <c r="A33" s="60">
        <f t="shared" si="0"/>
        <v>31</v>
      </c>
      <c r="B33" s="75" t="str">
        <f>IF(ISERROR(VLOOKUP(C33,Taken!$B:$B,1,0)),"",IF(ISERROR(VLOOKUP(C33,'Draft Board'!$AS:$AS,1,0)),"X","Y"))</f>
        <v/>
      </c>
      <c r="C33" s="75" t="str">
        <f>VLOOKUP(A33,QB!AC:AD,2,0)</f>
        <v>Teddy Bridgewater</v>
      </c>
      <c r="D33" s="72" t="str">
        <f>VLOOKUP(C33,QB!$B:$C,2,0)</f>
        <v>MIN</v>
      </c>
      <c r="E33" s="72">
        <f>IF((D33="FA"),"N/A",VLOOKUP(D33,Settings!$M$2:$N$33,2,0))</f>
        <v>10</v>
      </c>
      <c r="F33" s="153">
        <f>VLOOKUP(C33,QB!$B:$AB,27,0)</f>
        <v>156.1</v>
      </c>
      <c r="G33" s="65">
        <f>F33-Settings!$AA$3</f>
        <v>-182.01818181818177</v>
      </c>
      <c r="H33" s="129" t="str">
        <f>IF(ISERROR(VLOOKUP(C33,ESPNData!$CS:$CX,6,0)),"",IF((VLOOKUP(C33,ESPNData!$CS:$CX,6,0)="--"),"",VLOOKUP(C33,ESPNData!$CS:$CX,6,0)))</f>
        <v/>
      </c>
      <c r="I33" s="75" t="str">
        <f>IF(ISERROR(VLOOKUP(C33,ESPNData!$CZ:$DE,6,0)),"",IF((VLOOKUP(C33,ESPNData!$CZ:$DE,6,0)="--"),"",VLOOKUP(C33,ESPNData!$CZ:$DE,6,0)))</f>
        <v/>
      </c>
      <c r="J33" s="69" t="str">
        <f>IF(ISERROR((VLOOKUP(C33,Taken!$B:$C,2,0)-H33)),"",(VLOOKUP(C33,Taken!$B:$C,2,0)-H33))</f>
        <v/>
      </c>
      <c r="K33" s="69">
        <f>MIN(K31,MAX(1,ROUND(((((G33-G$39)+Settings!$R$3)/(SUM(G33:G$39)-((G$39-Settings!$R$3)*((37+1)-A33))))*(Settings!$X$3-SUM(K$25:K32))),0)))</f>
        <v>6</v>
      </c>
      <c r="L33" s="43" t="str">
        <f>IF(ISERROR((VLOOKUP(C33,Taken!$B:$C,2,0)-K33)),"",(VLOOKUP(C33,Taken!$B:$C,2,0)-K33))</f>
        <v/>
      </c>
      <c r="M33" s="163">
        <f t="shared" si="1"/>
        <v>31</v>
      </c>
      <c r="N33" s="75" t="str">
        <f>IF(ISERROR(VLOOKUP(O33,Taken!$E:$E,1,0)),"",IF(ISERROR(VLOOKUP(O33,'Draft Board'!$AS:$AS,1,0)),"X","Y"))</f>
        <v/>
      </c>
      <c r="O33" s="75" t="str">
        <f>VLOOKUP(M33,RB!Z:AA,2,0)</f>
        <v>Danny Woodhead</v>
      </c>
      <c r="P33" s="75" t="str">
        <f>VLOOKUP(O33,RB!$B:$C,2,0)</f>
        <v>SD</v>
      </c>
      <c r="Q33" s="72">
        <f>IF((P33="FA"),"N/A",VLOOKUP(P33,Settings!$M$2:$N$33,2,0))</f>
        <v>10</v>
      </c>
      <c r="R33" s="153">
        <f>VLOOKUP(O33,RB!$B:$Y,24,0)</f>
        <v>156.19999999999999</v>
      </c>
      <c r="S33" s="65">
        <f>R33-Settings!$AA$4</f>
        <v>-48.993939393939371</v>
      </c>
      <c r="T33" s="129">
        <f>IF(ISERROR(VLOOKUP(O33,ESPNData!$CS:$CX,6,0)),"",IF((VLOOKUP(O33,ESPNData!$CS:$CX,6,0)="--"),"",VLOOKUP(O33,ESPNData!$CS:$CX,6,0)))</f>
        <v>3</v>
      </c>
      <c r="U33" s="75">
        <f>IF(ISERROR(VLOOKUP(O33,ESPNData!$CZ:$DE,6,0)),"",IF((VLOOKUP(O33,ESPNData!$CZ:$DE,6,0)="--"),"",VLOOKUP(O33,ESPNData!$CZ:$DE,6,0)))</f>
        <v>3</v>
      </c>
      <c r="V33" s="69" t="str">
        <f>IF(ISERROR((VLOOKUP(O33,Taken!$E:$F,2,0)-T33)),"",(VLOOKUP(O33,Taken!$E:$F,2,0)-T33))</f>
        <v/>
      </c>
      <c r="W33" s="69">
        <f>MAX(1,ROUND(((((S33-S$35)+Settings!$Q$4)/(SUM(S33:S$35)-((S$35-Settings!$Q$4)*((33+1)-M33))))*(Settings!$V$4-SUM(W$3:W32))),0))</f>
        <v>6</v>
      </c>
      <c r="X33" s="43" t="str">
        <f>IF(ISERROR((VLOOKUP(O33,Taken!$E:$F,2,0)-W33)),"",(VLOOKUP(O33,Taken!$E:$F,2,0)-W33))</f>
        <v/>
      </c>
      <c r="Y33" s="163">
        <f t="shared" si="2"/>
        <v>31</v>
      </c>
      <c r="Z33" s="75" t="str">
        <f>IF(ISERROR(VLOOKUP(AA33,Taken!$H:$H,1,0)),"",IF(ISERROR(VLOOKUP(AA33,'Draft Board'!$AS:$AS,1,0)),"X","Y"))</f>
        <v/>
      </c>
      <c r="AA33" s="75" t="str">
        <f>VLOOKUP(Y33,WR!X:Y,2,0)</f>
        <v>Emmanuel Sanders</v>
      </c>
      <c r="AB33" s="75" t="str">
        <f>VLOOKUP(AA33,WR!$B:$C,2,0)</f>
        <v>DEN</v>
      </c>
      <c r="AC33" s="72">
        <f>IF((AB33="FA"),"N/A",VLOOKUP(AB33,Settings!$M$2:$N$33,2,0))</f>
        <v>4</v>
      </c>
      <c r="AD33" s="153">
        <f>VLOOKUP(AA33,WR!$B:$W,22,0)</f>
        <v>167</v>
      </c>
      <c r="AE33" s="65">
        <f>AD33-Settings!$AA$5</f>
        <v>-34.039393939393904</v>
      </c>
      <c r="AF33" s="129">
        <f>IF(ISERROR(VLOOKUP(AA33,ESPNData!$CS:$CX,6,0)),"",IF((VLOOKUP(AA33,ESPNData!$CS:$CX,6,0)="--"),"",VLOOKUP(AA33,ESPNData!$CS:$CX,6,0)))</f>
        <v>6</v>
      </c>
      <c r="AG33" s="75">
        <f>IF(ISERROR(VLOOKUP(AA33,ESPNData!$CZ:$DE,6,0)),"",IF((VLOOKUP(AA33,ESPNData!$CZ:$DE,6,0)="--"),"",VLOOKUP(AA33,ESPNData!$CZ:$DE,6,0)))</f>
        <v>5</v>
      </c>
      <c r="AH33" s="69" t="str">
        <f>IF(ISERROR((VLOOKUP(AA33,Taken!$H:$I,2,0)-AF33)),"",(VLOOKUP(AA33,Taken!$H:$I,2,0)-AF33))</f>
        <v/>
      </c>
      <c r="AI33" s="69">
        <f>ROUND(((((AE33-AE$35)+Settings!$Q$5)/(SUM(AE33:AE$35)-((AE$35-Settings!$Q$5)*((33+1)-Y33))))*(Settings!$V$5-SUM(AI$3:AI32))),0)</f>
        <v>8</v>
      </c>
      <c r="AJ33" s="43" t="str">
        <f>IF(ISERROR((VLOOKUP(AA33,Taken!$H:$I,2,0)-AI33)),"",(VLOOKUP(AA33,Taken!$H:$I,2,0)-AI33))</f>
        <v/>
      </c>
      <c r="AK33" s="102" t="s">
        <v>15</v>
      </c>
      <c r="AL33" s="162"/>
      <c r="AM33" s="125"/>
      <c r="AN33" s="162"/>
      <c r="AO33" s="162"/>
      <c r="AP33" s="162"/>
      <c r="AQ33" s="137"/>
      <c r="AR33" s="213" t="s">
        <v>1</v>
      </c>
      <c r="AS33" s="213"/>
      <c r="AT33" s="137"/>
      <c r="AU33" s="162"/>
      <c r="AV33" s="18"/>
      <c r="AW33" s="155"/>
    </row>
    <row r="34" spans="1:49" ht="12.75" customHeight="1">
      <c r="A34" s="60">
        <f t="shared" si="0"/>
        <v>32</v>
      </c>
      <c r="B34" s="75" t="str">
        <f>IF(ISERROR(VLOOKUP(C34,Taken!$B:$B,1,0)),"",IF(ISERROR(VLOOKUP(C34,'Draft Board'!$AS:$AS,1,0)),"X","Y"))</f>
        <v/>
      </c>
      <c r="C34" s="75" t="str">
        <f>VLOOKUP(A34,QB!AC:AD,2,0)</f>
        <v>Chad Henne</v>
      </c>
      <c r="D34" s="72" t="str">
        <f>VLOOKUP(C34,QB!$B:$C,2,0)</f>
        <v>JAC</v>
      </c>
      <c r="E34" s="72">
        <f>IF((D34="FA"),"N/A",VLOOKUP(D34,Settings!$M$2:$N$33,2,0))</f>
        <v>11</v>
      </c>
      <c r="F34" s="153">
        <f>VLOOKUP(C34,QB!$B:$AB,27,0)</f>
        <v>151.9</v>
      </c>
      <c r="G34" s="65">
        <f>F34-Settings!$AA$3</f>
        <v>-186.21818181818176</v>
      </c>
      <c r="H34" s="129" t="str">
        <f>IF(ISERROR(VLOOKUP(C34,ESPNData!$CS:$CX,6,0)),"",IF((VLOOKUP(C34,ESPNData!$CS:$CX,6,0)="--"),"",VLOOKUP(C34,ESPNData!$CS:$CX,6,0)))</f>
        <v/>
      </c>
      <c r="I34" s="75" t="str">
        <f>IF(ISERROR(VLOOKUP(C34,ESPNData!$CZ:$DE,6,0)),"",IF((VLOOKUP(C34,ESPNData!$CZ:$DE,6,0)="--"),"",VLOOKUP(C34,ESPNData!$CZ:$DE,6,0)))</f>
        <v/>
      </c>
      <c r="J34" s="69" t="str">
        <f>IF(ISERROR((VLOOKUP(C34,Taken!$B:$C,2,0)-H34)),"",(VLOOKUP(C34,Taken!$B:$C,2,0)-H34))</f>
        <v/>
      </c>
      <c r="K34" s="69">
        <f>MIN(K32,MAX(1,ROUND(((((G34-G$39)+Settings!$R$3)/(SUM(G34:G$39)-((G$39-Settings!$R$3)*((37+1)-A34))))*(Settings!$X$3-SUM(K$25:K33))),0)))</f>
        <v>6</v>
      </c>
      <c r="L34" s="43" t="str">
        <f>IF(ISERROR((VLOOKUP(C34,Taken!$B:$C,2,0)-K34)),"",(VLOOKUP(C34,Taken!$B:$C,2,0)-K34))</f>
        <v/>
      </c>
      <c r="M34" s="163">
        <f t="shared" si="1"/>
        <v>32</v>
      </c>
      <c r="N34" s="75" t="str">
        <f>IF(ISERROR(VLOOKUP(O34,Taken!$E:$E,1,0)),"",IF(ISERROR(VLOOKUP(O34,'Draft Board'!$AS:$AS,1,0)),"X","Y"))</f>
        <v/>
      </c>
      <c r="O34" s="75" t="str">
        <f>VLOOKUP(M34,RB!Z:AA,2,0)</f>
        <v>Maurice Jones-Drew</v>
      </c>
      <c r="P34" s="75" t="str">
        <f>VLOOKUP(O34,RB!$B:$C,2,0)</f>
        <v>OAK</v>
      </c>
      <c r="Q34" s="72">
        <f>IF((P34="FA"),"N/A",VLOOKUP(P34,Settings!$M$2:$N$33,2,0))</f>
        <v>5</v>
      </c>
      <c r="R34" s="153">
        <f>VLOOKUP(O34,RB!$B:$Y,24,0)</f>
        <v>154.1</v>
      </c>
      <c r="S34" s="65">
        <f>R34-Settings!$AA$4</f>
        <v>-51.093939393939365</v>
      </c>
      <c r="T34" s="129">
        <f>IF(ISERROR(VLOOKUP(O34,ESPNData!$CS:$CX,6,0)),"",IF((VLOOKUP(O34,ESPNData!$CS:$CX,6,0)="--"),"",VLOOKUP(O34,ESPNData!$CS:$CX,6,0)))</f>
        <v>4</v>
      </c>
      <c r="U34" s="75">
        <f>IF(ISERROR(VLOOKUP(O34,ESPNData!$CZ:$DE,6,0)),"",IF((VLOOKUP(O34,ESPNData!$CZ:$DE,6,0)="--"),"",VLOOKUP(O34,ESPNData!$CZ:$DE,6,0)))</f>
        <v>2</v>
      </c>
      <c r="V34" s="69" t="str">
        <f>IF(ISERROR((VLOOKUP(O34,Taken!$E:$F,2,0)-T34)),"",(VLOOKUP(O34,Taken!$E:$F,2,0)-T34))</f>
        <v/>
      </c>
      <c r="W34" s="69">
        <f>MAX(1,ROUND(((((S34-S$35)+Settings!$Q$4)/(SUM(S34:S$35)-((S$35-Settings!$Q$4)*((33+1)-M34))))*(Settings!$V$4-SUM(W$3:W33))),0))</f>
        <v>6</v>
      </c>
      <c r="X34" s="43" t="str">
        <f>IF(ISERROR((VLOOKUP(O34,Taken!$E:$F,2,0)-W34)),"",(VLOOKUP(O34,Taken!$E:$F,2,0)-W34))</f>
        <v/>
      </c>
      <c r="Y34" s="163">
        <f t="shared" si="2"/>
        <v>32</v>
      </c>
      <c r="Z34" s="75" t="str">
        <f>IF(ISERROR(VLOOKUP(AA34,Taken!$H:$H,1,0)),"",IF(ISERROR(VLOOKUP(AA34,'Draft Board'!$AS:$AS,1,0)),"X","Y"))</f>
        <v/>
      </c>
      <c r="AA34" s="75" t="str">
        <f>VLOOKUP(Y34,WR!X:Y,2,0)</f>
        <v>Golden Tate</v>
      </c>
      <c r="AB34" s="75" t="str">
        <f>VLOOKUP(AA34,WR!$B:$C,2,0)</f>
        <v>DET</v>
      </c>
      <c r="AC34" s="72">
        <f>IF((AB34="FA"),"N/A",VLOOKUP(AB34,Settings!$M$2:$N$33,2,0))</f>
        <v>9</v>
      </c>
      <c r="AD34" s="153">
        <f>VLOOKUP(AA34,WR!$B:$W,22,0)</f>
        <v>163.6</v>
      </c>
      <c r="AE34" s="65">
        <f>AD34-Settings!$AA$5</f>
        <v>-37.439393939393909</v>
      </c>
      <c r="AF34" s="129">
        <f>IF(ISERROR(VLOOKUP(AA34,ESPNData!$CS:$CX,6,0)),"",IF((VLOOKUP(AA34,ESPNData!$CS:$CX,6,0)="--"),"",VLOOKUP(AA34,ESPNData!$CS:$CX,6,0)))</f>
        <v>5</v>
      </c>
      <c r="AG34" s="75">
        <f>IF(ISERROR(VLOOKUP(AA34,ESPNData!$CZ:$DE,6,0)),"",IF((VLOOKUP(AA34,ESPNData!$CZ:$DE,6,0)="--"),"",VLOOKUP(AA34,ESPNData!$CZ:$DE,6,0)))</f>
        <v>8</v>
      </c>
      <c r="AH34" s="69" t="str">
        <f>IF(ISERROR((VLOOKUP(AA34,Taken!$H:$I,2,0)-AF34)),"",(VLOOKUP(AA34,Taken!$H:$I,2,0)-AF34))</f>
        <v/>
      </c>
      <c r="AI34" s="69">
        <f>ROUND(((((AE34-AE$35)+Settings!$Q$5)/(SUM(AE34:AE$35)-((AE$35-Settings!$Q$5)*((33+1)-Y34))))*(Settings!$V$5-SUM(AI$3:AI33))),0)</f>
        <v>7</v>
      </c>
      <c r="AJ34" s="43" t="str">
        <f>IF(ISERROR((VLOOKUP(AA34,Taken!$H:$I,2,0)-AI34)),"",(VLOOKUP(AA34,Taken!$H:$I,2,0)-AI34))</f>
        <v/>
      </c>
      <c r="AK34" s="49" t="s">
        <v>5</v>
      </c>
      <c r="AL34" s="36"/>
      <c r="AM34" s="36" t="s">
        <v>6</v>
      </c>
      <c r="AN34" s="36" t="s">
        <v>7</v>
      </c>
      <c r="AO34" s="36" t="s">
        <v>8</v>
      </c>
      <c r="AP34" s="36" t="s">
        <v>9</v>
      </c>
      <c r="AQ34" s="132"/>
      <c r="AR34" s="36" t="s">
        <v>11</v>
      </c>
      <c r="AS34" s="36" t="s">
        <v>12</v>
      </c>
      <c r="AT34" s="36" t="s">
        <v>13</v>
      </c>
      <c r="AU34" s="36" t="s">
        <v>14</v>
      </c>
      <c r="AV34" s="5" t="s">
        <v>13</v>
      </c>
      <c r="AW34" s="155"/>
    </row>
    <row r="35" spans="1:49" ht="12.75" customHeight="1">
      <c r="A35" s="60">
        <f t="shared" si="0"/>
        <v>33</v>
      </c>
      <c r="B35" s="75" t="str">
        <f>IF(ISERROR(VLOOKUP(C35,Taken!$B:$B,1,0)),"",IF(ISERROR(VLOOKUP(C35,'Draft Board'!$AS:$AS,1,0)),"X","Y"))</f>
        <v/>
      </c>
      <c r="C35" s="75" t="str">
        <f>VLOOKUP(A35,QB!AC:AD,2,0)</f>
        <v>Matt Cassel</v>
      </c>
      <c r="D35" s="72" t="str">
        <f>VLOOKUP(C35,QB!$B:$C,2,0)</f>
        <v>MIN</v>
      </c>
      <c r="E35" s="72">
        <f>IF((D35="FA"),"N/A",VLOOKUP(D35,Settings!$M$2:$N$33,2,0))</f>
        <v>10</v>
      </c>
      <c r="F35" s="153">
        <f>VLOOKUP(C35,QB!$B:$AB,27,0)</f>
        <v>114.3</v>
      </c>
      <c r="G35" s="65">
        <f>F35-Settings!$AA$3</f>
        <v>-223.81818181818176</v>
      </c>
      <c r="H35" s="129" t="str">
        <f>IF(ISERROR(VLOOKUP(C35,ESPNData!$CS:$CX,6,0)),"",IF((VLOOKUP(C35,ESPNData!$CS:$CX,6,0)="--"),"",VLOOKUP(C35,ESPNData!$CS:$CX,6,0)))</f>
        <v/>
      </c>
      <c r="I35" s="75" t="str">
        <f>IF(ISERROR(VLOOKUP(C35,ESPNData!$CZ:$DE,6,0)),"",IF((VLOOKUP(C35,ESPNData!$CZ:$DE,6,0)="--"),"",VLOOKUP(C35,ESPNData!$CZ:$DE,6,0)))</f>
        <v/>
      </c>
      <c r="J35" s="69" t="str">
        <f>IF(ISERROR((VLOOKUP(C35,Taken!$B:$C,2,0)-H35)),"",(VLOOKUP(C35,Taken!$B:$C,2,0)-H35))</f>
        <v/>
      </c>
      <c r="K35" s="69">
        <f>MIN(K33,MAX(1,ROUND(((((G35-G$39)+Settings!$R$3)/(SUM(G35:G$39)-((G$39-Settings!$R$3)*((37+1)-A35))))*(Settings!$X$3-SUM(K$25:K34))),0)))</f>
        <v>5</v>
      </c>
      <c r="L35" s="43" t="str">
        <f>IF(ISERROR((VLOOKUP(C35,Taken!$B:$C,2,0)-K35)),"",(VLOOKUP(C35,Taken!$B:$C,2,0)-K35))</f>
        <v/>
      </c>
      <c r="M35" s="163">
        <f t="shared" si="1"/>
        <v>33</v>
      </c>
      <c r="N35" s="75" t="str">
        <f>IF(ISERROR(VLOOKUP(O35,Taken!$E:$E,1,0)),"",IF(ISERROR(VLOOKUP(O35,'Draft Board'!$AS:$AS,1,0)),"X","Y"))</f>
        <v/>
      </c>
      <c r="O35" s="75" t="str">
        <f>VLOOKUP(M35,RB!Z:AA,2,0)</f>
        <v>Steven Jackson</v>
      </c>
      <c r="P35" s="75" t="str">
        <f>VLOOKUP(O35,RB!$B:$C,2,0)</f>
        <v>ATL</v>
      </c>
      <c r="Q35" s="72">
        <f>IF((P35="FA"),"N/A",VLOOKUP(P35,Settings!$M$2:$N$33,2,0))</f>
        <v>9</v>
      </c>
      <c r="R35" s="153">
        <f>VLOOKUP(O35,RB!$B:$Y,24,0)</f>
        <v>150.6</v>
      </c>
      <c r="S35" s="65">
        <f>R35-Settings!$AA$4</f>
        <v>-54.593939393939365</v>
      </c>
      <c r="T35" s="129">
        <f>IF(ISERROR(VLOOKUP(O35,ESPNData!$CS:$CX,6,0)),"",IF((VLOOKUP(O35,ESPNData!$CS:$CX,6,0)="--"),"",VLOOKUP(O35,ESPNData!$CS:$CX,6,0)))</f>
        <v>9</v>
      </c>
      <c r="U35" s="75">
        <f>IF(ISERROR(VLOOKUP(O35,ESPNData!$CZ:$DE,6,0)),"",IF((VLOOKUP(O35,ESPNData!$CZ:$DE,6,0)="--"),"",VLOOKUP(O35,ESPNData!$CZ:$DE,6,0)))</f>
        <v>6</v>
      </c>
      <c r="V35" s="69" t="str">
        <f>IF(ISERROR((VLOOKUP(O35,Taken!$E:$F,2,0)-T35)),"",(VLOOKUP(O35,Taken!$E:$F,2,0)-T35))</f>
        <v/>
      </c>
      <c r="W35" s="69">
        <f>MAX(1,ROUND(((((S35-S$35)+Settings!$Q$4)/(SUM(S35:S$35)-((S$35-Settings!$Q$4)*((33+1)-M35))))*(Settings!$V$4-SUM(W$3:W34))),0))</f>
        <v>5</v>
      </c>
      <c r="X35" s="43" t="str">
        <f>IF(ISERROR((VLOOKUP(O35,Taken!$E:$F,2,0)-W35)),"",(VLOOKUP(O35,Taken!$E:$F,2,0)-W35))</f>
        <v/>
      </c>
      <c r="Y35" s="163">
        <f t="shared" si="2"/>
        <v>33</v>
      </c>
      <c r="Z35" s="75" t="str">
        <f>IF(ISERROR(VLOOKUP(AA35,Taken!$H:$H,1,0)),"",IF(ISERROR(VLOOKUP(AA35,'Draft Board'!$AS:$AS,1,0)),"X","Y"))</f>
        <v/>
      </c>
      <c r="AA35" s="75" t="str">
        <f>VLOOKUP(Y35,WR!X:Y,2,0)</f>
        <v>Reggie Wayne</v>
      </c>
      <c r="AB35" s="75" t="str">
        <f>VLOOKUP(AA35,WR!$B:$C,2,0)</f>
        <v>IND</v>
      </c>
      <c r="AC35" s="72">
        <f>IF((AB35="FA"),"N/A",VLOOKUP(AB35,Settings!$M$2:$N$33,2,0))</f>
        <v>10</v>
      </c>
      <c r="AD35" s="153">
        <f>VLOOKUP(AA35,WR!$B:$W,22,0)</f>
        <v>160.19999999999999</v>
      </c>
      <c r="AE35" s="65">
        <f>AD35-Settings!$AA$5</f>
        <v>-40.839393939393915</v>
      </c>
      <c r="AF35" s="129">
        <f>IF(ISERROR(VLOOKUP(AA35,ESPNData!$CS:$CX,6,0)),"",IF((VLOOKUP(AA35,ESPNData!$CS:$CX,6,0)="--"),"",VLOOKUP(AA35,ESPNData!$CS:$CX,6,0)))</f>
        <v>7</v>
      </c>
      <c r="AG35" s="75">
        <f>IF(ISERROR(VLOOKUP(AA35,ESPNData!$CZ:$DE,6,0)),"",IF((VLOOKUP(AA35,ESPNData!$CZ:$DE,6,0)="--"),"",VLOOKUP(AA35,ESPNData!$CZ:$DE,6,0)))</f>
        <v>10</v>
      </c>
      <c r="AH35" s="69" t="str">
        <f>IF(ISERROR((VLOOKUP(AA35,Taken!$H:$I,2,0)-AF35)),"",(VLOOKUP(AA35,Taken!$H:$I,2,0)-AF35))</f>
        <v/>
      </c>
      <c r="AI35" s="69">
        <f>ROUND(((((AE35-AE$35)+Settings!$Q$5)/(SUM(AE35:AE$35)-((AE$35-Settings!$Q$5)*((33+1)-Y35))))*(Settings!$V$5-SUM(AI$3:AI34))),0)</f>
        <v>5</v>
      </c>
      <c r="AJ35" s="43" t="str">
        <f>IF(ISERROR((VLOOKUP(AA35,Taken!$H:$I,2,0)-AI35)),"",(VLOOKUP(AA35,Taken!$H:$I,2,0)-AI35))</f>
        <v/>
      </c>
      <c r="AK35" s="24">
        <v>1</v>
      </c>
      <c r="AL35" s="106" t="str">
        <f>IF(ISERROR(VLOOKUP(AM35,Taken!$Q:$Q,1,0)),"",IF(ISERROR(VLOOKUP(AM35,'Draft Board'!$AS:$AS,1,0)),"X","Y"))</f>
        <v/>
      </c>
      <c r="AM35" s="106" t="str">
        <f>VLOOKUP(AK35,DST!V:W,2,0)</f>
        <v>Seahawks</v>
      </c>
      <c r="AN35" s="106" t="str">
        <f>VLOOKUP(AM35,DST!$B:$C,2,0)</f>
        <v>SEA</v>
      </c>
      <c r="AO35" s="192">
        <f>VLOOKUP(AN35,Settings!$M$2:$N$33,2,0)</f>
        <v>4</v>
      </c>
      <c r="AP35" s="110">
        <f>VLOOKUP(AM35,DST!$B:$U,20,0)</f>
        <v>141</v>
      </c>
      <c r="AQ35" s="112">
        <f>AP35-Settings!$AA$8</f>
        <v>29.254545454545465</v>
      </c>
      <c r="AR35" s="130" t="str">
        <f>IF(ISERROR(VLOOKUP(AM35,ESPNData!$CS:$CX,6,0)),"",IF((VLOOKUP(AM35,ESPNData!$CS:$CX,6,0)="--"),"",VLOOKUP(AM35,ESPNData!$CS:$CX,6,0)))</f>
        <v/>
      </c>
      <c r="AS35" s="106" t="str">
        <f>IF(ISERROR(VLOOKUP(AM35,ESPNData!$CZ:$DE,6,0)),"",IF((VLOOKUP(AM35,ESPNData!$CZ:$DE,6,0)="--"),"",VLOOKUP(AM35,ESPNData!$CZ:$DE,6,0)))</f>
        <v/>
      </c>
      <c r="AT35" s="123" t="str">
        <f>IF(ISERROR((VLOOKUP(AM35,Taken!$Q:$R,2,0)-AR35)),"",(VLOOKUP(AM35,Taken!$Q:$R,2,0)-AR35))</f>
        <v/>
      </c>
      <c r="AU35" s="123">
        <f>ROUND(((((AQ35-AQ$45)+Settings!$Q$8)/(SUM(AQ35:AQ$45)-((AQ$45-Settings!$Q$8)*((11+1)-AK35))))*(Settings!$V$8)),0)</f>
        <v>2</v>
      </c>
      <c r="AV35" s="68" t="str">
        <f>IF(ISERROR((VLOOKUP(AM35,Taken!$Q:$R,2,0)-AU35)),"",(VLOOKUP(AM35,Taken!$Q:$R,2,0)-AU35))</f>
        <v/>
      </c>
      <c r="AW35" s="155"/>
    </row>
    <row r="36" spans="1:49" ht="12.75" customHeight="1">
      <c r="A36" s="60">
        <f t="shared" ref="A36:A54" si="4">A35+1</f>
        <v>34</v>
      </c>
      <c r="B36" s="75" t="str">
        <f>IF(ISERROR(VLOOKUP(C36,Taken!$B:$B,1,0)),"",IF(ISERROR(VLOOKUP(C36,'Draft Board'!$AS:$AS,1,0)),"X","Y"))</f>
        <v/>
      </c>
      <c r="C36" s="75" t="str">
        <f>VLOOKUP(A36,QB!AC:AD,2,0)</f>
        <v>Michael Vick</v>
      </c>
      <c r="D36" s="72" t="str">
        <f>VLOOKUP(C36,QB!$B:$C,2,0)</f>
        <v>NYJ</v>
      </c>
      <c r="E36" s="72">
        <f>IF((D36="FA"),"N/A",VLOOKUP(D36,Settings!$M$2:$N$33,2,0))</f>
        <v>11</v>
      </c>
      <c r="F36" s="153">
        <f>VLOOKUP(C36,QB!$B:$AB,27,0)</f>
        <v>103.6</v>
      </c>
      <c r="G36" s="65">
        <f>F36-Settings!$AA$3</f>
        <v>-234.51818181818177</v>
      </c>
      <c r="H36" s="129" t="str">
        <f>IF(ISERROR(VLOOKUP(C36,ESPNData!$CS:$CX,6,0)),"",IF((VLOOKUP(C36,ESPNData!$CS:$CX,6,0)="--"),"",VLOOKUP(C36,ESPNData!$CS:$CX,6,0)))</f>
        <v/>
      </c>
      <c r="I36" s="75" t="str">
        <f>IF(ISERROR(VLOOKUP(C36,ESPNData!$CZ:$DE,6,0)),"",IF((VLOOKUP(C36,ESPNData!$CZ:$DE,6,0)="--"),"",VLOOKUP(C36,ESPNData!$CZ:$DE,6,0)))</f>
        <v/>
      </c>
      <c r="J36" s="69" t="str">
        <f>IF(ISERROR((VLOOKUP(C36,Taken!$B:$C,2,0)-H36)),"",(VLOOKUP(C36,Taken!$B:$C,2,0)-H36))</f>
        <v/>
      </c>
      <c r="K36" s="69">
        <f>MIN(K34,MAX(1,ROUND(((((G36-G$39)+Settings!$R$3)/(SUM(G36:G$39)-((G$39-Settings!$R$3)*((37+1)-A36))))*(Settings!$X$3-SUM(K$25:K35))),0)))</f>
        <v>4</v>
      </c>
      <c r="L36" s="43" t="str">
        <f>IF(ISERROR((VLOOKUP(C36,Taken!$B:$C,2,0)-K36)),"",(VLOOKUP(C36,Taken!$B:$C,2,0)-K36))</f>
        <v/>
      </c>
      <c r="M36" s="60">
        <f t="shared" ref="M36:M67" si="5">M35+1</f>
        <v>34</v>
      </c>
      <c r="N36" s="75" t="str">
        <f>IF(ISERROR(VLOOKUP(O36,Taken!$E:$E,1,0)),"",IF(ISERROR(VLOOKUP(O36,'Draft Board'!$AS:$AS,1,0)),"X","Y"))</f>
        <v/>
      </c>
      <c r="O36" s="75" t="str">
        <f>VLOOKUP(M36,RB!Z:AA,2,0)</f>
        <v>Fred Jackson</v>
      </c>
      <c r="P36" s="75" t="str">
        <f>VLOOKUP(O36,RB!$B:$C,2,0)</f>
        <v>BUF</v>
      </c>
      <c r="Q36" s="72">
        <f>IF((P36="FA"),"N/A",VLOOKUP(P36,Settings!$M$2:$N$33,2,0))</f>
        <v>9</v>
      </c>
      <c r="R36" s="153">
        <f>VLOOKUP(O36,RB!$B:$Y,24,0)</f>
        <v>149.30000000000001</v>
      </c>
      <c r="S36" s="65">
        <f>R36-Settings!$AA$4</f>
        <v>-55.893939393939348</v>
      </c>
      <c r="T36" s="129">
        <f>IF(ISERROR(VLOOKUP(O36,ESPNData!$CS:$CX,6,0)),"",IF((VLOOKUP(O36,ESPNData!$CS:$CX,6,0)="--"),"",VLOOKUP(O36,ESPNData!$CS:$CX,6,0)))</f>
        <v>4</v>
      </c>
      <c r="U36" s="75">
        <f>IF(ISERROR(VLOOKUP(O36,ESPNData!$CZ:$DE,6,0)),"",IF((VLOOKUP(O36,ESPNData!$CZ:$DE,6,0)="--"),"",VLOOKUP(O36,ESPNData!$CZ:$DE,6,0)))</f>
        <v>2</v>
      </c>
      <c r="V36" s="69" t="str">
        <f>IF(ISERROR((VLOOKUP(O36,Taken!$E:$F,2,0)-T36)),"",(VLOOKUP(O36,Taken!$E:$F,2,0)-T36))</f>
        <v/>
      </c>
      <c r="W36" s="69">
        <f>MIN(W35,MAX(1,ROUND(((((S36-S$63)+Settings!$R$4)/(SUM(S36:S$63)-((S$63-Settings!$R$4)*((61+1)-M36))))*(Settings!$X$4)),0)))</f>
        <v>5</v>
      </c>
      <c r="X36" s="43" t="str">
        <f>IF(ISERROR((VLOOKUP(O36,Taken!$E:$F,2,0)-W36)),"",(VLOOKUP(O36,Taken!$E:$F,2,0)-W36))</f>
        <v/>
      </c>
      <c r="Y36" s="60">
        <f t="shared" ref="Y36:Y67" si="6">Y35+1</f>
        <v>34</v>
      </c>
      <c r="Z36" s="75" t="str">
        <f>IF(ISERROR(VLOOKUP(AA36,Taken!$H:$H,1,0)),"",IF(ISERROR(VLOOKUP(AA36,'Draft Board'!$AS:$AS,1,0)),"X","Y"))</f>
        <v/>
      </c>
      <c r="AA36" s="75" t="str">
        <f>VLOOKUP(Y36,WR!X:Y,2,0)</f>
        <v>Eric Decker</v>
      </c>
      <c r="AB36" s="75" t="str">
        <f>VLOOKUP(AA36,WR!$B:$C,2,0)</f>
        <v>NYJ</v>
      </c>
      <c r="AC36" s="72">
        <f>IF((AB36="FA"),"N/A",VLOOKUP(AB36,Settings!$M$2:$N$33,2,0))</f>
        <v>11</v>
      </c>
      <c r="AD36" s="153">
        <f>VLOOKUP(AA36,WR!$B:$W,22,0)</f>
        <v>158.69999999999999</v>
      </c>
      <c r="AE36" s="65">
        <f>AD36-Settings!$AA$5</f>
        <v>-42.339393939393915</v>
      </c>
      <c r="AF36" s="129">
        <f>IF(ISERROR(VLOOKUP(AA36,ESPNData!$CS:$CX,6,0)),"",IF((VLOOKUP(AA36,ESPNData!$CS:$CX,6,0)="--"),"",VLOOKUP(AA36,ESPNData!$CS:$CX,6,0)))</f>
        <v>4</v>
      </c>
      <c r="AG36" s="75">
        <f>IF(ISERROR(VLOOKUP(AA36,ESPNData!$CZ:$DE,6,0)),"",IF((VLOOKUP(AA36,ESPNData!$CZ:$DE,6,0)="--"),"",VLOOKUP(AA36,ESPNData!$CZ:$DE,6,0)))</f>
        <v>4</v>
      </c>
      <c r="AH36" s="69" t="str">
        <f>IF(ISERROR((VLOOKUP(AA36,Taken!$H:$I,2,0)-AF36)),"",(VLOOKUP(AA36,Taken!$H:$I,2,0)-AF36))</f>
        <v/>
      </c>
      <c r="AI36" s="69">
        <f>MIN(AI35,MAX(1,ROUND(((((AE36-AE$63)+Settings!$R$5)/(SUM(AE36:AE$63)-((AE$63-Settings!$R$5)*((61+1)-Y36))))*(Settings!$X$5)),0)))</f>
        <v>5</v>
      </c>
      <c r="AJ36" s="43" t="str">
        <f>IF(ISERROR((VLOOKUP(AA36,Taken!$H:$I,2,0)-AI36)),"",(VLOOKUP(AA36,Taken!$H:$I,2,0)-AI36))</f>
        <v/>
      </c>
      <c r="AK36" s="163">
        <f t="shared" ref="AK36:AK64" si="7">AK35+1</f>
        <v>2</v>
      </c>
      <c r="AL36" s="75" t="str">
        <f>IF(ISERROR(VLOOKUP(AM36,Taken!$Q:$Q,1,0)),"",IF(ISERROR(VLOOKUP(AM36,'Draft Board'!$AS:$AS,1,0)),"X","Y"))</f>
        <v/>
      </c>
      <c r="AM36" s="75" t="str">
        <f>VLOOKUP(AK36,DST!V:W,2,0)</f>
        <v>Panthers</v>
      </c>
      <c r="AN36" s="75" t="str">
        <f>VLOOKUP(AM36,DST!$B:$C,2,0)</f>
        <v>CAR</v>
      </c>
      <c r="AO36" s="72">
        <f>VLOOKUP(AN36,Settings!$M$2:$N$33,2,0)</f>
        <v>12</v>
      </c>
      <c r="AP36" s="153">
        <f>VLOOKUP(AM36,DST!$B:$U,20,0)</f>
        <v>124.2</v>
      </c>
      <c r="AQ36" s="65">
        <f>AP36-Settings!$AA$8</f>
        <v>12.454545454545467</v>
      </c>
      <c r="AR36" s="129" t="str">
        <f>IF(ISERROR(VLOOKUP(AM36,ESPNData!$CS:$CX,6,0)),"",IF((VLOOKUP(AM36,ESPNData!$CS:$CX,6,0)="--"),"",VLOOKUP(AM36,ESPNData!$CS:$CX,6,0)))</f>
        <v/>
      </c>
      <c r="AS36" s="75" t="str">
        <f>IF(ISERROR(VLOOKUP(AM36,ESPNData!$CZ:$DE,6,0)),"",IF((VLOOKUP(AM36,ESPNData!$CZ:$DE,6,0)="--"),"",VLOOKUP(AM36,ESPNData!$CZ:$DE,6,0)))</f>
        <v/>
      </c>
      <c r="AT36" s="69" t="str">
        <f>IF(ISERROR((VLOOKUP(AM36,Taken!$Q:$R,2,0)-AR36)),"",(VLOOKUP(AM36,Taken!$Q:$R,2,0)-AR36))</f>
        <v/>
      </c>
      <c r="AU36" s="69">
        <f>MAX(1,ROUND(((((AQ36-AQ$45)+Settings!$Q$8)/(SUM(AQ36:AQ$45)-((AQ$45-Settings!$Q$8)*((11+1)-AK36))))*(Settings!$V$8-SUM(AU$35:AU35))),0))</f>
        <v>2</v>
      </c>
      <c r="AV36" s="43" t="str">
        <f>IF(ISERROR((VLOOKUP(AM36,Taken!$Q:$R,2,0)-AU36)),"",(VLOOKUP(AM36,Taken!$Q:$R,2,0)-AU36))</f>
        <v/>
      </c>
      <c r="AW36" s="155"/>
    </row>
    <row r="37" spans="1:49" ht="12.75" customHeight="1">
      <c r="A37" s="60">
        <f t="shared" si="4"/>
        <v>35</v>
      </c>
      <c r="B37" s="75" t="str">
        <f>IF(ISERROR(VLOOKUP(C37,Taken!$B:$B,1,0)),"",IF(ISERROR(VLOOKUP(C37,'Draft Board'!$AS:$AS,1,0)),"X","Y"))</f>
        <v/>
      </c>
      <c r="C37" s="75" t="str">
        <f>VLOOKUP(A37,QB!AC:AD,2,0)</f>
        <v>Blake Bortles</v>
      </c>
      <c r="D37" s="72" t="str">
        <f>VLOOKUP(C37,QB!$B:$C,2,0)</f>
        <v>JAC</v>
      </c>
      <c r="E37" s="72">
        <f>IF((D37="FA"),"N/A",VLOOKUP(D37,Settings!$M$2:$N$33,2,0))</f>
        <v>11</v>
      </c>
      <c r="F37" s="153">
        <f>VLOOKUP(C37,QB!$B:$AB,27,0)</f>
        <v>87.1</v>
      </c>
      <c r="G37" s="65">
        <f>F37-Settings!$AA$3</f>
        <v>-251.01818181818177</v>
      </c>
      <c r="H37" s="129" t="str">
        <f>IF(ISERROR(VLOOKUP(C37,ESPNData!$CS:$CX,6,0)),"",IF((VLOOKUP(C37,ESPNData!$CS:$CX,6,0)="--"),"",VLOOKUP(C37,ESPNData!$CS:$CX,6,0)))</f>
        <v/>
      </c>
      <c r="I37" s="75" t="str">
        <f>IF(ISERROR(VLOOKUP(C37,ESPNData!$CZ:$DE,6,0)),"",IF((VLOOKUP(C37,ESPNData!$CZ:$DE,6,0)="--"),"",VLOOKUP(C37,ESPNData!$CZ:$DE,6,0)))</f>
        <v/>
      </c>
      <c r="J37" s="69" t="str">
        <f>IF(ISERROR((VLOOKUP(C37,Taken!$B:$C,2,0)-H37)),"",(VLOOKUP(C37,Taken!$B:$C,2,0)-H37))</f>
        <v/>
      </c>
      <c r="K37" s="69">
        <f>MIN(K35,MAX(1,ROUND(((((G37-G$39)+Settings!$R$3)/(SUM(G37:G$39)-((G$39-Settings!$R$3)*((37+1)-A37))))*(Settings!$X$3-SUM(K$25:K36))),0)))</f>
        <v>3</v>
      </c>
      <c r="L37" s="43" t="str">
        <f>IF(ISERROR((VLOOKUP(C37,Taken!$B:$C,2,0)-K37)),"",(VLOOKUP(C37,Taken!$B:$C,2,0)-K37))</f>
        <v/>
      </c>
      <c r="M37" s="60">
        <f t="shared" si="5"/>
        <v>35</v>
      </c>
      <c r="N37" s="75" t="str">
        <f>IF(ISERROR(VLOOKUP(O37,Taken!$E:$E,1,0)),"",IF(ISERROR(VLOOKUP(O37,'Draft Board'!$AS:$AS,1,0)),"X","Y"))</f>
        <v/>
      </c>
      <c r="O37" s="75" t="str">
        <f>VLOOKUP(M37,RB!Z:AA,2,0)</f>
        <v>DeAngelo Williams</v>
      </c>
      <c r="P37" s="75" t="str">
        <f>VLOOKUP(O37,RB!$B:$C,2,0)</f>
        <v>CAR</v>
      </c>
      <c r="Q37" s="72">
        <f>IF((P37="FA"),"N/A",VLOOKUP(P37,Settings!$M$2:$N$33,2,0))</f>
        <v>12</v>
      </c>
      <c r="R37" s="153">
        <f>VLOOKUP(O37,RB!$B:$Y,24,0)</f>
        <v>139</v>
      </c>
      <c r="S37" s="65">
        <f>R37-Settings!$AA$4</f>
        <v>-66.19393939393936</v>
      </c>
      <c r="T37" s="129">
        <f>IF(ISERROR(VLOOKUP(O37,ESPNData!$CS:$CX,6,0)),"",IF((VLOOKUP(O37,ESPNData!$CS:$CX,6,0)="--"),"",VLOOKUP(O37,ESPNData!$CS:$CX,6,0)))</f>
        <v>4</v>
      </c>
      <c r="U37" s="75">
        <f>IF(ISERROR(VLOOKUP(O37,ESPNData!$CZ:$DE,6,0)),"",IF((VLOOKUP(O37,ESPNData!$CZ:$DE,6,0)="--"),"",VLOOKUP(O37,ESPNData!$CZ:$DE,6,0)))</f>
        <v>2</v>
      </c>
      <c r="V37" s="69" t="str">
        <f>IF(ISERROR((VLOOKUP(O37,Taken!$E:$F,2,0)-T37)),"",(VLOOKUP(O37,Taken!$E:$F,2,0)-T37))</f>
        <v/>
      </c>
      <c r="W37" s="69">
        <f>MIN(W35,MAX(1,ROUND(((((S37-S$63)+Settings!$R$4)/(SUM(S37:S$63)-((S$63-Settings!$R$4)*((61+1)-M37))))*(Settings!$X$4-SUM(W$36:W36))),0)))</f>
        <v>4</v>
      </c>
      <c r="X37" s="43" t="str">
        <f>IF(ISERROR((VLOOKUP(O37,Taken!$E:$F,2,0)-W37)),"",(VLOOKUP(O37,Taken!$E:$F,2,0)-W37))</f>
        <v/>
      </c>
      <c r="Y37" s="60">
        <f t="shared" si="6"/>
        <v>35</v>
      </c>
      <c r="Z37" s="75" t="str">
        <f>IF(ISERROR(VLOOKUP(AA37,Taken!$H:$H,1,0)),"",IF(ISERROR(VLOOKUP(AA37,'Draft Board'!$AS:$AS,1,0)),"X","Y"))</f>
        <v/>
      </c>
      <c r="AA37" s="75" t="str">
        <f>VLOOKUP(Y37,WR!X:Y,2,0)</f>
        <v>Terrance Williams</v>
      </c>
      <c r="AB37" s="75" t="str">
        <f>VLOOKUP(AA37,WR!$B:$C,2,0)</f>
        <v>DAL</v>
      </c>
      <c r="AC37" s="72">
        <f>IF((AB37="FA"),"N/A",VLOOKUP(AB37,Settings!$M$2:$N$33,2,0))</f>
        <v>11</v>
      </c>
      <c r="AD37" s="153">
        <f>VLOOKUP(AA37,WR!$B:$W,22,0)</f>
        <v>153.80000000000001</v>
      </c>
      <c r="AE37" s="65">
        <f>AD37-Settings!$AA$5</f>
        <v>-47.239393939393892</v>
      </c>
      <c r="AF37" s="129">
        <f>IF(ISERROR(VLOOKUP(AA37,ESPNData!$CS:$CX,6,0)),"",IF((VLOOKUP(AA37,ESPNData!$CS:$CX,6,0)="--"),"",VLOOKUP(AA37,ESPNData!$CS:$CX,6,0)))</f>
        <v>4</v>
      </c>
      <c r="AG37" s="75">
        <f>IF(ISERROR(VLOOKUP(AA37,ESPNData!$CZ:$DE,6,0)),"",IF((VLOOKUP(AA37,ESPNData!$CZ:$DE,6,0)="--"),"",VLOOKUP(AA37,ESPNData!$CZ:$DE,6,0)))</f>
        <v>3</v>
      </c>
      <c r="AH37" s="69" t="str">
        <f>IF(ISERROR((VLOOKUP(AA37,Taken!$H:$I,2,0)-AF37)),"",(VLOOKUP(AA37,Taken!$H:$I,2,0)-AF37))</f>
        <v/>
      </c>
      <c r="AI37" s="69">
        <f>MIN(AI36,MAX(1,ROUND(((((AE37-AE$63)+Settings!$R$5)/(SUM(AE37:AE$63)-((AE$63-Settings!$R$5)*((61+1)-Y37))))*(Settings!$X$5-SUM(AI$36:AI36))),0)))</f>
        <v>5</v>
      </c>
      <c r="AJ37" s="43" t="str">
        <f>IF(ISERROR((VLOOKUP(AA37,Taken!$H:$I,2,0)-AI37)),"",(VLOOKUP(AA37,Taken!$H:$I,2,0)-AI37))</f>
        <v/>
      </c>
      <c r="AK37" s="163">
        <f t="shared" si="7"/>
        <v>3</v>
      </c>
      <c r="AL37" s="75" t="str">
        <f>IF(ISERROR(VLOOKUP(AM37,Taken!$Q:$Q,1,0)),"",IF(ISERROR(VLOOKUP(AM37,'Draft Board'!$AS:$AS,1,0)),"X","Y"))</f>
        <v/>
      </c>
      <c r="AM37" s="75" t="str">
        <f>VLOOKUP(AK37,DST!V:W,2,0)</f>
        <v>Cardinals</v>
      </c>
      <c r="AN37" s="75" t="str">
        <f>VLOOKUP(AM37,DST!$B:$C,2,0)</f>
        <v>ARI</v>
      </c>
      <c r="AO37" s="72">
        <f>VLOOKUP(AN37,Settings!$M$2:$N$33,2,0)</f>
        <v>4</v>
      </c>
      <c r="AP37" s="153">
        <f>VLOOKUP(AM37,DST!$B:$U,20,0)</f>
        <v>117.3</v>
      </c>
      <c r="AQ37" s="65">
        <f>AP37-Settings!$AA$8</f>
        <v>5.5545454545454618</v>
      </c>
      <c r="AR37" s="129" t="str">
        <f>IF(ISERROR(VLOOKUP(AM37,ESPNData!$CS:$CX,6,0)),"",IF((VLOOKUP(AM37,ESPNData!$CS:$CX,6,0)="--"),"",VLOOKUP(AM37,ESPNData!$CS:$CX,6,0)))</f>
        <v/>
      </c>
      <c r="AS37" s="75" t="str">
        <f>IF(ISERROR(VLOOKUP(AM37,ESPNData!$CZ:$DE,6,0)),"",IF((VLOOKUP(AM37,ESPNData!$CZ:$DE,6,0)="--"),"",VLOOKUP(AM37,ESPNData!$CZ:$DE,6,0)))</f>
        <v/>
      </c>
      <c r="AT37" s="69" t="str">
        <f>IF(ISERROR((VLOOKUP(AM37,Taken!$Q:$R,2,0)-AR37)),"",(VLOOKUP(AM37,Taken!$Q:$R,2,0)-AR37))</f>
        <v/>
      </c>
      <c r="AU37" s="69">
        <f>MAX(1,ROUND(((((AQ37-AQ$45)+Settings!$Q$8)/(SUM(AQ37:AQ$45)-((AQ$45-Settings!$Q$8)*((11+1)-AK37))))*(Settings!$V$8-SUM(AU$35:AU36))),0))</f>
        <v>1</v>
      </c>
      <c r="AV37" s="43" t="str">
        <f>IF(ISERROR((VLOOKUP(AM37,Taken!$Q:$R,2,0)-AU37)),"",(VLOOKUP(AM37,Taken!$Q:$R,2,0)-AU37))</f>
        <v/>
      </c>
      <c r="AW37" s="155"/>
    </row>
    <row r="38" spans="1:49" ht="12.75" customHeight="1">
      <c r="A38" s="60">
        <f t="shared" si="4"/>
        <v>36</v>
      </c>
      <c r="B38" s="75" t="str">
        <f>IF(ISERROR(VLOOKUP(C38,Taken!$B:$B,1,0)),"",IF(ISERROR(VLOOKUP(C38,'Draft Board'!$AS:$AS,1,0)),"X","Y"))</f>
        <v/>
      </c>
      <c r="C38" s="75" t="str">
        <f>VLOOKUP(A38,QB!AC:AD,2,0)</f>
        <v>Brian Hoyer</v>
      </c>
      <c r="D38" s="72" t="str">
        <f>VLOOKUP(C38,QB!$B:$C,2,0)</f>
        <v>CLE</v>
      </c>
      <c r="E38" s="72">
        <f>IF((D38="FA"),"N/A",VLOOKUP(D38,Settings!$M$2:$N$33,2,0))</f>
        <v>4</v>
      </c>
      <c r="F38" s="153">
        <f>VLOOKUP(C38,QB!$B:$AB,27,0)</f>
        <v>70.400000000000006</v>
      </c>
      <c r="G38" s="65">
        <f>F38-Settings!$AA$3</f>
        <v>-267.71818181818173</v>
      </c>
      <c r="H38" s="129" t="str">
        <f>IF(ISERROR(VLOOKUP(C38,ESPNData!$CS:$CX,6,0)),"",IF((VLOOKUP(C38,ESPNData!$CS:$CX,6,0)="--"),"",VLOOKUP(C38,ESPNData!$CS:$CX,6,0)))</f>
        <v/>
      </c>
      <c r="I38" s="75" t="str">
        <f>IF(ISERROR(VLOOKUP(C38,ESPNData!$CZ:$DE,6,0)),"",IF((VLOOKUP(C38,ESPNData!$CZ:$DE,6,0)="--"),"",VLOOKUP(C38,ESPNData!$CZ:$DE,6,0)))</f>
        <v/>
      </c>
      <c r="J38" s="69" t="str">
        <f>IF(ISERROR((VLOOKUP(C38,Taken!$B:$C,2,0)-H38)),"",(VLOOKUP(C38,Taken!$B:$C,2,0)-H38))</f>
        <v/>
      </c>
      <c r="K38" s="69">
        <f>MIN(K36,MAX(1,ROUND(((((G38-G$39)+Settings!$R$3)/(SUM(G38:G$39)-((G$39-Settings!$R$3)*((37+1)-A38))))*(Settings!$X$3-SUM(K$25:K37))),0)))</f>
        <v>2</v>
      </c>
      <c r="L38" s="43" t="str">
        <f>IF(ISERROR((VLOOKUP(C38,Taken!$B:$C,2,0)-K38)),"",(VLOOKUP(C38,Taken!$B:$C,2,0)-K38))</f>
        <v/>
      </c>
      <c r="M38" s="60">
        <f t="shared" si="5"/>
        <v>36</v>
      </c>
      <c r="N38" s="75" t="str">
        <f>IF(ISERROR(VLOOKUP(O38,Taken!$E:$E,1,0)),"",IF(ISERROR(VLOOKUP(O38,'Draft Board'!$AS:$AS,1,0)),"X","Y"))</f>
        <v/>
      </c>
      <c r="O38" s="75" t="str">
        <f>VLOOKUP(M38,RB!Z:AA,2,0)</f>
        <v>Darren Sproles</v>
      </c>
      <c r="P38" s="75" t="str">
        <f>VLOOKUP(O38,RB!$B:$C,2,0)</f>
        <v>PHI</v>
      </c>
      <c r="Q38" s="72">
        <f>IF((P38="FA"),"N/A",VLOOKUP(P38,Settings!$M$2:$N$33,2,0))</f>
        <v>7</v>
      </c>
      <c r="R38" s="153">
        <f>VLOOKUP(O38,RB!$B:$Y,24,0)</f>
        <v>135.69999999999999</v>
      </c>
      <c r="S38" s="65">
        <f>R38-Settings!$AA$4</f>
        <v>-69.493939393939371</v>
      </c>
      <c r="T38" s="129">
        <f>IF(ISERROR(VLOOKUP(O38,ESPNData!$CS:$CX,6,0)),"",IF((VLOOKUP(O38,ESPNData!$CS:$CX,6,0)="--"),"",VLOOKUP(O38,ESPNData!$CS:$CX,6,0)))</f>
        <v>4</v>
      </c>
      <c r="U38" s="75">
        <f>IF(ISERROR(VLOOKUP(O38,ESPNData!$CZ:$DE,6,0)),"",IF((VLOOKUP(O38,ESPNData!$CZ:$DE,6,0)="--"),"",VLOOKUP(O38,ESPNData!$CZ:$DE,6,0)))</f>
        <v>2</v>
      </c>
      <c r="V38" s="69" t="str">
        <f>IF(ISERROR((VLOOKUP(O38,Taken!$E:$F,2,0)-T38)),"",(VLOOKUP(O38,Taken!$E:$F,2,0)-T38))</f>
        <v/>
      </c>
      <c r="W38" s="69">
        <f>MIN(W36,MAX(1,ROUND(((((S38-S$63)+Settings!$R$4)/(SUM(S38:S$63)-((S$63-Settings!$R$4)*((61+1)-M38))))*(Settings!$X$4-SUM(W$36:W37))),0)))</f>
        <v>4</v>
      </c>
      <c r="X38" s="43" t="str">
        <f>IF(ISERROR((VLOOKUP(O38,Taken!$E:$F,2,0)-W38)),"",(VLOOKUP(O38,Taken!$E:$F,2,0)-W38))</f>
        <v/>
      </c>
      <c r="Y38" s="60">
        <f t="shared" si="6"/>
        <v>36</v>
      </c>
      <c r="Z38" s="75" t="str">
        <f>IF(ISERROR(VLOOKUP(AA38,Taken!$H:$H,1,0)),"",IF(ISERROR(VLOOKUP(AA38,'Draft Board'!$AS:$AS,1,0)),"X","Y"))</f>
        <v/>
      </c>
      <c r="AA38" s="75" t="str">
        <f>VLOOKUP(Y38,WR!X:Y,2,0)</f>
        <v>Sammy Watkins</v>
      </c>
      <c r="AB38" s="75" t="str">
        <f>VLOOKUP(AA38,WR!$B:$C,2,0)</f>
        <v>BUF</v>
      </c>
      <c r="AC38" s="72">
        <f>IF((AB38="FA"),"N/A",VLOOKUP(AB38,Settings!$M$2:$N$33,2,0))</f>
        <v>9</v>
      </c>
      <c r="AD38" s="153">
        <f>VLOOKUP(AA38,WR!$B:$W,22,0)</f>
        <v>153.69999999999999</v>
      </c>
      <c r="AE38" s="65">
        <f>AD38-Settings!$AA$5</f>
        <v>-47.339393939393915</v>
      </c>
      <c r="AF38" s="129">
        <f>IF(ISERROR(VLOOKUP(AA38,ESPNData!$CS:$CX,6,0)),"",IF((VLOOKUP(AA38,ESPNData!$CS:$CX,6,0)="--"),"",VLOOKUP(AA38,ESPNData!$CS:$CX,6,0)))</f>
        <v>5</v>
      </c>
      <c r="AG38" s="75">
        <f>IF(ISERROR(VLOOKUP(AA38,ESPNData!$CZ:$DE,6,0)),"",IF((VLOOKUP(AA38,ESPNData!$CZ:$DE,6,0)="--"),"",VLOOKUP(AA38,ESPNData!$CZ:$DE,6,0)))</f>
        <v>4</v>
      </c>
      <c r="AH38" s="69" t="str">
        <f>IF(ISERROR((VLOOKUP(AA38,Taken!$H:$I,2,0)-AF38)),"",(VLOOKUP(AA38,Taken!$H:$I,2,0)-AF38))</f>
        <v/>
      </c>
      <c r="AI38" s="69">
        <f>MIN(AI37,MAX(1,ROUND(((((AE38-AE$63)+Settings!$R$5)/(SUM(AE38:AE$63)-((AE$63-Settings!$R$5)*((61+1)-Y38))))*(Settings!$X$5-SUM(AI$36:AI37))),0)))</f>
        <v>5</v>
      </c>
      <c r="AJ38" s="43" t="str">
        <f>IF(ISERROR((VLOOKUP(AA38,Taken!$H:$I,2,0)-AI38)),"",(VLOOKUP(AA38,Taken!$H:$I,2,0)-AI38))</f>
        <v/>
      </c>
      <c r="AK38" s="163">
        <f t="shared" si="7"/>
        <v>4</v>
      </c>
      <c r="AL38" s="75" t="str">
        <f>IF(ISERROR(VLOOKUP(AM38,Taken!$Q:$Q,1,0)),"",IF(ISERROR(VLOOKUP(AM38,'Draft Board'!$AS:$AS,1,0)),"X","Y"))</f>
        <v/>
      </c>
      <c r="AM38" s="75" t="str">
        <f>VLOOKUP(AK38,DST!V:W,2,0)</f>
        <v>Patriots</v>
      </c>
      <c r="AN38" s="75" t="str">
        <f>VLOOKUP(AM38,DST!$B:$C,2,0)</f>
        <v>NE</v>
      </c>
      <c r="AO38" s="72">
        <f>VLOOKUP(AN38,Settings!$M$2:$N$33,2,0)</f>
        <v>10</v>
      </c>
      <c r="AP38" s="153">
        <f>VLOOKUP(AM38,DST!$B:$U,20,0)</f>
        <v>113.7</v>
      </c>
      <c r="AQ38" s="65">
        <f>AP38-Settings!$AA$8</f>
        <v>1.9545454545454675</v>
      </c>
      <c r="AR38" s="129" t="str">
        <f>IF(ISERROR(VLOOKUP(AM38,ESPNData!$CS:$CX,6,0)),"",IF((VLOOKUP(AM38,ESPNData!$CS:$CX,6,0)="--"),"",VLOOKUP(AM38,ESPNData!$CS:$CX,6,0)))</f>
        <v/>
      </c>
      <c r="AS38" s="75" t="str">
        <f>IF(ISERROR(VLOOKUP(AM38,ESPNData!$CZ:$DE,6,0)),"",IF((VLOOKUP(AM38,ESPNData!$CZ:$DE,6,0)="--"),"",VLOOKUP(AM38,ESPNData!$CZ:$DE,6,0)))</f>
        <v/>
      </c>
      <c r="AT38" s="69" t="str">
        <f>IF(ISERROR((VLOOKUP(AM38,Taken!$Q:$R,2,0)-AR38)),"",(VLOOKUP(AM38,Taken!$Q:$R,2,0)-AR38))</f>
        <v/>
      </c>
      <c r="AU38" s="69">
        <f>MAX(1,ROUND(((((AQ38-AQ$45)+Settings!$Q$8)/(SUM(AQ38:AQ$45)-((AQ$45-Settings!$Q$8)*((11+1)-AK38))))*(Settings!$V$8-SUM(AU$35:AU37))),0))</f>
        <v>1</v>
      </c>
      <c r="AV38" s="43" t="str">
        <f>IF(ISERROR((VLOOKUP(AM38,Taken!$Q:$R,2,0)-AU38)),"",(VLOOKUP(AM38,Taken!$Q:$R,2,0)-AU38))</f>
        <v/>
      </c>
      <c r="AW38" s="155"/>
    </row>
    <row r="39" spans="1:49" ht="12.75" customHeight="1">
      <c r="A39" s="60">
        <f t="shared" si="4"/>
        <v>37</v>
      </c>
      <c r="B39" s="75" t="str">
        <f>IF(ISERROR(VLOOKUP(C39,Taken!$B:$B,1,0)),"",IF(ISERROR(VLOOKUP(C39,'Draft Board'!$AS:$AS,1,0)),"X","Y"))</f>
        <v/>
      </c>
      <c r="C39" s="75" t="str">
        <f>VLOOKUP(A39,QB!AC:AD,2,0)</f>
        <v>Charlie Whitehurst</v>
      </c>
      <c r="D39" s="72" t="str">
        <f>VLOOKUP(C39,QB!$B:$C,2,0)</f>
        <v>TEN</v>
      </c>
      <c r="E39" s="72">
        <f>IF((D39="FA"),"N/A",VLOOKUP(D39,Settings!$M$2:$N$33,2,0))</f>
        <v>9</v>
      </c>
      <c r="F39" s="153">
        <f>VLOOKUP(C39,QB!$B:$AB,27,0)</f>
        <v>50.5</v>
      </c>
      <c r="G39" s="65">
        <f>F39-Settings!$AA$3</f>
        <v>-287.61818181818177</v>
      </c>
      <c r="H39" s="129" t="str">
        <f>IF(ISERROR(VLOOKUP(C39,ESPNData!$CS:$CX,6,0)),"",IF((VLOOKUP(C39,ESPNData!$CS:$CX,6,0)="--"),"",VLOOKUP(C39,ESPNData!$CS:$CX,6,0)))</f>
        <v/>
      </c>
      <c r="I39" s="75" t="str">
        <f>IF(ISERROR(VLOOKUP(C39,ESPNData!$CZ:$DE,6,0)),"",IF((VLOOKUP(C39,ESPNData!$CZ:$DE,6,0)="--"),"",VLOOKUP(C39,ESPNData!$CZ:$DE,6,0)))</f>
        <v/>
      </c>
      <c r="J39" s="69" t="str">
        <f>IF(ISERROR((VLOOKUP(C39,Taken!$B:$C,2,0)-H39)),"",(VLOOKUP(C39,Taken!$B:$C,2,0)-H39))</f>
        <v/>
      </c>
      <c r="K39" s="69">
        <f>MIN(K37,MAX(1,ROUND(((((G39-G$39)+Settings!$R$3)/(SUM(G39:G$39)-((G$39-Settings!$R$3)*((37+1)-A39))))*(Settings!$X$3-SUM(K$25:K38))),0)))</f>
        <v>1</v>
      </c>
      <c r="L39" s="43" t="str">
        <f>IF(ISERROR((VLOOKUP(C39,Taken!$B:$C,2,0)-K39)),"",(VLOOKUP(C39,Taken!$B:$C,2,0)-K39))</f>
        <v/>
      </c>
      <c r="M39" s="60">
        <f t="shared" si="5"/>
        <v>37</v>
      </c>
      <c r="N39" s="75" t="str">
        <f>IF(ISERROR(VLOOKUP(O39,Taken!$E:$E,1,0)),"",IF(ISERROR(VLOOKUP(O39,'Draft Board'!$AS:$AS,1,0)),"X","Y"))</f>
        <v/>
      </c>
      <c r="O39" s="75" t="str">
        <f>VLOOKUP(M39,RB!Z:AA,2,0)</f>
        <v>Knowshon Moreno</v>
      </c>
      <c r="P39" s="75" t="str">
        <f>VLOOKUP(O39,RB!$B:$C,2,0)</f>
        <v>MIA</v>
      </c>
      <c r="Q39" s="72">
        <f>IF((P39="FA"),"N/A",VLOOKUP(P39,Settings!$M$2:$N$33,2,0))</f>
        <v>5</v>
      </c>
      <c r="R39" s="153">
        <f>VLOOKUP(O39,RB!$B:$Y,24,0)</f>
        <v>135</v>
      </c>
      <c r="S39" s="65">
        <f>R39-Settings!$AA$4</f>
        <v>-70.19393939393936</v>
      </c>
      <c r="T39" s="129">
        <f>IF(ISERROR(VLOOKUP(O39,ESPNData!$CS:$CX,6,0)),"",IF((VLOOKUP(O39,ESPNData!$CS:$CX,6,0)="--"),"",VLOOKUP(O39,ESPNData!$CS:$CX,6,0)))</f>
        <v>3</v>
      </c>
      <c r="U39" s="75">
        <f>IF(ISERROR(VLOOKUP(O39,ESPNData!$CZ:$DE,6,0)),"",IF((VLOOKUP(O39,ESPNData!$CZ:$DE,6,0)="--"),"",VLOOKUP(O39,ESPNData!$CZ:$DE,6,0)))</f>
        <v>2</v>
      </c>
      <c r="V39" s="69" t="str">
        <f>IF(ISERROR((VLOOKUP(O39,Taken!$E:$F,2,0)-T39)),"",(VLOOKUP(O39,Taken!$E:$F,2,0)-T39))</f>
        <v/>
      </c>
      <c r="W39" s="69">
        <f>MIN(W37,MAX(1,ROUND(((((S39-S$63)+Settings!$R$4)/(SUM(S39:S$63)-((S$63-Settings!$R$4)*((61+1)-M39))))*(Settings!$X$4-SUM(W$36:W38))),0)))</f>
        <v>4</v>
      </c>
      <c r="X39" s="43" t="str">
        <f>IF(ISERROR((VLOOKUP(O39,Taken!$E:$F,2,0)-W39)),"",(VLOOKUP(O39,Taken!$E:$F,2,0)-W39))</f>
        <v/>
      </c>
      <c r="Y39" s="60">
        <f t="shared" si="6"/>
        <v>37</v>
      </c>
      <c r="Z39" s="75" t="str">
        <f>IF(ISERROR(VLOOKUP(AA39,Taken!$H:$H,1,0)),"",IF(ISERROR(VLOOKUP(AA39,'Draft Board'!$AS:$AS,1,0)),"X","Y"))</f>
        <v/>
      </c>
      <c r="AA39" s="75" t="str">
        <f>VLOOKUP(Y39,WR!X:Y,2,0)</f>
        <v>Cecil Shorts</v>
      </c>
      <c r="AB39" s="75" t="str">
        <f>VLOOKUP(AA39,WR!$B:$C,2,0)</f>
        <v>JAC</v>
      </c>
      <c r="AC39" s="72">
        <f>IF((AB39="FA"),"N/A",VLOOKUP(AB39,Settings!$M$2:$N$33,2,0))</f>
        <v>11</v>
      </c>
      <c r="AD39" s="153">
        <f>VLOOKUP(AA39,WR!$B:$W,22,0)</f>
        <v>144.4</v>
      </c>
      <c r="AE39" s="65">
        <f>AD39-Settings!$AA$5</f>
        <v>-56.639393939393898</v>
      </c>
      <c r="AF39" s="129">
        <f>IF(ISERROR(VLOOKUP(AA39,ESPNData!$CS:$CX,6,0)),"",IF((VLOOKUP(AA39,ESPNData!$CS:$CX,6,0)="--"),"",VLOOKUP(AA39,ESPNData!$CS:$CX,6,0)))</f>
        <v>4</v>
      </c>
      <c r="AG39" s="75">
        <f>IF(ISERROR(VLOOKUP(AA39,ESPNData!$CZ:$DE,6,0)),"",IF((VLOOKUP(AA39,ESPNData!$CZ:$DE,6,0)="--"),"",VLOOKUP(AA39,ESPNData!$CZ:$DE,6,0)))</f>
        <v>3</v>
      </c>
      <c r="AH39" s="69" t="str">
        <f>IF(ISERROR((VLOOKUP(AA39,Taken!$H:$I,2,0)-AF39)),"",(VLOOKUP(AA39,Taken!$H:$I,2,0)-AF39))</f>
        <v/>
      </c>
      <c r="AI39" s="69">
        <f>MIN(AI38,MAX(1,ROUND(((((AE39-AE$63)+Settings!$R$5)/(SUM(AE39:AE$63)-((AE$63-Settings!$R$5)*((61+1)-Y39))))*(Settings!$X$5-SUM(AI$36:AI38))),0)))</f>
        <v>5</v>
      </c>
      <c r="AJ39" s="43" t="str">
        <f>IF(ISERROR((VLOOKUP(AA39,Taken!$H:$I,2,0)-AI39)),"",(VLOOKUP(AA39,Taken!$H:$I,2,0)-AI39))</f>
        <v/>
      </c>
      <c r="AK39" s="163">
        <f t="shared" si="7"/>
        <v>5</v>
      </c>
      <c r="AL39" s="75" t="str">
        <f>IF(ISERROR(VLOOKUP(AM39,Taken!$Q:$Q,1,0)),"",IF(ISERROR(VLOOKUP(AM39,'Draft Board'!$AS:$AS,1,0)),"X","Y"))</f>
        <v/>
      </c>
      <c r="AM39" s="75" t="str">
        <f>VLOOKUP(AK39,DST!V:W,2,0)</f>
        <v>Bengals</v>
      </c>
      <c r="AN39" s="75" t="str">
        <f>VLOOKUP(AM39,DST!$B:$C,2,0)</f>
        <v>CIN</v>
      </c>
      <c r="AO39" s="72">
        <f>VLOOKUP(AN39,Settings!$M$2:$N$33,2,0)</f>
        <v>4</v>
      </c>
      <c r="AP39" s="153">
        <f>VLOOKUP(AM39,DST!$B:$U,20,0)</f>
        <v>113.6</v>
      </c>
      <c r="AQ39" s="65">
        <f>AP39-Settings!$AA$8</f>
        <v>1.8545454545454589</v>
      </c>
      <c r="AR39" s="129" t="str">
        <f>IF(ISERROR(VLOOKUP(AM39,ESPNData!$CS:$CX,6,0)),"",IF((VLOOKUP(AM39,ESPNData!$CS:$CX,6,0)="--"),"",VLOOKUP(AM39,ESPNData!$CS:$CX,6,0)))</f>
        <v/>
      </c>
      <c r="AS39" s="75" t="str">
        <f>IF(ISERROR(VLOOKUP(AM39,ESPNData!$CZ:$DE,6,0)),"",IF((VLOOKUP(AM39,ESPNData!$CZ:$DE,6,0)="--"),"",VLOOKUP(AM39,ESPNData!$CZ:$DE,6,0)))</f>
        <v/>
      </c>
      <c r="AT39" s="69" t="str">
        <f>IF(ISERROR((VLOOKUP(AM39,Taken!$Q:$R,2,0)-AR39)),"",(VLOOKUP(AM39,Taken!$Q:$R,2,0)-AR39))</f>
        <v/>
      </c>
      <c r="AU39" s="69">
        <f>MAX(1,ROUND(((((AQ39-AQ$45)+Settings!$Q$8)/(SUM(AQ39:AQ$45)-((AQ$45-Settings!$Q$8)*((11+1)-AK39))))*(Settings!$V$8-SUM(AU$35:AU38))),0))</f>
        <v>1</v>
      </c>
      <c r="AV39" s="43" t="str">
        <f>IF(ISERROR((VLOOKUP(AM39,Taken!$Q:$R,2,0)-AU39)),"",(VLOOKUP(AM39,Taken!$Q:$R,2,0)-AU39))</f>
        <v/>
      </c>
      <c r="AW39" s="155"/>
    </row>
    <row r="40" spans="1:49" ht="12.75" customHeight="1">
      <c r="A40" s="114">
        <f t="shared" si="4"/>
        <v>38</v>
      </c>
      <c r="B40" s="75" t="str">
        <f>IF(ISERROR(VLOOKUP(C40,Taken!$B:$B,1,0)),"",IF(ISERROR(VLOOKUP(C40,'Draft Board'!$AS:$AS,1,0)),"X","Y"))</f>
        <v/>
      </c>
      <c r="C40" s="75" t="str">
        <f>VLOOKUP(A40,QB!AC:AD,2,0)</f>
        <v>Mike Glennon</v>
      </c>
      <c r="D40" s="72" t="str">
        <f>VLOOKUP(C40,QB!$B:$C,2,0)</f>
        <v>TB</v>
      </c>
      <c r="E40" s="72">
        <f>IF((D40="FA"),"N/A",VLOOKUP(D40,Settings!$M$2:$N$33,2,0))</f>
        <v>7</v>
      </c>
      <c r="F40" s="153">
        <f>VLOOKUP(C40,QB!$B:$AB,27,0)</f>
        <v>45.9</v>
      </c>
      <c r="G40" s="65">
        <f>F40-Settings!$AA$3</f>
        <v>-292.21818181818179</v>
      </c>
      <c r="H40" s="129" t="str">
        <f>IF(ISERROR(VLOOKUP(C40,ESPNData!$CS:$CX,6,0)),"",IF((VLOOKUP(C40,ESPNData!$CS:$CX,6,0)="--"),"",VLOOKUP(C40,ESPNData!$CS:$CX,6,0)))</f>
        <v/>
      </c>
      <c r="I40" s="75" t="str">
        <f>IF(ISERROR(VLOOKUP(C40,ESPNData!$CZ:$DE,6,0)),"",IF((VLOOKUP(C40,ESPNData!$CZ:$DE,6,0)="--"),"",VLOOKUP(C40,ESPNData!$CZ:$DE,6,0)))</f>
        <v/>
      </c>
      <c r="J40" s="69" t="str">
        <f>IF(ISERROR((VLOOKUP(C40,Taken!$B:$C,2,0)-H40)),"",(VLOOKUP(C40,Taken!$B:$C,2,0)-H40))</f>
        <v/>
      </c>
      <c r="K40" s="69">
        <v>1</v>
      </c>
      <c r="L40" s="43" t="str">
        <f>IF(ISERROR((VLOOKUP(C40,Taken!$B:$C,2,0)-K40)),"",(VLOOKUP(C40,Taken!$B:$C,2,0)-K40))</f>
        <v/>
      </c>
      <c r="M40" s="60">
        <f t="shared" si="5"/>
        <v>38</v>
      </c>
      <c r="N40" s="75" t="str">
        <f>IF(ISERROR(VLOOKUP(O40,Taken!$E:$E,1,0)),"",IF(ISERROR(VLOOKUP(O40,'Draft Board'!$AS:$AS,1,0)),"X","Y"))</f>
        <v/>
      </c>
      <c r="O40" s="75" t="str">
        <f>VLOOKUP(M40,RB!Z:AA,2,0)</f>
        <v>Lamar Miller</v>
      </c>
      <c r="P40" s="75" t="str">
        <f>VLOOKUP(O40,RB!$B:$C,2,0)</f>
        <v>MIA</v>
      </c>
      <c r="Q40" s="72">
        <f>IF((P40="FA"),"N/A",VLOOKUP(P40,Settings!$M$2:$N$33,2,0))</f>
        <v>5</v>
      </c>
      <c r="R40" s="153">
        <f>VLOOKUP(O40,RB!$B:$Y,24,0)</f>
        <v>133.5</v>
      </c>
      <c r="S40" s="65">
        <f>R40-Settings!$AA$4</f>
        <v>-71.69393939393936</v>
      </c>
      <c r="T40" s="129">
        <f>IF(ISERROR(VLOOKUP(O40,ESPNData!$CS:$CX,6,0)),"",IF((VLOOKUP(O40,ESPNData!$CS:$CX,6,0)="--"),"",VLOOKUP(O40,ESPNData!$CS:$CX,6,0)))</f>
        <v>3</v>
      </c>
      <c r="U40" s="75">
        <f>IF(ISERROR(VLOOKUP(O40,ESPNData!$CZ:$DE,6,0)),"",IF((VLOOKUP(O40,ESPNData!$CZ:$DE,6,0)="--"),"",VLOOKUP(O40,ESPNData!$CZ:$DE,6,0)))</f>
        <v>2</v>
      </c>
      <c r="V40" s="69" t="str">
        <f>IF(ISERROR((VLOOKUP(O40,Taken!$E:$F,2,0)-T40)),"",(VLOOKUP(O40,Taken!$E:$F,2,0)-T40))</f>
        <v/>
      </c>
      <c r="W40" s="69">
        <f>MIN(W38,MAX(1,ROUND(((((S40-S$63)+Settings!$R$4)/(SUM(S40:S$63)-((S$63-Settings!$R$4)*((61+1)-M40))))*(Settings!$X$4-SUM(W$36:W39))),0)))</f>
        <v>4</v>
      </c>
      <c r="X40" s="43" t="str">
        <f>IF(ISERROR((VLOOKUP(O40,Taken!$E:$F,2,0)-W40)),"",(VLOOKUP(O40,Taken!$E:$F,2,0)-W40))</f>
        <v/>
      </c>
      <c r="Y40" s="60">
        <f t="shared" si="6"/>
        <v>38</v>
      </c>
      <c r="Z40" s="75" t="str">
        <f>IF(ISERROR(VLOOKUP(AA40,Taken!$H:$H,1,0)),"",IF(ISERROR(VLOOKUP(AA40,'Draft Board'!$AS:$AS,1,0)),"X","Y"))</f>
        <v/>
      </c>
      <c r="AA40" s="75" t="str">
        <f>VLOOKUP(Y40,WR!X:Y,2,0)</f>
        <v>Dwayne Bowe</v>
      </c>
      <c r="AB40" s="75" t="str">
        <f>VLOOKUP(AA40,WR!$B:$C,2,0)</f>
        <v>KC</v>
      </c>
      <c r="AC40" s="72">
        <f>IF((AB40="FA"),"N/A",VLOOKUP(AB40,Settings!$M$2:$N$33,2,0))</f>
        <v>6</v>
      </c>
      <c r="AD40" s="153">
        <f>VLOOKUP(AA40,WR!$B:$W,22,0)</f>
        <v>143.6</v>
      </c>
      <c r="AE40" s="65">
        <f>AD40-Settings!$AA$5</f>
        <v>-57.439393939393909</v>
      </c>
      <c r="AF40" s="129">
        <f>IF(ISERROR(VLOOKUP(AA40,ESPNData!$CS:$CX,6,0)),"",IF((VLOOKUP(AA40,ESPNData!$CS:$CX,6,0)="--"),"",VLOOKUP(AA40,ESPNData!$CS:$CX,6,0)))</f>
        <v>2</v>
      </c>
      <c r="AG40" s="75">
        <f>IF(ISERROR(VLOOKUP(AA40,ESPNData!$CZ:$DE,6,0)),"",IF((VLOOKUP(AA40,ESPNData!$CZ:$DE,6,0)="--"),"",VLOOKUP(AA40,ESPNData!$CZ:$DE,6,0)))</f>
        <v>2</v>
      </c>
      <c r="AH40" s="69" t="str">
        <f>IF(ISERROR((VLOOKUP(AA40,Taken!$H:$I,2,0)-AF40)),"",(VLOOKUP(AA40,Taken!$H:$I,2,0)-AF40))</f>
        <v/>
      </c>
      <c r="AI40" s="69">
        <f>MIN(AI39,MAX(1,ROUND(((((AE40-AE$63)+Settings!$R$5)/(SUM(AE40:AE$63)-((AE$63-Settings!$R$5)*((61+1)-Y40))))*(Settings!$X$5-SUM(AI$36:AI39))),0)))</f>
        <v>5</v>
      </c>
      <c r="AJ40" s="43" t="str">
        <f>IF(ISERROR((VLOOKUP(AA40,Taken!$H:$I,2,0)-AI40)),"",(VLOOKUP(AA40,Taken!$H:$I,2,0)-AI40))</f>
        <v/>
      </c>
      <c r="AK40" s="163">
        <f t="shared" si="7"/>
        <v>6</v>
      </c>
      <c r="AL40" s="75" t="str">
        <f>IF(ISERROR(VLOOKUP(AM40,Taken!$Q:$Q,1,0)),"",IF(ISERROR(VLOOKUP(AM40,'Draft Board'!$AS:$AS,1,0)),"X","Y"))</f>
        <v/>
      </c>
      <c r="AM40" s="75" t="str">
        <f>VLOOKUP(AK40,DST!V:W,2,0)</f>
        <v>Rams</v>
      </c>
      <c r="AN40" s="75" t="str">
        <f>VLOOKUP(AM40,DST!$B:$C,2,0)</f>
        <v>STL</v>
      </c>
      <c r="AO40" s="72">
        <f>VLOOKUP(AN40,Settings!$M$2:$N$33,2,0)</f>
        <v>4</v>
      </c>
      <c r="AP40" s="153">
        <f>VLOOKUP(AM40,DST!$B:$U,20,0)</f>
        <v>113.1</v>
      </c>
      <c r="AQ40" s="65">
        <f>AP40-Settings!$AA$8</f>
        <v>1.3545454545454589</v>
      </c>
      <c r="AR40" s="129" t="str">
        <f>IF(ISERROR(VLOOKUP(AM40,ESPNData!$CS:$CX,6,0)),"",IF((VLOOKUP(AM40,ESPNData!$CS:$CX,6,0)="--"),"",VLOOKUP(AM40,ESPNData!$CS:$CX,6,0)))</f>
        <v/>
      </c>
      <c r="AS40" s="75" t="str">
        <f>IF(ISERROR(VLOOKUP(AM40,ESPNData!$CZ:$DE,6,0)),"",IF((VLOOKUP(AM40,ESPNData!$CZ:$DE,6,0)="--"),"",VLOOKUP(AM40,ESPNData!$CZ:$DE,6,0)))</f>
        <v/>
      </c>
      <c r="AT40" s="69" t="str">
        <f>IF(ISERROR((VLOOKUP(AM40,Taken!$Q:$R,2,0)-AR40)),"",(VLOOKUP(AM40,Taken!$Q:$R,2,0)-AR40))</f>
        <v/>
      </c>
      <c r="AU40" s="69">
        <f>MAX(1,ROUND(((((AQ40-AQ$45)+Settings!$Q$8)/(SUM(AQ40:AQ$45)-((AQ$45-Settings!$Q$8)*((11+1)-AK40))))*(Settings!$V$8-SUM(AU$35:AU39))),0))</f>
        <v>1</v>
      </c>
      <c r="AV40" s="43" t="str">
        <f>IF(ISERROR((VLOOKUP(AM40,Taken!$Q:$R,2,0)-AU40)),"",(VLOOKUP(AM40,Taken!$Q:$R,2,0)-AU40))</f>
        <v/>
      </c>
      <c r="AW40" s="155"/>
    </row>
    <row r="41" spans="1:49" ht="12.75" customHeight="1">
      <c r="A41" s="114">
        <f t="shared" si="4"/>
        <v>39</v>
      </c>
      <c r="B41" s="75" t="str">
        <f>IF(ISERROR(VLOOKUP(C41,Taken!$B:$B,1,0)),"",IF(ISERROR(VLOOKUP(C41,'Draft Board'!$AS:$AS,1,0)),"X","Y"))</f>
        <v/>
      </c>
      <c r="C41" s="75" t="str">
        <f>VLOOKUP(A41,QB!AC:AD,2,0)</f>
        <v>Derek Carr</v>
      </c>
      <c r="D41" s="72" t="str">
        <f>VLOOKUP(C41,QB!$B:$C,2,0)</f>
        <v>OAK</v>
      </c>
      <c r="E41" s="72">
        <f>IF((D41="FA"),"N/A",VLOOKUP(D41,Settings!$M$2:$N$33,2,0))</f>
        <v>5</v>
      </c>
      <c r="F41" s="153">
        <f>VLOOKUP(C41,QB!$B:$AB,27,0)</f>
        <v>44.2</v>
      </c>
      <c r="G41" s="65">
        <f>F41-Settings!$AA$3</f>
        <v>-293.91818181818178</v>
      </c>
      <c r="H41" s="129" t="str">
        <f>IF(ISERROR(VLOOKUP(C41,ESPNData!$CS:$CX,6,0)),"",IF((VLOOKUP(C41,ESPNData!$CS:$CX,6,0)="--"),"",VLOOKUP(C41,ESPNData!$CS:$CX,6,0)))</f>
        <v/>
      </c>
      <c r="I41" s="75" t="str">
        <f>IF(ISERROR(VLOOKUP(C41,ESPNData!$CZ:$DE,6,0)),"",IF((VLOOKUP(C41,ESPNData!$CZ:$DE,6,0)="--"),"",VLOOKUP(C41,ESPNData!$CZ:$DE,6,0)))</f>
        <v/>
      </c>
      <c r="J41" s="69" t="str">
        <f>IF(ISERROR((VLOOKUP(C41,Taken!$B:$C,2,0)-H41)),"",(VLOOKUP(C41,Taken!$B:$C,2,0)-H41))</f>
        <v/>
      </c>
      <c r="K41" s="69">
        <v>1</v>
      </c>
      <c r="L41" s="43" t="str">
        <f>IF(ISERROR((VLOOKUP(C41,Taken!$B:$C,2,0)-K41)),"",(VLOOKUP(C41,Taken!$B:$C,2,0)-K41))</f>
        <v/>
      </c>
      <c r="M41" s="60">
        <f t="shared" si="5"/>
        <v>39</v>
      </c>
      <c r="N41" s="75" t="str">
        <f>IF(ISERROR(VLOOKUP(O41,Taken!$E:$E,1,0)),"",IF(ISERROR(VLOOKUP(O41,'Draft Board'!$AS:$AS,1,0)),"X","Y"))</f>
        <v/>
      </c>
      <c r="O41" s="75" t="str">
        <f>VLOOKUP(M41,RB!Z:AA,2,0)</f>
        <v>Terrance West</v>
      </c>
      <c r="P41" s="75" t="str">
        <f>VLOOKUP(O41,RB!$B:$C,2,0)</f>
        <v>CLE</v>
      </c>
      <c r="Q41" s="72">
        <f>IF((P41="FA"),"N/A",VLOOKUP(P41,Settings!$M$2:$N$33,2,0))</f>
        <v>4</v>
      </c>
      <c r="R41" s="153">
        <f>VLOOKUP(O41,RB!$B:$Y,24,0)</f>
        <v>122</v>
      </c>
      <c r="S41" s="65">
        <f>R41-Settings!$AA$4</f>
        <v>-83.19393939393936</v>
      </c>
      <c r="T41" s="129">
        <f>IF(ISERROR(VLOOKUP(O41,ESPNData!$CS:$CX,6,0)),"",IF((VLOOKUP(O41,ESPNData!$CS:$CX,6,0)="--"),"",VLOOKUP(O41,ESPNData!$CS:$CX,6,0)))</f>
        <v>1</v>
      </c>
      <c r="U41" s="75" t="str">
        <f>IF(ISERROR(VLOOKUP(O41,ESPNData!$CZ:$DE,6,0)),"",IF((VLOOKUP(O41,ESPNData!$CZ:$DE,6,0)="--"),"",VLOOKUP(O41,ESPNData!$CZ:$DE,6,0)))</f>
        <v/>
      </c>
      <c r="V41" s="69" t="str">
        <f>IF(ISERROR((VLOOKUP(O41,Taken!$E:$F,2,0)-T41)),"",(VLOOKUP(O41,Taken!$E:$F,2,0)-T41))</f>
        <v/>
      </c>
      <c r="W41" s="69">
        <f>MIN(W39,MAX(1,ROUND(((((S41-S$63)+Settings!$R$4)/(SUM(S41:S$63)-((S$63-Settings!$R$4)*((61+1)-M41))))*(Settings!$X$4-SUM(W$36:W40))),0)))</f>
        <v>4</v>
      </c>
      <c r="X41" s="43" t="str">
        <f>IF(ISERROR((VLOOKUP(O41,Taken!$E:$F,2,0)-W41)),"",(VLOOKUP(O41,Taken!$E:$F,2,0)-W41))</f>
        <v/>
      </c>
      <c r="Y41" s="60">
        <f t="shared" si="6"/>
        <v>39</v>
      </c>
      <c r="Z41" s="75" t="str">
        <f>IF(ISERROR(VLOOKUP(AA41,Taken!$H:$H,1,0)),"",IF(ISERROR(VLOOKUP(AA41,'Draft Board'!$AS:$AS,1,0)),"X","Y"))</f>
        <v/>
      </c>
      <c r="AA41" s="75" t="str">
        <f>VLOOKUP(Y41,WR!X:Y,2,0)</f>
        <v>Anquan Boldin</v>
      </c>
      <c r="AB41" s="75" t="str">
        <f>VLOOKUP(AA41,WR!$B:$C,2,0)</f>
        <v>SF</v>
      </c>
      <c r="AC41" s="72">
        <f>IF((AB41="FA"),"N/A",VLOOKUP(AB41,Settings!$M$2:$N$33,2,0))</f>
        <v>8</v>
      </c>
      <c r="AD41" s="153">
        <f>VLOOKUP(AA41,WR!$B:$W,22,0)</f>
        <v>141.6</v>
      </c>
      <c r="AE41" s="65">
        <f>AD41-Settings!$AA$5</f>
        <v>-59.439393939393909</v>
      </c>
      <c r="AF41" s="129">
        <f>IF(ISERROR(VLOOKUP(AA41,ESPNData!$CS:$CX,6,0)),"",IF((VLOOKUP(AA41,ESPNData!$CS:$CX,6,0)="--"),"",VLOOKUP(AA41,ESPNData!$CS:$CX,6,0)))</f>
        <v>3</v>
      </c>
      <c r="AG41" s="75">
        <f>IF(ISERROR(VLOOKUP(AA41,ESPNData!$CZ:$DE,6,0)),"",IF((VLOOKUP(AA41,ESPNData!$CZ:$DE,6,0)="--"),"",VLOOKUP(AA41,ESPNData!$CZ:$DE,6,0)))</f>
        <v>3</v>
      </c>
      <c r="AH41" s="69" t="str">
        <f>IF(ISERROR((VLOOKUP(AA41,Taken!$H:$I,2,0)-AF41)),"",(VLOOKUP(AA41,Taken!$H:$I,2,0)-AF41))</f>
        <v/>
      </c>
      <c r="AI41" s="69">
        <f>MIN(AI40,MAX(1,ROUND(((((AE41-AE$63)+Settings!$R$5)/(SUM(AE41:AE$63)-((AE$63-Settings!$R$5)*((61+1)-Y41))))*(Settings!$X$5-SUM(AI$36:AI40))),0)))</f>
        <v>4</v>
      </c>
      <c r="AJ41" s="43" t="str">
        <f>IF(ISERROR((VLOOKUP(AA41,Taken!$H:$I,2,0)-AI41)),"",(VLOOKUP(AA41,Taken!$H:$I,2,0)-AI41))</f>
        <v/>
      </c>
      <c r="AK41" s="163">
        <f t="shared" si="7"/>
        <v>7</v>
      </c>
      <c r="AL41" s="75" t="str">
        <f>IF(ISERROR(VLOOKUP(AM41,Taken!$Q:$Q,1,0)),"",IF(ISERROR(VLOOKUP(AM41,'Draft Board'!$AS:$AS,1,0)),"X","Y"))</f>
        <v/>
      </c>
      <c r="AM41" s="75" t="str">
        <f>VLOOKUP(AK41,DST!V:W,2,0)</f>
        <v>49ers</v>
      </c>
      <c r="AN41" s="75" t="str">
        <f>VLOOKUP(AM41,DST!$B:$C,2,0)</f>
        <v>SF</v>
      </c>
      <c r="AO41" s="72">
        <f>VLOOKUP(AN41,Settings!$M$2:$N$33,2,0)</f>
        <v>8</v>
      </c>
      <c r="AP41" s="153">
        <f>VLOOKUP(AM41,DST!$B:$U,20,0)</f>
        <v>111.9</v>
      </c>
      <c r="AQ41" s="65">
        <f>AP41-Settings!$AA$8</f>
        <v>0.15454545454547031</v>
      </c>
      <c r="AR41" s="129" t="str">
        <f>IF(ISERROR(VLOOKUP(AM41,ESPNData!$CS:$CX,6,0)),"",IF((VLOOKUP(AM41,ESPNData!$CS:$CX,6,0)="--"),"",VLOOKUP(AM41,ESPNData!$CS:$CX,6,0)))</f>
        <v/>
      </c>
      <c r="AS41" s="75" t="str">
        <f>IF(ISERROR(VLOOKUP(AM41,ESPNData!$CZ:$DE,6,0)),"",IF((VLOOKUP(AM41,ESPNData!$CZ:$DE,6,0)="--"),"",VLOOKUP(AM41,ESPNData!$CZ:$DE,6,0)))</f>
        <v/>
      </c>
      <c r="AT41" s="69" t="str">
        <f>IF(ISERROR((VLOOKUP(AM41,Taken!$Q:$R,2,0)-AR41)),"",(VLOOKUP(AM41,Taken!$Q:$R,2,0)-AR41))</f>
        <v/>
      </c>
      <c r="AU41" s="69">
        <f>MAX(1,ROUND(((((AQ41-AQ$45)+Settings!$Q$8)/(SUM(AQ41:AQ$45)-((AQ$45-Settings!$Q$8)*((11+1)-AK41))))*(Settings!$V$8-SUM(AU$35:AU40))),0))</f>
        <v>2</v>
      </c>
      <c r="AV41" s="43" t="str">
        <f>IF(ISERROR((VLOOKUP(AM41,Taken!$Q:$R,2,0)-AU41)),"",(VLOOKUP(AM41,Taken!$Q:$R,2,0)-AU41))</f>
        <v/>
      </c>
      <c r="AW41" s="155"/>
    </row>
    <row r="42" spans="1:49" ht="12.75" customHeight="1">
      <c r="A42" s="114">
        <f t="shared" si="4"/>
        <v>40</v>
      </c>
      <c r="B42" s="75" t="str">
        <f>IF(ISERROR(VLOOKUP(C42,Taken!$B:$B,1,0)),"",IF(ISERROR(VLOOKUP(C42,'Draft Board'!$AS:$AS,1,0)),"X","Y"))</f>
        <v/>
      </c>
      <c r="C42" s="75" t="str">
        <f>VLOOKUP(A42,QB!AC:AD,2,0)</f>
        <v>Kirk Cousins</v>
      </c>
      <c r="D42" s="72" t="str">
        <f>VLOOKUP(C42,QB!$B:$C,2,0)</f>
        <v>WSH</v>
      </c>
      <c r="E42" s="72">
        <f>IF((D42="FA"),"N/A",VLOOKUP(D42,Settings!$M$2:$N$33,2,0))</f>
        <v>10</v>
      </c>
      <c r="F42" s="153">
        <f>VLOOKUP(C42,QB!$B:$AB,27,0)</f>
        <v>39</v>
      </c>
      <c r="G42" s="65">
        <f>F42-Settings!$AA$3</f>
        <v>-299.11818181818177</v>
      </c>
      <c r="H42" s="129" t="str">
        <f>IF(ISERROR(VLOOKUP(C42,ESPNData!$CS:$CX,6,0)),"",IF((VLOOKUP(C42,ESPNData!$CS:$CX,6,0)="--"),"",VLOOKUP(C42,ESPNData!$CS:$CX,6,0)))</f>
        <v/>
      </c>
      <c r="I42" s="75" t="str">
        <f>IF(ISERROR(VLOOKUP(C42,ESPNData!$CZ:$DE,6,0)),"",IF((VLOOKUP(C42,ESPNData!$CZ:$DE,6,0)="--"),"",VLOOKUP(C42,ESPNData!$CZ:$DE,6,0)))</f>
        <v/>
      </c>
      <c r="J42" s="69" t="str">
        <f>IF(ISERROR((VLOOKUP(C42,Taken!$B:$C,2,0)-H42)),"",(VLOOKUP(C42,Taken!$B:$C,2,0)-H42))</f>
        <v/>
      </c>
      <c r="K42" s="69">
        <v>1</v>
      </c>
      <c r="L42" s="43" t="str">
        <f>IF(ISERROR((VLOOKUP(C42,Taken!$B:$C,2,0)-K42)),"",(VLOOKUP(C42,Taken!$B:$C,2,0)-K42))</f>
        <v/>
      </c>
      <c r="M42" s="60">
        <f t="shared" si="5"/>
        <v>40</v>
      </c>
      <c r="N42" s="75" t="str">
        <f>IF(ISERROR(VLOOKUP(O42,Taken!$E:$E,1,0)),"",IF(ISERROR(VLOOKUP(O42,'Draft Board'!$AS:$AS,1,0)),"X","Y"))</f>
        <v/>
      </c>
      <c r="O42" s="75" t="str">
        <f>VLOOKUP(M42,RB!Z:AA,2,0)</f>
        <v>Khiry Robinson</v>
      </c>
      <c r="P42" s="75" t="str">
        <f>VLOOKUP(O42,RB!$B:$C,2,0)</f>
        <v>NO</v>
      </c>
      <c r="Q42" s="72">
        <f>IF((P42="FA"),"N/A",VLOOKUP(P42,Settings!$M$2:$N$33,2,0))</f>
        <v>6</v>
      </c>
      <c r="R42" s="153">
        <f>VLOOKUP(O42,RB!$B:$Y,24,0)</f>
        <v>114.2</v>
      </c>
      <c r="S42" s="65">
        <f>R42-Settings!$AA$4</f>
        <v>-90.993939393939357</v>
      </c>
      <c r="T42" s="129">
        <f>IF(ISERROR(VLOOKUP(O42,ESPNData!$CS:$CX,6,0)),"",IF((VLOOKUP(O42,ESPNData!$CS:$CX,6,0)="--"),"",VLOOKUP(O42,ESPNData!$CS:$CX,6,0)))</f>
        <v>3</v>
      </c>
      <c r="U42" s="75">
        <f>IF(ISERROR(VLOOKUP(O42,ESPNData!$CZ:$DE,6,0)),"",IF((VLOOKUP(O42,ESPNData!$CZ:$DE,6,0)="--"),"",VLOOKUP(O42,ESPNData!$CZ:$DE,6,0)))</f>
        <v>1</v>
      </c>
      <c r="V42" s="69" t="str">
        <f>IF(ISERROR((VLOOKUP(O42,Taken!$E:$F,2,0)-T42)),"",(VLOOKUP(O42,Taken!$E:$F,2,0)-T42))</f>
        <v/>
      </c>
      <c r="W42" s="69">
        <f>MIN(W40,MAX(1,ROUND(((((S42-S$63)+Settings!$R$4)/(SUM(S42:S$63)-((S$63-Settings!$R$4)*((61+1)-M42))))*(Settings!$X$4-SUM(W$36:W41))),0)))</f>
        <v>3</v>
      </c>
      <c r="X42" s="43" t="str">
        <f>IF(ISERROR((VLOOKUP(O42,Taken!$E:$F,2,0)-W42)),"",(VLOOKUP(O42,Taken!$E:$F,2,0)-W42))</f>
        <v/>
      </c>
      <c r="Y42" s="60">
        <f t="shared" si="6"/>
        <v>40</v>
      </c>
      <c r="Z42" s="75" t="str">
        <f>IF(ISERROR(VLOOKUP(AA42,Taken!$H:$H,1,0)),"",IF(ISERROR(VLOOKUP(AA42,'Draft Board'!$AS:$AS,1,0)),"X","Y"))</f>
        <v/>
      </c>
      <c r="AA42" s="75" t="str">
        <f>VLOOKUP(Y42,WR!X:Y,2,0)</f>
        <v>Brian Hartline</v>
      </c>
      <c r="AB42" s="75" t="str">
        <f>VLOOKUP(AA42,WR!$B:$C,2,0)</f>
        <v>MIA</v>
      </c>
      <c r="AC42" s="72">
        <f>IF((AB42="FA"),"N/A",VLOOKUP(AB42,Settings!$M$2:$N$33,2,0))</f>
        <v>5</v>
      </c>
      <c r="AD42" s="153">
        <f>VLOOKUP(AA42,WR!$B:$W,22,0)</f>
        <v>140.69999999999999</v>
      </c>
      <c r="AE42" s="65">
        <f>AD42-Settings!$AA$5</f>
        <v>-60.339393939393915</v>
      </c>
      <c r="AF42" s="129" t="str">
        <f>IF(ISERROR(VLOOKUP(AA42,ESPNData!$CS:$CX,6,0)),"",IF((VLOOKUP(AA42,ESPNData!$CS:$CX,6,0)="--"),"",VLOOKUP(AA42,ESPNData!$CS:$CX,6,0)))</f>
        <v/>
      </c>
      <c r="AG42" s="75">
        <f>IF(ISERROR(VLOOKUP(AA42,ESPNData!$CZ:$DE,6,0)),"",IF((VLOOKUP(AA42,ESPNData!$CZ:$DE,6,0)="--"),"",VLOOKUP(AA42,ESPNData!$CZ:$DE,6,0)))</f>
        <v>1</v>
      </c>
      <c r="AH42" s="69" t="str">
        <f>IF(ISERROR((VLOOKUP(AA42,Taken!$H:$I,2,0)-AF42)),"",(VLOOKUP(AA42,Taken!$H:$I,2,0)-AF42))</f>
        <v/>
      </c>
      <c r="AI42" s="69">
        <f>MIN(AI41,MAX(1,ROUND(((((AE42-AE$63)+Settings!$R$5)/(SUM(AE42:AE$63)-((AE$63-Settings!$R$5)*((61+1)-Y42))))*(Settings!$X$5-SUM(AI$36:AI41))),0)))</f>
        <v>4</v>
      </c>
      <c r="AJ42" s="43" t="str">
        <f>IF(ISERROR((VLOOKUP(AA42,Taken!$H:$I,2,0)-AI42)),"",(VLOOKUP(AA42,Taken!$H:$I,2,0)-AI42))</f>
        <v/>
      </c>
      <c r="AK42" s="163">
        <f t="shared" si="7"/>
        <v>8</v>
      </c>
      <c r="AL42" s="75" t="str">
        <f>IF(ISERROR(VLOOKUP(AM42,Taken!$Q:$Q,1,0)),"",IF(ISERROR(VLOOKUP(AM42,'Draft Board'!$AS:$AS,1,0)),"X","Y"))</f>
        <v/>
      </c>
      <c r="AM42" s="75" t="str">
        <f>VLOOKUP(AK42,DST!V:W,2,0)</f>
        <v>Broncos</v>
      </c>
      <c r="AN42" s="75" t="str">
        <f>VLOOKUP(AM42,DST!$B:$C,2,0)</f>
        <v>DEN</v>
      </c>
      <c r="AO42" s="72">
        <f>VLOOKUP(AN42,Settings!$M$2:$N$33,2,0)</f>
        <v>4</v>
      </c>
      <c r="AP42" s="153">
        <f>VLOOKUP(AM42,DST!$B:$U,20,0)</f>
        <v>111.5</v>
      </c>
      <c r="AQ42" s="65">
        <f>AP42-Settings!$AA$8</f>
        <v>-0.24545454545453538</v>
      </c>
      <c r="AR42" s="129" t="str">
        <f>IF(ISERROR(VLOOKUP(AM42,ESPNData!$CS:$CX,6,0)),"",IF((VLOOKUP(AM42,ESPNData!$CS:$CX,6,0)="--"),"",VLOOKUP(AM42,ESPNData!$CS:$CX,6,0)))</f>
        <v/>
      </c>
      <c r="AS42" s="75" t="str">
        <f>IF(ISERROR(VLOOKUP(AM42,ESPNData!$CZ:$DE,6,0)),"",IF((VLOOKUP(AM42,ESPNData!$CZ:$DE,6,0)="--"),"",VLOOKUP(AM42,ESPNData!$CZ:$DE,6,0)))</f>
        <v/>
      </c>
      <c r="AT42" s="69" t="str">
        <f>IF(ISERROR((VLOOKUP(AM42,Taken!$Q:$R,2,0)-AR42)),"",(VLOOKUP(AM42,Taken!$Q:$R,2,0)-AR42))</f>
        <v/>
      </c>
      <c r="AU42" s="69">
        <f>MAX(1,ROUND(((((AQ42-AQ$45)+Settings!$Q$8)/(SUM(AQ42:AQ$45)-((AQ$45-Settings!$Q$8)*((11+1)-AK42))))*(Settings!$V$8-SUM(AU$35:AU41))),0))</f>
        <v>1</v>
      </c>
      <c r="AV42" s="43" t="str">
        <f>IF(ISERROR((VLOOKUP(AM42,Taken!$Q:$R,2,0)-AU42)),"",(VLOOKUP(AM42,Taken!$Q:$R,2,0)-AU42))</f>
        <v/>
      </c>
      <c r="AW42" s="155"/>
    </row>
    <row r="43" spans="1:49" ht="12.75" customHeight="1">
      <c r="A43" s="114">
        <f t="shared" si="4"/>
        <v>41</v>
      </c>
      <c r="B43" s="75" t="str">
        <f>IF(ISERROR(VLOOKUP(C43,Taken!$B:$B,1,0)),"",IF(ISERROR(VLOOKUP(C43,'Draft Board'!$AS:$AS,1,0)),"X","Y"))</f>
        <v/>
      </c>
      <c r="C43" s="75" t="str">
        <f>VLOOKUP(A43,QB!AC:AD,2,0)</f>
        <v>Case Keenum</v>
      </c>
      <c r="D43" s="72" t="str">
        <f>VLOOKUP(C43,QB!$B:$C,2,0)</f>
        <v>HOU</v>
      </c>
      <c r="E43" s="72">
        <f>IF((D43="FA"),"N/A",VLOOKUP(D43,Settings!$M$2:$N$33,2,0))</f>
        <v>10</v>
      </c>
      <c r="F43" s="153">
        <f>VLOOKUP(C43,QB!$B:$AB,27,0)</f>
        <v>39</v>
      </c>
      <c r="G43" s="65">
        <f>F43-Settings!$AA$3</f>
        <v>-299.11818181818177</v>
      </c>
      <c r="H43" s="129" t="str">
        <f>IF(ISERROR(VLOOKUP(C43,ESPNData!$CS:$CX,6,0)),"",IF((VLOOKUP(C43,ESPNData!$CS:$CX,6,0)="--"),"",VLOOKUP(C43,ESPNData!$CS:$CX,6,0)))</f>
        <v/>
      </c>
      <c r="I43" s="75" t="str">
        <f>IF(ISERROR(VLOOKUP(C43,ESPNData!$CZ:$DE,6,0)),"",IF((VLOOKUP(C43,ESPNData!$CZ:$DE,6,0)="--"),"",VLOOKUP(C43,ESPNData!$CZ:$DE,6,0)))</f>
        <v/>
      </c>
      <c r="J43" s="69" t="str">
        <f>IF(ISERROR((VLOOKUP(C43,Taken!$B:$C,2,0)-H43)),"",(VLOOKUP(C43,Taken!$B:$C,2,0)-H43))</f>
        <v/>
      </c>
      <c r="K43" s="69">
        <v>1</v>
      </c>
      <c r="L43" s="43" t="str">
        <f>IF(ISERROR((VLOOKUP(C43,Taken!$B:$C,2,0)-K43)),"",(VLOOKUP(C43,Taken!$B:$C,2,0)-K43))</f>
        <v/>
      </c>
      <c r="M43" s="60">
        <f t="shared" si="5"/>
        <v>41</v>
      </c>
      <c r="N43" s="75" t="str">
        <f>IF(ISERROR(VLOOKUP(O43,Taken!$E:$E,1,0)),"",IF(ISERROR(VLOOKUP(O43,'Draft Board'!$AS:$AS,1,0)),"X","Y"))</f>
        <v/>
      </c>
      <c r="O43" s="75" t="str">
        <f>VLOOKUP(M43,RB!Z:AA,2,0)</f>
        <v>Bernard Pierce</v>
      </c>
      <c r="P43" s="75" t="str">
        <f>VLOOKUP(O43,RB!$B:$C,2,0)</f>
        <v>BAL</v>
      </c>
      <c r="Q43" s="72">
        <f>IF((P43="FA"),"N/A",VLOOKUP(P43,Settings!$M$2:$N$33,2,0))</f>
        <v>11</v>
      </c>
      <c r="R43" s="153">
        <f>VLOOKUP(O43,RB!$B:$Y,24,0)</f>
        <v>112.4</v>
      </c>
      <c r="S43" s="65">
        <f>R43-Settings!$AA$4</f>
        <v>-92.793939393939354</v>
      </c>
      <c r="T43" s="129">
        <f>IF(ISERROR(VLOOKUP(O43,ESPNData!$CS:$CX,6,0)),"",IF((VLOOKUP(O43,ESPNData!$CS:$CX,6,0)="--"),"",VLOOKUP(O43,ESPNData!$CS:$CX,6,0)))</f>
        <v>2</v>
      </c>
      <c r="U43" s="75">
        <f>IF(ISERROR(VLOOKUP(O43,ESPNData!$CZ:$DE,6,0)),"",IF((VLOOKUP(O43,ESPNData!$CZ:$DE,6,0)="--"),"",VLOOKUP(O43,ESPNData!$CZ:$DE,6,0)))</f>
        <v>1</v>
      </c>
      <c r="V43" s="69" t="str">
        <f>IF(ISERROR((VLOOKUP(O43,Taken!$E:$F,2,0)-T43)),"",(VLOOKUP(O43,Taken!$E:$F,2,0)-T43))</f>
        <v/>
      </c>
      <c r="W43" s="69">
        <f>MIN(W41,MAX(1,ROUND(((((S43-S$63)+Settings!$R$4)/(SUM(S43:S$63)-((S$63-Settings!$R$4)*((61+1)-M43))))*(Settings!$X$4-SUM(W$36:W42))),0)))</f>
        <v>3</v>
      </c>
      <c r="X43" s="43" t="str">
        <f>IF(ISERROR((VLOOKUP(O43,Taken!$E:$F,2,0)-W43)),"",(VLOOKUP(O43,Taken!$E:$F,2,0)-W43))</f>
        <v/>
      </c>
      <c r="Y43" s="60">
        <f t="shared" si="6"/>
        <v>41</v>
      </c>
      <c r="Z43" s="75" t="str">
        <f>IF(ISERROR(VLOOKUP(AA43,Taken!$H:$H,1,0)),"",IF(ISERROR(VLOOKUP(AA43,'Draft Board'!$AS:$AS,1,0)),"X","Y"))</f>
        <v/>
      </c>
      <c r="AA43" s="75" t="str">
        <f>VLOOKUP(Y43,WR!X:Y,2,0)</f>
        <v>DeAndre Hopkins</v>
      </c>
      <c r="AB43" s="75" t="str">
        <f>VLOOKUP(AA43,WR!$B:$C,2,0)</f>
        <v>HOU</v>
      </c>
      <c r="AC43" s="72">
        <f>IF((AB43="FA"),"N/A",VLOOKUP(AB43,Settings!$M$2:$N$33,2,0))</f>
        <v>10</v>
      </c>
      <c r="AD43" s="153">
        <f>VLOOKUP(AA43,WR!$B:$W,22,0)</f>
        <v>139.4</v>
      </c>
      <c r="AE43" s="65">
        <f>AD43-Settings!$AA$5</f>
        <v>-61.639393939393898</v>
      </c>
      <c r="AF43" s="129">
        <f>IF(ISERROR(VLOOKUP(AA43,ESPNData!$CS:$CX,6,0)),"",IF((VLOOKUP(AA43,ESPNData!$CS:$CX,6,0)="--"),"",VLOOKUP(AA43,ESPNData!$CS:$CX,6,0)))</f>
        <v>3</v>
      </c>
      <c r="AG43" s="75">
        <f>IF(ISERROR(VLOOKUP(AA43,ESPNData!$CZ:$DE,6,0)),"",IF((VLOOKUP(AA43,ESPNData!$CZ:$DE,6,0)="--"),"",VLOOKUP(AA43,ESPNData!$CZ:$DE,6,0)))</f>
        <v>3</v>
      </c>
      <c r="AH43" s="69" t="str">
        <f>IF(ISERROR((VLOOKUP(AA43,Taken!$H:$I,2,0)-AF43)),"",(VLOOKUP(AA43,Taken!$H:$I,2,0)-AF43))</f>
        <v/>
      </c>
      <c r="AI43" s="69">
        <f>MIN(AI42,MAX(1,ROUND(((((AE43-AE$63)+Settings!$R$5)/(SUM(AE43:AE$63)-((AE$63-Settings!$R$5)*((61+1)-Y43))))*(Settings!$X$5-SUM(AI$36:AI42))),0)))</f>
        <v>4</v>
      </c>
      <c r="AJ43" s="43" t="str">
        <f>IF(ISERROR((VLOOKUP(AA43,Taken!$H:$I,2,0)-AI43)),"",(VLOOKUP(AA43,Taken!$H:$I,2,0)-AI43))</f>
        <v/>
      </c>
      <c r="AK43" s="163">
        <f t="shared" si="7"/>
        <v>9</v>
      </c>
      <c r="AL43" s="75" t="str">
        <f>IF(ISERROR(VLOOKUP(AM43,Taken!$Q:$Q,1,0)),"",IF(ISERROR(VLOOKUP(AM43,'Draft Board'!$AS:$AS,1,0)),"X","Y"))</f>
        <v/>
      </c>
      <c r="AM43" s="75" t="str">
        <f>VLOOKUP(AK43,DST!V:W,2,0)</f>
        <v>Chiefs</v>
      </c>
      <c r="AN43" s="75" t="str">
        <f>VLOOKUP(AM43,DST!$B:$C,2,0)</f>
        <v>KC</v>
      </c>
      <c r="AO43" s="72">
        <f>VLOOKUP(AN43,Settings!$M$2:$N$33,2,0)</f>
        <v>6</v>
      </c>
      <c r="AP43" s="153">
        <f>VLOOKUP(AM43,DST!$B:$U,20,0)</f>
        <v>103.1</v>
      </c>
      <c r="AQ43" s="65">
        <f>AP43-Settings!$AA$8</f>
        <v>-8.6454545454545411</v>
      </c>
      <c r="AR43" s="129" t="str">
        <f>IF(ISERROR(VLOOKUP(AM43,ESPNData!$CS:$CX,6,0)),"",IF((VLOOKUP(AM43,ESPNData!$CS:$CX,6,0)="--"),"",VLOOKUP(AM43,ESPNData!$CS:$CX,6,0)))</f>
        <v/>
      </c>
      <c r="AS43" s="75" t="str">
        <f>IF(ISERROR(VLOOKUP(AM43,ESPNData!$CZ:$DE,6,0)),"",IF((VLOOKUP(AM43,ESPNData!$CZ:$DE,6,0)="--"),"",VLOOKUP(AM43,ESPNData!$CZ:$DE,6,0)))</f>
        <v/>
      </c>
      <c r="AT43" s="69" t="str">
        <f>IF(ISERROR((VLOOKUP(AM43,Taken!$Q:$R,2,0)-AR43)),"",(VLOOKUP(AM43,Taken!$Q:$R,2,0)-AR43))</f>
        <v/>
      </c>
      <c r="AU43" s="69">
        <f>MAX(1,ROUND(((((AQ43-AQ$45)+Settings!$Q$8)/(SUM(AQ43:AQ$45)-((AQ$45-Settings!$Q$8)*((11+1)-AK43))))*(Settings!$V$8-SUM(AU$35:AU42))),0))</f>
        <v>1</v>
      </c>
      <c r="AV43" s="43" t="str">
        <f>IF(ISERROR((VLOOKUP(AM43,Taken!$Q:$R,2,0)-AU43)),"",(VLOOKUP(AM43,Taken!$Q:$R,2,0)-AU43))</f>
        <v/>
      </c>
      <c r="AW43" s="155"/>
    </row>
    <row r="44" spans="1:49" ht="12.75" customHeight="1">
      <c r="A44" s="114">
        <f t="shared" si="4"/>
        <v>42</v>
      </c>
      <c r="B44" s="75" t="str">
        <f>IF(ISERROR(VLOOKUP(C44,Taken!$B:$B,1,0)),"",IF(ISERROR(VLOOKUP(C44,'Draft Board'!$AS:$AS,1,0)),"X","Y"))</f>
        <v/>
      </c>
      <c r="C44" s="75" t="str">
        <f>VLOOKUP(A44,QB!AC:AD,2,0)</f>
        <v>Tom Savage</v>
      </c>
      <c r="D44" s="72" t="str">
        <f>VLOOKUP(C44,QB!$B:$C,2,0)</f>
        <v>HOU</v>
      </c>
      <c r="E44" s="72">
        <f>IF((D44="FA"),"N/A",VLOOKUP(D44,Settings!$M$2:$N$33,2,0))</f>
        <v>10</v>
      </c>
      <c r="F44" s="153">
        <f>VLOOKUP(C44,QB!$B:$AB,27,0)</f>
        <v>36.5</v>
      </c>
      <c r="G44" s="65">
        <f>F44-Settings!$AA$3</f>
        <v>-301.61818181818177</v>
      </c>
      <c r="H44" s="129" t="str">
        <f>IF(ISERROR(VLOOKUP(C44,ESPNData!$CS:$CX,6,0)),"",IF((VLOOKUP(C44,ESPNData!$CS:$CX,6,0)="--"),"",VLOOKUP(C44,ESPNData!$CS:$CX,6,0)))</f>
        <v/>
      </c>
      <c r="I44" s="75" t="str">
        <f>IF(ISERROR(VLOOKUP(C44,ESPNData!$CZ:$DE,6,0)),"",IF((VLOOKUP(C44,ESPNData!$CZ:$DE,6,0)="--"),"",VLOOKUP(C44,ESPNData!$CZ:$DE,6,0)))</f>
        <v/>
      </c>
      <c r="J44" s="69" t="str">
        <f>IF(ISERROR((VLOOKUP(C44,Taken!$B:$C,2,0)-H44)),"",(VLOOKUP(C44,Taken!$B:$C,2,0)-H44))</f>
        <v/>
      </c>
      <c r="K44" s="69">
        <v>1</v>
      </c>
      <c r="L44" s="43" t="str">
        <f>IF(ISERROR((VLOOKUP(C44,Taken!$B:$C,2,0)-K44)),"",(VLOOKUP(C44,Taken!$B:$C,2,0)-K44))</f>
        <v/>
      </c>
      <c r="M44" s="60">
        <f t="shared" si="5"/>
        <v>42</v>
      </c>
      <c r="N44" s="75" t="str">
        <f>IF(ISERROR(VLOOKUP(O44,Taken!$E:$E,1,0)),"",IF(ISERROR(VLOOKUP(O44,'Draft Board'!$AS:$AS,1,0)),"X","Y"))</f>
        <v/>
      </c>
      <c r="O44" s="75" t="str">
        <f>VLOOKUP(M44,RB!Z:AA,2,0)</f>
        <v>Jeremy Hill</v>
      </c>
      <c r="P44" s="75" t="str">
        <f>VLOOKUP(O44,RB!$B:$C,2,0)</f>
        <v>CIN</v>
      </c>
      <c r="Q44" s="72">
        <f>IF((P44="FA"),"N/A",VLOOKUP(P44,Settings!$M$2:$N$33,2,0))</f>
        <v>4</v>
      </c>
      <c r="R44" s="153">
        <f>VLOOKUP(O44,RB!$B:$Y,24,0)</f>
        <v>111.1</v>
      </c>
      <c r="S44" s="65">
        <f>R44-Settings!$AA$4</f>
        <v>-94.093939393939365</v>
      </c>
      <c r="T44" s="129">
        <f>IF(ISERROR(VLOOKUP(O44,ESPNData!$CS:$CX,6,0)),"",IF((VLOOKUP(O44,ESPNData!$CS:$CX,6,0)="--"),"",VLOOKUP(O44,ESPNData!$CS:$CX,6,0)))</f>
        <v>2</v>
      </c>
      <c r="U44" s="75">
        <f>IF(ISERROR(VLOOKUP(O44,ESPNData!$CZ:$DE,6,0)),"",IF((VLOOKUP(O44,ESPNData!$CZ:$DE,6,0)="--"),"",VLOOKUP(O44,ESPNData!$CZ:$DE,6,0)))</f>
        <v>1</v>
      </c>
      <c r="V44" s="69" t="str">
        <f>IF(ISERROR((VLOOKUP(O44,Taken!$E:$F,2,0)-T44)),"",(VLOOKUP(O44,Taken!$E:$F,2,0)-T44))</f>
        <v/>
      </c>
      <c r="W44" s="69">
        <f>MIN(W42,MAX(1,ROUND(((((S44-S$63)+Settings!$R$4)/(SUM(S44:S$63)-((S$63-Settings!$R$4)*((61+1)-M44))))*(Settings!$X$4-SUM(W$36:W43))),0)))</f>
        <v>3</v>
      </c>
      <c r="X44" s="43" t="str">
        <f>IF(ISERROR((VLOOKUP(O44,Taken!$E:$F,2,0)-W44)),"",(VLOOKUP(O44,Taken!$E:$F,2,0)-W44))</f>
        <v/>
      </c>
      <c r="Y44" s="60">
        <f t="shared" si="6"/>
        <v>42</v>
      </c>
      <c r="Z44" s="75" t="str">
        <f>IF(ISERROR(VLOOKUP(AA44,Taken!$H:$H,1,0)),"",IF(ISERROR(VLOOKUP(AA44,'Draft Board'!$AS:$AS,1,0)),"X","Y"))</f>
        <v/>
      </c>
      <c r="AA44" s="75" t="str">
        <f>VLOOKUP(Y44,WR!X:Y,2,0)</f>
        <v>Rueben Randle</v>
      </c>
      <c r="AB44" s="75" t="str">
        <f>VLOOKUP(AA44,WR!$B:$C,2,0)</f>
        <v>NYG</v>
      </c>
      <c r="AC44" s="72">
        <f>IF((AB44="FA"),"N/A",VLOOKUP(AB44,Settings!$M$2:$N$33,2,0))</f>
        <v>8</v>
      </c>
      <c r="AD44" s="153">
        <f>VLOOKUP(AA44,WR!$B:$W,22,0)</f>
        <v>137</v>
      </c>
      <c r="AE44" s="65">
        <f>AD44-Settings!$AA$5</f>
        <v>-64.039393939393904</v>
      </c>
      <c r="AF44" s="129">
        <f>IF(ISERROR(VLOOKUP(AA44,ESPNData!$CS:$CX,6,0)),"",IF((VLOOKUP(AA44,ESPNData!$CS:$CX,6,0)="--"),"",VLOOKUP(AA44,ESPNData!$CS:$CX,6,0)))</f>
        <v>1</v>
      </c>
      <c r="AG44" s="75">
        <f>IF(ISERROR(VLOOKUP(AA44,ESPNData!$CZ:$DE,6,0)),"",IF((VLOOKUP(AA44,ESPNData!$CZ:$DE,6,0)="--"),"",VLOOKUP(AA44,ESPNData!$CZ:$DE,6,0)))</f>
        <v>1</v>
      </c>
      <c r="AH44" s="69" t="str">
        <f>IF(ISERROR((VLOOKUP(AA44,Taken!$H:$I,2,0)-AF44)),"",(VLOOKUP(AA44,Taken!$H:$I,2,0)-AF44))</f>
        <v/>
      </c>
      <c r="AI44" s="69">
        <f>MIN(AI43,MAX(1,ROUND(((((AE44-AE$63)+Settings!$R$5)/(SUM(AE44:AE$63)-((AE$63-Settings!$R$5)*((61+1)-Y44))))*(Settings!$X$5-SUM(AI$36:AI43))),0)))</f>
        <v>4</v>
      </c>
      <c r="AJ44" s="43" t="str">
        <f>IF(ISERROR((VLOOKUP(AA44,Taken!$H:$I,2,0)-AI44)),"",(VLOOKUP(AA44,Taken!$H:$I,2,0)-AI44))</f>
        <v/>
      </c>
      <c r="AK44" s="163">
        <f t="shared" si="7"/>
        <v>10</v>
      </c>
      <c r="AL44" s="75" t="str">
        <f>IF(ISERROR(VLOOKUP(AM44,Taken!$Q:$Q,1,0)),"",IF(ISERROR(VLOOKUP(AM44,'Draft Board'!$AS:$AS,1,0)),"X","Y"))</f>
        <v/>
      </c>
      <c r="AM44" s="75" t="str">
        <f>VLOOKUP(AK44,DST!V:W,2,0)</f>
        <v>Bills</v>
      </c>
      <c r="AN44" s="75" t="str">
        <f>VLOOKUP(AM44,DST!$B:$C,2,0)</f>
        <v>BUF</v>
      </c>
      <c r="AO44" s="72">
        <f>VLOOKUP(AN44,Settings!$M$2:$N$33,2,0)</f>
        <v>9</v>
      </c>
      <c r="AP44" s="153">
        <f>VLOOKUP(AM44,DST!$B:$U,20,0)</f>
        <v>90</v>
      </c>
      <c r="AQ44" s="65">
        <f>AP44-Settings!$AA$8</f>
        <v>-21.745454545454535</v>
      </c>
      <c r="AR44" s="129" t="str">
        <f>IF(ISERROR(VLOOKUP(AM44,ESPNData!$CS:$CX,6,0)),"",IF((VLOOKUP(AM44,ESPNData!$CS:$CX,6,0)="--"),"",VLOOKUP(AM44,ESPNData!$CS:$CX,6,0)))</f>
        <v/>
      </c>
      <c r="AS44" s="75" t="str">
        <f>IF(ISERROR(VLOOKUP(AM44,ESPNData!$CZ:$DE,6,0)),"",IF((VLOOKUP(AM44,ESPNData!$CZ:$DE,6,0)="--"),"",VLOOKUP(AM44,ESPNData!$CZ:$DE,6,0)))</f>
        <v/>
      </c>
      <c r="AT44" s="69" t="str">
        <f>IF(ISERROR((VLOOKUP(AM44,Taken!$Q:$R,2,0)-AR44)),"",(VLOOKUP(AM44,Taken!$Q:$R,2,0)-AR44))</f>
        <v/>
      </c>
      <c r="AU44" s="69">
        <f>MAX(1,ROUND(((((AQ44-AQ$45)+Settings!$Q$8)/(SUM(AQ44:AQ$45)-((AQ$45-Settings!$Q$8)*((11+1)-AK44))))*(Settings!$V$8-SUM(AU$35:AU43))),0))</f>
        <v>1</v>
      </c>
      <c r="AV44" s="43" t="str">
        <f>IF(ISERROR((VLOOKUP(AM44,Taken!$Q:$R,2,0)-AU44)),"",(VLOOKUP(AM44,Taken!$Q:$R,2,0)-AU44))</f>
        <v/>
      </c>
      <c r="AW44" s="155"/>
    </row>
    <row r="45" spans="1:49" ht="12.75" customHeight="1">
      <c r="A45" s="114">
        <f t="shared" si="4"/>
        <v>43</v>
      </c>
      <c r="B45" s="75" t="str">
        <f>IF(ISERROR(VLOOKUP(C45,Taken!$B:$B,1,0)),"",IF(ISERROR(VLOOKUP(C45,'Draft Board'!$AS:$AS,1,0)),"X","Y"))</f>
        <v/>
      </c>
      <c r="C45" s="75" t="str">
        <f>VLOOKUP(A45,QB!AC:AD,2,0)</f>
        <v>Thad Lewis</v>
      </c>
      <c r="D45" s="72" t="str">
        <f>VLOOKUP(C45,QB!$B:$C,2,0)</f>
        <v>BUF</v>
      </c>
      <c r="E45" s="72">
        <f>IF((D45="FA"),"N/A",VLOOKUP(D45,Settings!$M$2:$N$33,2,0))</f>
        <v>9</v>
      </c>
      <c r="F45" s="153">
        <f>VLOOKUP(C45,QB!$B:$AB,27,0)</f>
        <v>34.5</v>
      </c>
      <c r="G45" s="65">
        <f>F45-Settings!$AA$3</f>
        <v>-303.61818181818177</v>
      </c>
      <c r="H45" s="129" t="str">
        <f>IF(ISERROR(VLOOKUP(C45,ESPNData!$CS:$CX,6,0)),"",IF((VLOOKUP(C45,ESPNData!$CS:$CX,6,0)="--"),"",VLOOKUP(C45,ESPNData!$CS:$CX,6,0)))</f>
        <v/>
      </c>
      <c r="I45" s="75" t="str">
        <f>IF(ISERROR(VLOOKUP(C45,ESPNData!$CZ:$DE,6,0)),"",IF((VLOOKUP(C45,ESPNData!$CZ:$DE,6,0)="--"),"",VLOOKUP(C45,ESPNData!$CZ:$DE,6,0)))</f>
        <v/>
      </c>
      <c r="J45" s="69" t="str">
        <f>IF(ISERROR((VLOOKUP(C45,Taken!$B:$C,2,0)-H45)),"",(VLOOKUP(C45,Taken!$B:$C,2,0)-H45))</f>
        <v/>
      </c>
      <c r="K45" s="69">
        <v>1</v>
      </c>
      <c r="L45" s="43" t="str">
        <f>IF(ISERROR((VLOOKUP(C45,Taken!$B:$C,2,0)-K45)),"",(VLOOKUP(C45,Taken!$B:$C,2,0)-K45))</f>
        <v/>
      </c>
      <c r="M45" s="60">
        <f t="shared" si="5"/>
        <v>43</v>
      </c>
      <c r="N45" s="75" t="str">
        <f>IF(ISERROR(VLOOKUP(O45,Taken!$E:$E,1,0)),"",IF(ISERROR(VLOOKUP(O45,'Draft Board'!$AS:$AS,1,0)),"X","Y"))</f>
        <v/>
      </c>
      <c r="O45" s="75" t="str">
        <f>VLOOKUP(M45,RB!Z:AA,2,0)</f>
        <v>Darren McFadden</v>
      </c>
      <c r="P45" s="75" t="str">
        <f>VLOOKUP(O45,RB!$B:$C,2,0)</f>
        <v>OAK</v>
      </c>
      <c r="Q45" s="72">
        <f>IF((P45="FA"),"N/A",VLOOKUP(P45,Settings!$M$2:$N$33,2,0))</f>
        <v>5</v>
      </c>
      <c r="R45" s="153">
        <f>VLOOKUP(O45,RB!$B:$Y,24,0)</f>
        <v>110</v>
      </c>
      <c r="S45" s="65">
        <f>R45-Settings!$AA$4</f>
        <v>-95.19393939393936</v>
      </c>
      <c r="T45" s="129">
        <f>IF(ISERROR(VLOOKUP(O45,ESPNData!$CS:$CX,6,0)),"",IF((VLOOKUP(O45,ESPNData!$CS:$CX,6,0)="--"),"",VLOOKUP(O45,ESPNData!$CS:$CX,6,0)))</f>
        <v>2</v>
      </c>
      <c r="U45" s="75">
        <f>IF(ISERROR(VLOOKUP(O45,ESPNData!$CZ:$DE,6,0)),"",IF((VLOOKUP(O45,ESPNData!$CZ:$DE,6,0)="--"),"",VLOOKUP(O45,ESPNData!$CZ:$DE,6,0)))</f>
        <v>1</v>
      </c>
      <c r="V45" s="69" t="str">
        <f>IF(ISERROR((VLOOKUP(O45,Taken!$E:$F,2,0)-T45)),"",(VLOOKUP(O45,Taken!$E:$F,2,0)-T45))</f>
        <v/>
      </c>
      <c r="W45" s="69">
        <f>MIN(W43,MAX(1,ROUND(((((S45-S$63)+Settings!$R$4)/(SUM(S45:S$63)-((S$63-Settings!$R$4)*((61+1)-M45))))*(Settings!$X$4-SUM(W$36:W44))),0)))</f>
        <v>3</v>
      </c>
      <c r="X45" s="43" t="str">
        <f>IF(ISERROR((VLOOKUP(O45,Taken!$E:$F,2,0)-W45)),"",(VLOOKUP(O45,Taken!$E:$F,2,0)-W45))</f>
        <v/>
      </c>
      <c r="Y45" s="60">
        <f t="shared" si="6"/>
        <v>43</v>
      </c>
      <c r="Z45" s="75" t="str">
        <f>IF(ISERROR(VLOOKUP(AA45,Taken!$H:$H,1,0)),"",IF(ISERROR(VLOOKUP(AA45,'Draft Board'!$AS:$AS,1,0)),"X","Y"))</f>
        <v/>
      </c>
      <c r="AA45" s="75" t="str">
        <f>VLOOKUP(Y45,WR!X:Y,2,0)</f>
        <v>Danny Amendola</v>
      </c>
      <c r="AB45" s="75" t="str">
        <f>VLOOKUP(AA45,WR!$B:$C,2,0)</f>
        <v>NE</v>
      </c>
      <c r="AC45" s="72">
        <f>IF((AB45="FA"),"N/A",VLOOKUP(AB45,Settings!$M$2:$N$33,2,0))</f>
        <v>10</v>
      </c>
      <c r="AD45" s="153">
        <f>VLOOKUP(AA45,WR!$B:$W,22,0)</f>
        <v>135.80000000000001</v>
      </c>
      <c r="AE45" s="65">
        <f>AD45-Settings!$AA$5</f>
        <v>-65.239393939393892</v>
      </c>
      <c r="AF45" s="129">
        <f>IF(ISERROR(VLOOKUP(AA45,ESPNData!$CS:$CX,6,0)),"",IF((VLOOKUP(AA45,ESPNData!$CS:$CX,6,0)="--"),"",VLOOKUP(AA45,ESPNData!$CS:$CX,6,0)))</f>
        <v>3</v>
      </c>
      <c r="AG45" s="75">
        <f>IF(ISERROR(VLOOKUP(AA45,ESPNData!$CZ:$DE,6,0)),"",IF((VLOOKUP(AA45,ESPNData!$CZ:$DE,6,0)="--"),"",VLOOKUP(AA45,ESPNData!$CZ:$DE,6,0)))</f>
        <v>3</v>
      </c>
      <c r="AH45" s="69" t="str">
        <f>IF(ISERROR((VLOOKUP(AA45,Taken!$H:$I,2,0)-AF45)),"",(VLOOKUP(AA45,Taken!$H:$I,2,0)-AF45))</f>
        <v/>
      </c>
      <c r="AI45" s="69">
        <f>MIN(AI44,MAX(1,ROUND(((((AE45-AE$63)+Settings!$R$5)/(SUM(AE45:AE$63)-((AE$63-Settings!$R$5)*((61+1)-Y45))))*(Settings!$X$5-SUM(AI$36:AI44))),0)))</f>
        <v>4</v>
      </c>
      <c r="AJ45" s="43" t="str">
        <f>IF(ISERROR((VLOOKUP(AA45,Taken!$H:$I,2,0)-AI45)),"",(VLOOKUP(AA45,Taken!$H:$I,2,0)-AI45))</f>
        <v/>
      </c>
      <c r="AK45" s="163">
        <f t="shared" si="7"/>
        <v>11</v>
      </c>
      <c r="AL45" s="75" t="str">
        <f>IF(ISERROR(VLOOKUP(AM45,Taken!$Q:$Q,1,0)),"",IF(ISERROR(VLOOKUP(AM45,'Draft Board'!$AS:$AS,1,0)),"X","Y"))</f>
        <v/>
      </c>
      <c r="AM45" s="75" t="str">
        <f>VLOOKUP(AK45,DST!V:W,2,0)</f>
        <v>Saints</v>
      </c>
      <c r="AN45" s="75" t="str">
        <f>VLOOKUP(AM45,DST!$B:$C,2,0)</f>
        <v>NO</v>
      </c>
      <c r="AO45" s="72">
        <f>VLOOKUP(AN45,Settings!$M$2:$N$33,2,0)</f>
        <v>6</v>
      </c>
      <c r="AP45" s="153">
        <f>VLOOKUP(AM45,DST!$B:$U,20,0)</f>
        <v>89.8</v>
      </c>
      <c r="AQ45" s="65">
        <f>AP45-Settings!$AA$8</f>
        <v>-21.945454545454538</v>
      </c>
      <c r="AR45" s="129" t="str">
        <f>IF(ISERROR(VLOOKUP(AM45,ESPNData!$CS:$CX,6,0)),"",IF((VLOOKUP(AM45,ESPNData!$CS:$CX,6,0)="--"),"",VLOOKUP(AM45,ESPNData!$CS:$CX,6,0)))</f>
        <v/>
      </c>
      <c r="AS45" s="75" t="str">
        <f>IF(ISERROR(VLOOKUP(AM45,ESPNData!$CZ:$DE,6,0)),"",IF((VLOOKUP(AM45,ESPNData!$CZ:$DE,6,0)="--"),"",VLOOKUP(AM45,ESPNData!$CZ:$DE,6,0)))</f>
        <v/>
      </c>
      <c r="AT45" s="69" t="str">
        <f>IF(ISERROR((VLOOKUP(AM45,Taken!$Q:$R,2,0)-AR45)),"",(VLOOKUP(AM45,Taken!$Q:$R,2,0)-AR45))</f>
        <v/>
      </c>
      <c r="AU45" s="69">
        <f>MAX(1,ROUND(((((AQ45-AQ$45)+Settings!$Q$8)/(SUM(AQ45:AQ$45)-((AQ$45-Settings!$Q$8)*((11+1)-AK45))))*(Settings!$V$8-SUM(AU$35:AU44))),0))</f>
        <v>1</v>
      </c>
      <c r="AV45" s="43" t="str">
        <f>IF(ISERROR((VLOOKUP(AM45,Taken!$Q:$R,2,0)-AU45)),"",(VLOOKUP(AM45,Taken!$Q:$R,2,0)-AU45))</f>
        <v/>
      </c>
      <c r="AW45" s="155"/>
    </row>
    <row r="46" spans="1:49" ht="12.75" customHeight="1">
      <c r="A46" s="114">
        <f t="shared" si="4"/>
        <v>44</v>
      </c>
      <c r="B46" s="75" t="str">
        <f>IF(ISERROR(VLOOKUP(C46,Taken!$B:$B,1,0)),"",IF(ISERROR(VLOOKUP(C46,'Draft Board'!$AS:$AS,1,0)),"X","Y"))</f>
        <v/>
      </c>
      <c r="C46" s="75" t="str">
        <f>VLOOKUP(A46,QB!AC:AD,2,0)</f>
        <v>Shaun Hill</v>
      </c>
      <c r="D46" s="72" t="str">
        <f>VLOOKUP(C46,QB!$B:$C,2,0)</f>
        <v>STL</v>
      </c>
      <c r="E46" s="72">
        <f>IF((D46="FA"),"N/A",VLOOKUP(D46,Settings!$M$2:$N$33,2,0))</f>
        <v>4</v>
      </c>
      <c r="F46" s="153">
        <f>VLOOKUP(C46,QB!$B:$AB,27,0)</f>
        <v>28.6</v>
      </c>
      <c r="G46" s="65">
        <f>F46-Settings!$AA$3</f>
        <v>-309.51818181818174</v>
      </c>
      <c r="H46" s="129" t="str">
        <f>IF(ISERROR(VLOOKUP(C46,ESPNData!$CS:$CX,6,0)),"",IF((VLOOKUP(C46,ESPNData!$CS:$CX,6,0)="--"),"",VLOOKUP(C46,ESPNData!$CS:$CX,6,0)))</f>
        <v/>
      </c>
      <c r="I46" s="75" t="str">
        <f>IF(ISERROR(VLOOKUP(C46,ESPNData!$CZ:$DE,6,0)),"",IF((VLOOKUP(C46,ESPNData!$CZ:$DE,6,0)="--"),"",VLOOKUP(C46,ESPNData!$CZ:$DE,6,0)))</f>
        <v/>
      </c>
      <c r="J46" s="69" t="str">
        <f>IF(ISERROR((VLOOKUP(C46,Taken!$B:$C,2,0)-H46)),"",(VLOOKUP(C46,Taken!$B:$C,2,0)-H46))</f>
        <v/>
      </c>
      <c r="K46" s="69">
        <v>1</v>
      </c>
      <c r="L46" s="43" t="str">
        <f>IF(ISERROR((VLOOKUP(C46,Taken!$B:$C,2,0)-K46)),"",(VLOOKUP(C46,Taken!$B:$C,2,0)-K46))</f>
        <v/>
      </c>
      <c r="M46" s="60">
        <f t="shared" si="5"/>
        <v>44</v>
      </c>
      <c r="N46" s="75" t="str">
        <f>IF(ISERROR(VLOOKUP(O46,Taken!$E:$E,1,0)),"",IF(ISERROR(VLOOKUP(O46,'Draft Board'!$AS:$AS,1,0)),"X","Y"))</f>
        <v/>
      </c>
      <c r="O46" s="75" t="str">
        <f>VLOOKUP(M46,RB!Z:AA,2,0)</f>
        <v>Dexter McCluster</v>
      </c>
      <c r="P46" s="75" t="str">
        <f>VLOOKUP(O46,RB!$B:$C,2,0)</f>
        <v>TEN WR,</v>
      </c>
      <c r="Q46" s="72" t="e">
        <f>IF((P46="FA"),"N/A",VLOOKUP(P46,Settings!$M$2:$N$33,2,0))</f>
        <v>#N/A</v>
      </c>
      <c r="R46" s="153">
        <f>VLOOKUP(O46,RB!$B:$Y,24,0)</f>
        <v>108.1</v>
      </c>
      <c r="S46" s="65">
        <f>R46-Settings!$AA$4</f>
        <v>-97.093939393939365</v>
      </c>
      <c r="T46" s="129" t="str">
        <f>IF(ISERROR(VLOOKUP(O46,ESPNData!$CS:$CX,6,0)),"",IF((VLOOKUP(O46,ESPNData!$CS:$CX,6,0)="--"),"",VLOOKUP(O46,ESPNData!$CS:$CX,6,0)))</f>
        <v/>
      </c>
      <c r="U46" s="75" t="str">
        <f>IF(ISERROR(VLOOKUP(O46,ESPNData!$CZ:$DE,6,0)),"",IF((VLOOKUP(O46,ESPNData!$CZ:$DE,6,0)="--"),"",VLOOKUP(O46,ESPNData!$CZ:$DE,6,0)))</f>
        <v/>
      </c>
      <c r="V46" s="69" t="str">
        <f>IF(ISERROR((VLOOKUP(O46,Taken!$E:$F,2,0)-T46)),"",(VLOOKUP(O46,Taken!$E:$F,2,0)-T46))</f>
        <v/>
      </c>
      <c r="W46" s="69">
        <f>MIN(W44,MAX(1,ROUND(((((S46-S$63)+Settings!$R$4)/(SUM(S46:S$63)-((S$63-Settings!$R$4)*((61+1)-M46))))*(Settings!$X$4-SUM(W$36:W45))),0)))</f>
        <v>3</v>
      </c>
      <c r="X46" s="43" t="str">
        <f>IF(ISERROR((VLOOKUP(O46,Taken!$E:$F,2,0)-W46)),"",(VLOOKUP(O46,Taken!$E:$F,2,0)-W46))</f>
        <v/>
      </c>
      <c r="Y46" s="60">
        <f t="shared" si="6"/>
        <v>44</v>
      </c>
      <c r="Z46" s="75" t="str">
        <f>IF(ISERROR(VLOOKUP(AA46,Taken!$H:$H,1,0)),"",IF(ISERROR(VLOOKUP(AA46,'Draft Board'!$AS:$AS,1,0)),"X","Y"))</f>
        <v/>
      </c>
      <c r="AA46" s="75" t="str">
        <f>VLOOKUP(Y46,WR!X:Y,2,0)</f>
        <v>Kelvin Benjamin</v>
      </c>
      <c r="AB46" s="75" t="str">
        <f>VLOOKUP(AA46,WR!$B:$C,2,0)</f>
        <v>CAR</v>
      </c>
      <c r="AC46" s="72">
        <f>IF((AB46="FA"),"N/A",VLOOKUP(AB46,Settings!$M$2:$N$33,2,0))</f>
        <v>12</v>
      </c>
      <c r="AD46" s="153">
        <f>VLOOKUP(AA46,WR!$B:$W,22,0)</f>
        <v>134.5</v>
      </c>
      <c r="AE46" s="65">
        <f>AD46-Settings!$AA$5</f>
        <v>-66.539393939393904</v>
      </c>
      <c r="AF46" s="129" t="str">
        <f>IF(ISERROR(VLOOKUP(AA46,ESPNData!$CS:$CX,6,0)),"",IF((VLOOKUP(AA46,ESPNData!$CS:$CX,6,0)="--"),"",VLOOKUP(AA46,ESPNData!$CS:$CX,6,0)))</f>
        <v/>
      </c>
      <c r="AG46" s="75" t="str">
        <f>IF(ISERROR(VLOOKUP(AA46,ESPNData!$CZ:$DE,6,0)),"",IF((VLOOKUP(AA46,ESPNData!$CZ:$DE,6,0)="--"),"",VLOOKUP(AA46,ESPNData!$CZ:$DE,6,0)))</f>
        <v/>
      </c>
      <c r="AH46" s="69" t="str">
        <f>IF(ISERROR((VLOOKUP(AA46,Taken!$H:$I,2,0)-AF46)),"",(VLOOKUP(AA46,Taken!$H:$I,2,0)-AF46))</f>
        <v/>
      </c>
      <c r="AI46" s="69">
        <f>MIN(AI45,MAX(1,ROUND(((((AE46-AE$63)+Settings!$R$5)/(SUM(AE46:AE$63)-((AE$63-Settings!$R$5)*((61+1)-Y46))))*(Settings!$X$5-SUM(AI$36:AI45))),0)))</f>
        <v>4</v>
      </c>
      <c r="AJ46" s="43" t="str">
        <f>IF(ISERROR((VLOOKUP(AA46,Taken!$H:$I,2,0)-AI46)),"",(VLOOKUP(AA46,Taken!$H:$I,2,0)-AI46))</f>
        <v/>
      </c>
      <c r="AK46" s="114">
        <f t="shared" si="7"/>
        <v>12</v>
      </c>
      <c r="AL46" s="75" t="str">
        <f>IF(ISERROR(VLOOKUP(AM46,Taken!$Q:$Q,1,0)),"",IF(ISERROR(VLOOKUP(AM46,'Draft Board'!$AS:$AS,1,0)),"X","Y"))</f>
        <v/>
      </c>
      <c r="AM46" s="75" t="str">
        <f>VLOOKUP(AK46,DST!V:W,2,0)</f>
        <v>Steelers</v>
      </c>
      <c r="AN46" s="75" t="str">
        <f>VLOOKUP(AM46,DST!$B:$C,2,0)</f>
        <v>PIT</v>
      </c>
      <c r="AO46" s="72">
        <f>VLOOKUP(AN46,Settings!$M$2:$N$33,2,0)</f>
        <v>12</v>
      </c>
      <c r="AP46" s="153">
        <f>VLOOKUP(AM46,DST!$B:$U,20,0)</f>
        <v>87.5</v>
      </c>
      <c r="AQ46" s="65">
        <f>AP46-Settings!$AA$8</f>
        <v>-24.245454545454535</v>
      </c>
      <c r="AR46" s="129" t="str">
        <f>IF(ISERROR(VLOOKUP(AM46,ESPNData!$CS:$CX,6,0)),"",IF((VLOOKUP(AM46,ESPNData!$CS:$CX,6,0)="--"),"",VLOOKUP(AM46,ESPNData!$CS:$CX,6,0)))</f>
        <v/>
      </c>
      <c r="AS46" s="75" t="str">
        <f>IF(ISERROR(VLOOKUP(AM46,ESPNData!$CZ:$DE,6,0)),"",IF((VLOOKUP(AM46,ESPNData!$CZ:$DE,6,0)="--"),"",VLOOKUP(AM46,ESPNData!$CZ:$DE,6,0)))</f>
        <v/>
      </c>
      <c r="AT46" s="69" t="str">
        <f>IF(ISERROR((VLOOKUP(AM46,Taken!$Q:$R,2,0)-AR46)),"",(VLOOKUP(AM46,Taken!$Q:$R,2,0)-AR46))</f>
        <v/>
      </c>
      <c r="AU46" s="69">
        <v>1</v>
      </c>
      <c r="AV46" s="43" t="str">
        <f>IF(ISERROR((VLOOKUP(AM46,Taken!$Q:$R,2,0)-AU46)),"",(VLOOKUP(AM46,Taken!$Q:$R,2,0)-AU46))</f>
        <v/>
      </c>
      <c r="AW46" s="155"/>
    </row>
    <row r="47" spans="1:49" ht="12.75" customHeight="1">
      <c r="A47" s="114">
        <f t="shared" si="4"/>
        <v>45</v>
      </c>
      <c r="B47" s="75" t="str">
        <f>IF(ISERROR(VLOOKUP(C47,Taken!$B:$B,1,0)),"",IF(ISERROR(VLOOKUP(C47,'Draft Board'!$AS:$AS,1,0)),"X","Y"))</f>
        <v/>
      </c>
      <c r="C47" s="75" t="str">
        <f>VLOOKUP(A47,QB!AC:AD,2,0)</f>
        <v>Brandon Weeden</v>
      </c>
      <c r="D47" s="72" t="str">
        <f>VLOOKUP(C47,QB!$B:$C,2,0)</f>
        <v>DAL</v>
      </c>
      <c r="E47" s="72">
        <f>IF((D47="FA"),"N/A",VLOOKUP(D47,Settings!$M$2:$N$33,2,0))</f>
        <v>11</v>
      </c>
      <c r="F47" s="153">
        <f>VLOOKUP(C47,QB!$B:$AB,27,0)</f>
        <v>16.3</v>
      </c>
      <c r="G47" s="65">
        <f>F47-Settings!$AA$3</f>
        <v>-321.81818181818176</v>
      </c>
      <c r="H47" s="129" t="str">
        <f>IF(ISERROR(VLOOKUP(C47,ESPNData!$CS:$CX,6,0)),"",IF((VLOOKUP(C47,ESPNData!$CS:$CX,6,0)="--"),"",VLOOKUP(C47,ESPNData!$CS:$CX,6,0)))</f>
        <v/>
      </c>
      <c r="I47" s="75" t="str">
        <f>IF(ISERROR(VLOOKUP(C47,ESPNData!$CZ:$DE,6,0)),"",IF((VLOOKUP(C47,ESPNData!$CZ:$DE,6,0)="--"),"",VLOOKUP(C47,ESPNData!$CZ:$DE,6,0)))</f>
        <v/>
      </c>
      <c r="J47" s="69" t="str">
        <f>IF(ISERROR((VLOOKUP(C47,Taken!$B:$C,2,0)-H47)),"",(VLOOKUP(C47,Taken!$B:$C,2,0)-H47))</f>
        <v/>
      </c>
      <c r="K47" s="69">
        <v>1</v>
      </c>
      <c r="L47" s="43" t="str">
        <f>IF(ISERROR((VLOOKUP(C47,Taken!$B:$C,2,0)-K47)),"",(VLOOKUP(C47,Taken!$B:$C,2,0)-K47))</f>
        <v/>
      </c>
      <c r="M47" s="60">
        <f t="shared" si="5"/>
        <v>45</v>
      </c>
      <c r="N47" s="75" t="str">
        <f>IF(ISERROR(VLOOKUP(O47,Taken!$E:$E,1,0)),"",IF(ISERROR(VLOOKUP(O47,'Draft Board'!$AS:$AS,1,0)),"X","Y"))</f>
        <v/>
      </c>
      <c r="O47" s="75" t="str">
        <f>VLOOKUP(M47,RB!Z:AA,2,0)</f>
        <v>Chris Ivory</v>
      </c>
      <c r="P47" s="75" t="str">
        <f>VLOOKUP(O47,RB!$B:$C,2,0)</f>
        <v>NYJ</v>
      </c>
      <c r="Q47" s="72">
        <f>IF((P47="FA"),"N/A",VLOOKUP(P47,Settings!$M$2:$N$33,2,0))</f>
        <v>11</v>
      </c>
      <c r="R47" s="153">
        <f>VLOOKUP(O47,RB!$B:$Y,24,0)</f>
        <v>95.9</v>
      </c>
      <c r="S47" s="65">
        <f>R47-Settings!$AA$4</f>
        <v>-109.29393939393935</v>
      </c>
      <c r="T47" s="129">
        <f>IF(ISERROR(VLOOKUP(O47,ESPNData!$CS:$CX,6,0)),"",IF((VLOOKUP(O47,ESPNData!$CS:$CX,6,0)="--"),"",VLOOKUP(O47,ESPNData!$CS:$CX,6,0)))</f>
        <v>3</v>
      </c>
      <c r="U47" s="75">
        <f>IF(ISERROR(VLOOKUP(O47,ESPNData!$CZ:$DE,6,0)),"",IF((VLOOKUP(O47,ESPNData!$CZ:$DE,6,0)="--"),"",VLOOKUP(O47,ESPNData!$CZ:$DE,6,0)))</f>
        <v>1</v>
      </c>
      <c r="V47" s="69" t="str">
        <f>IF(ISERROR((VLOOKUP(O47,Taken!$E:$F,2,0)-T47)),"",(VLOOKUP(O47,Taken!$E:$F,2,0)-T47))</f>
        <v/>
      </c>
      <c r="W47" s="69">
        <f>MIN(W45,MAX(1,ROUND(((((S47-S$63)+Settings!$R$4)/(SUM(S47:S$63)-((S$63-Settings!$R$4)*((61+1)-M47))))*(Settings!$X$4-SUM(W$36:W46))),0)))</f>
        <v>3</v>
      </c>
      <c r="X47" s="43" t="str">
        <f>IF(ISERROR((VLOOKUP(O47,Taken!$E:$F,2,0)-W47)),"",(VLOOKUP(O47,Taken!$E:$F,2,0)-W47))</f>
        <v/>
      </c>
      <c r="Y47" s="60">
        <f t="shared" si="6"/>
        <v>45</v>
      </c>
      <c r="Z47" s="75" t="str">
        <f>IF(ISERROR(VLOOKUP(AA47,Taken!$H:$H,1,0)),"",IF(ISERROR(VLOOKUP(AA47,'Draft Board'!$AS:$AS,1,0)),"X","Y"))</f>
        <v/>
      </c>
      <c r="AA47" s="75" t="str">
        <f>VLOOKUP(Y47,WR!X:Y,2,0)</f>
        <v>Riley Cooper</v>
      </c>
      <c r="AB47" s="75" t="str">
        <f>VLOOKUP(AA47,WR!$B:$C,2,0)</f>
        <v>PHI</v>
      </c>
      <c r="AC47" s="72">
        <f>IF((AB47="FA"),"N/A",VLOOKUP(AB47,Settings!$M$2:$N$33,2,0))</f>
        <v>7</v>
      </c>
      <c r="AD47" s="153">
        <f>VLOOKUP(AA47,WR!$B:$W,22,0)</f>
        <v>133.6</v>
      </c>
      <c r="AE47" s="65">
        <f>AD47-Settings!$AA$5</f>
        <v>-67.439393939393909</v>
      </c>
      <c r="AF47" s="129">
        <f>IF(ISERROR(VLOOKUP(AA47,ESPNData!$CS:$CX,6,0)),"",IF((VLOOKUP(AA47,ESPNData!$CS:$CX,6,0)="--"),"",VLOOKUP(AA47,ESPNData!$CS:$CX,6,0)))</f>
        <v>3</v>
      </c>
      <c r="AG47" s="75">
        <f>IF(ISERROR(VLOOKUP(AA47,ESPNData!$CZ:$DE,6,0)),"",IF((VLOOKUP(AA47,ESPNData!$CZ:$DE,6,0)="--"),"",VLOOKUP(AA47,ESPNData!$CZ:$DE,6,0)))</f>
        <v>3</v>
      </c>
      <c r="AH47" s="69" t="str">
        <f>IF(ISERROR((VLOOKUP(AA47,Taken!$H:$I,2,0)-AF47)),"",(VLOOKUP(AA47,Taken!$H:$I,2,0)-AF47))</f>
        <v/>
      </c>
      <c r="AI47" s="69">
        <f>MIN(AI46,MAX(1,ROUND(((((AE47-AE$63)+Settings!$R$5)/(SUM(AE47:AE$63)-((AE$63-Settings!$R$5)*((61+1)-Y47))))*(Settings!$X$5-SUM(AI$36:AI46))),0)))</f>
        <v>4</v>
      </c>
      <c r="AJ47" s="43" t="str">
        <f>IF(ISERROR((VLOOKUP(AA47,Taken!$H:$I,2,0)-AI47)),"",(VLOOKUP(AA47,Taken!$H:$I,2,0)-AI47))</f>
        <v/>
      </c>
      <c r="AK47" s="114">
        <f t="shared" si="7"/>
        <v>13</v>
      </c>
      <c r="AL47" s="75" t="str">
        <f>IF(ISERROR(VLOOKUP(AM47,Taken!$Q:$Q,1,0)),"",IF(ISERROR(VLOOKUP(AM47,'Draft Board'!$AS:$AS,1,0)),"X","Y"))</f>
        <v/>
      </c>
      <c r="AM47" s="75" t="str">
        <f>VLOOKUP(AK47,DST!V:W,2,0)</f>
        <v>Browns</v>
      </c>
      <c r="AN47" s="75" t="str">
        <f>VLOOKUP(AM47,DST!$B:$C,2,0)</f>
        <v>CLE</v>
      </c>
      <c r="AO47" s="72">
        <f>VLOOKUP(AN47,Settings!$M$2:$N$33,2,0)</f>
        <v>4</v>
      </c>
      <c r="AP47" s="153">
        <f>VLOOKUP(AM47,DST!$B:$U,20,0)</f>
        <v>86.7</v>
      </c>
      <c r="AQ47" s="65">
        <f>AP47-Settings!$AA$8</f>
        <v>-25.045454545454533</v>
      </c>
      <c r="AR47" s="129" t="str">
        <f>IF(ISERROR(VLOOKUP(AM47,ESPNData!$CS:$CX,6,0)),"",IF((VLOOKUP(AM47,ESPNData!$CS:$CX,6,0)="--"),"",VLOOKUP(AM47,ESPNData!$CS:$CX,6,0)))</f>
        <v/>
      </c>
      <c r="AS47" s="75" t="str">
        <f>IF(ISERROR(VLOOKUP(AM47,ESPNData!$CZ:$DE,6,0)),"",IF((VLOOKUP(AM47,ESPNData!$CZ:$DE,6,0)="--"),"",VLOOKUP(AM47,ESPNData!$CZ:$DE,6,0)))</f>
        <v/>
      </c>
      <c r="AT47" s="69" t="str">
        <f>IF(ISERROR((VLOOKUP(AM47,Taken!$Q:$R,2,0)-AR47)),"",(VLOOKUP(AM47,Taken!$Q:$R,2,0)-AR47))</f>
        <v/>
      </c>
      <c r="AU47" s="69">
        <v>1</v>
      </c>
      <c r="AV47" s="43" t="str">
        <f>IF(ISERROR((VLOOKUP(AM47,Taken!$Q:$R,2,0)-AU47)),"",(VLOOKUP(AM47,Taken!$Q:$R,2,0)-AU47))</f>
        <v/>
      </c>
      <c r="AW47" s="155"/>
    </row>
    <row r="48" spans="1:49" ht="12.75" customHeight="1">
      <c r="A48" s="114">
        <f t="shared" si="4"/>
        <v>46</v>
      </c>
      <c r="B48" s="75" t="str">
        <f>IF(ISERROR(VLOOKUP(C48,Taken!$B:$B,1,0)),"",IF(ISERROR(VLOOKUP(C48,'Draft Board'!$AS:$AS,1,0)),"X","Y"))</f>
        <v/>
      </c>
      <c r="C48" s="75" t="str">
        <f>VLOOKUP(A48,QB!AC:AD,2,0)</f>
        <v>Bruce Gradkowski</v>
      </c>
      <c r="D48" s="72" t="str">
        <f>VLOOKUP(C48,QB!$B:$C,2,0)</f>
        <v>PIT</v>
      </c>
      <c r="E48" s="72">
        <f>IF((D48="FA"),"N/A",VLOOKUP(D48,Settings!$M$2:$N$33,2,0))</f>
        <v>12</v>
      </c>
      <c r="F48" s="153">
        <f>VLOOKUP(C48,QB!$B:$AB,27,0)</f>
        <v>13.9</v>
      </c>
      <c r="G48" s="65">
        <f>F48-Settings!$AA$3</f>
        <v>-324.21818181818179</v>
      </c>
      <c r="H48" s="129" t="str">
        <f>IF(ISERROR(VLOOKUP(C48,ESPNData!$CS:$CX,6,0)),"",IF((VLOOKUP(C48,ESPNData!$CS:$CX,6,0)="--"),"",VLOOKUP(C48,ESPNData!$CS:$CX,6,0)))</f>
        <v/>
      </c>
      <c r="I48" s="75" t="str">
        <f>IF(ISERROR(VLOOKUP(C48,ESPNData!$CZ:$DE,6,0)),"",IF((VLOOKUP(C48,ESPNData!$CZ:$DE,6,0)="--"),"",VLOOKUP(C48,ESPNData!$CZ:$DE,6,0)))</f>
        <v/>
      </c>
      <c r="J48" s="69" t="str">
        <f>IF(ISERROR((VLOOKUP(C48,Taken!$B:$C,2,0)-H48)),"",(VLOOKUP(C48,Taken!$B:$C,2,0)-H48))</f>
        <v/>
      </c>
      <c r="K48" s="69">
        <v>1</v>
      </c>
      <c r="L48" s="43" t="str">
        <f>IF(ISERROR((VLOOKUP(C48,Taken!$B:$C,2,0)-K48)),"",(VLOOKUP(C48,Taken!$B:$C,2,0)-K48))</f>
        <v/>
      </c>
      <c r="M48" s="60">
        <f t="shared" si="5"/>
        <v>46</v>
      </c>
      <c r="N48" s="75" t="str">
        <f>IF(ISERROR(VLOOKUP(O48,Taken!$E:$E,1,0)),"",IF(ISERROR(VLOOKUP(O48,'Draft Board'!$AS:$AS,1,0)),"X","Y"))</f>
        <v/>
      </c>
      <c r="O48" s="75" t="str">
        <f>VLOOKUP(M48,RB!Z:AA,2,0)</f>
        <v>Shonn Greene</v>
      </c>
      <c r="P48" s="75" t="str">
        <f>VLOOKUP(O48,RB!$B:$C,2,0)</f>
        <v>TEN</v>
      </c>
      <c r="Q48" s="72">
        <f>IF((P48="FA"),"N/A",VLOOKUP(P48,Settings!$M$2:$N$33,2,0))</f>
        <v>9</v>
      </c>
      <c r="R48" s="153">
        <f>VLOOKUP(O48,RB!$B:$Y,24,0)</f>
        <v>92.2</v>
      </c>
      <c r="S48" s="65">
        <f>R48-Settings!$AA$4</f>
        <v>-112.99393939393936</v>
      </c>
      <c r="T48" s="129">
        <f>IF(ISERROR(VLOOKUP(O48,ESPNData!$CS:$CX,6,0)),"",IF((VLOOKUP(O48,ESPNData!$CS:$CX,6,0)="--"),"",VLOOKUP(O48,ESPNData!$CS:$CX,6,0)))</f>
        <v>2</v>
      </c>
      <c r="U48" s="75">
        <f>IF(ISERROR(VLOOKUP(O48,ESPNData!$CZ:$DE,6,0)),"",IF((VLOOKUP(O48,ESPNData!$CZ:$DE,6,0)="--"),"",VLOOKUP(O48,ESPNData!$CZ:$DE,6,0)))</f>
        <v>1</v>
      </c>
      <c r="V48" s="69" t="str">
        <f>IF(ISERROR((VLOOKUP(O48,Taken!$E:$F,2,0)-T48)),"",(VLOOKUP(O48,Taken!$E:$F,2,0)-T48))</f>
        <v/>
      </c>
      <c r="W48" s="69">
        <f>MIN(W46,MAX(1,ROUND(((((S48-S$63)+Settings!$R$4)/(SUM(S48:S$63)-((S$63-Settings!$R$4)*((61+1)-M48))))*(Settings!$X$4-SUM(W$36:W47))),0)))</f>
        <v>3</v>
      </c>
      <c r="X48" s="43" t="str">
        <f>IF(ISERROR((VLOOKUP(O48,Taken!$E:$F,2,0)-W48)),"",(VLOOKUP(O48,Taken!$E:$F,2,0)-W48))</f>
        <v/>
      </c>
      <c r="Y48" s="60">
        <f t="shared" si="6"/>
        <v>46</v>
      </c>
      <c r="Z48" s="75" t="str">
        <f>IF(ISERROR(VLOOKUP(AA48,Taken!$H:$H,1,0)),"",IF(ISERROR(VLOOKUP(AA48,'Draft Board'!$AS:$AS,1,0)),"X","Y"))</f>
        <v/>
      </c>
      <c r="AA48" s="75" t="str">
        <f>VLOOKUP(Y48,WR!X:Y,2,0)</f>
        <v>Jarrett Boykin</v>
      </c>
      <c r="AB48" s="75" t="str">
        <f>VLOOKUP(AA48,WR!$B:$C,2,0)</f>
        <v>GB</v>
      </c>
      <c r="AC48" s="72">
        <f>IF((AB48="FA"),"N/A",VLOOKUP(AB48,Settings!$M$2:$N$33,2,0))</f>
        <v>9</v>
      </c>
      <c r="AD48" s="153">
        <f>VLOOKUP(AA48,WR!$B:$W,22,0)</f>
        <v>128.80000000000001</v>
      </c>
      <c r="AE48" s="65">
        <f>AD48-Settings!$AA$5</f>
        <v>-72.239393939393892</v>
      </c>
      <c r="AF48" s="129">
        <f>IF(ISERROR(VLOOKUP(AA48,ESPNData!$CS:$CX,6,0)),"",IF((VLOOKUP(AA48,ESPNData!$CS:$CX,6,0)="--"),"",VLOOKUP(AA48,ESPNData!$CS:$CX,6,0)))</f>
        <v>1</v>
      </c>
      <c r="AG48" s="75">
        <f>IF(ISERROR(VLOOKUP(AA48,ESPNData!$CZ:$DE,6,0)),"",IF((VLOOKUP(AA48,ESPNData!$CZ:$DE,6,0)="--"),"",VLOOKUP(AA48,ESPNData!$CZ:$DE,6,0)))</f>
        <v>1</v>
      </c>
      <c r="AH48" s="69" t="str">
        <f>IF(ISERROR((VLOOKUP(AA48,Taken!$H:$I,2,0)-AF48)),"",(VLOOKUP(AA48,Taken!$H:$I,2,0)-AF48))</f>
        <v/>
      </c>
      <c r="AI48" s="69">
        <f>MIN(AI47,MAX(1,ROUND(((((AE48-AE$63)+Settings!$R$5)/(SUM(AE48:AE$63)-((AE$63-Settings!$R$5)*((61+1)-Y48))))*(Settings!$X$5-SUM(AI$36:AI47))),0)))</f>
        <v>4</v>
      </c>
      <c r="AJ48" s="43" t="str">
        <f>IF(ISERROR((VLOOKUP(AA48,Taken!$H:$I,2,0)-AI48)),"",(VLOOKUP(AA48,Taken!$H:$I,2,0)-AI48))</f>
        <v/>
      </c>
      <c r="AK48" s="114">
        <f t="shared" si="7"/>
        <v>14</v>
      </c>
      <c r="AL48" s="75" t="str">
        <f>IF(ISERROR(VLOOKUP(AM48,Taken!$Q:$Q,1,0)),"",IF(ISERROR(VLOOKUP(AM48,'Draft Board'!$AS:$AS,1,0)),"X","Y"))</f>
        <v/>
      </c>
      <c r="AM48" s="75" t="str">
        <f>VLOOKUP(AK48,DST!V:W,2,0)</f>
        <v>Ravens</v>
      </c>
      <c r="AN48" s="75" t="str">
        <f>VLOOKUP(AM48,DST!$B:$C,2,0)</f>
        <v>BAL</v>
      </c>
      <c r="AO48" s="72">
        <f>VLOOKUP(AN48,Settings!$M$2:$N$33,2,0)</f>
        <v>11</v>
      </c>
      <c r="AP48" s="153">
        <f>VLOOKUP(AM48,DST!$B:$U,20,0)</f>
        <v>84.8</v>
      </c>
      <c r="AQ48" s="65">
        <f>AP48-Settings!$AA$8</f>
        <v>-26.945454545454538</v>
      </c>
      <c r="AR48" s="129" t="str">
        <f>IF(ISERROR(VLOOKUP(AM48,ESPNData!$CS:$CX,6,0)),"",IF((VLOOKUP(AM48,ESPNData!$CS:$CX,6,0)="--"),"",VLOOKUP(AM48,ESPNData!$CS:$CX,6,0)))</f>
        <v/>
      </c>
      <c r="AS48" s="75" t="str">
        <f>IF(ISERROR(VLOOKUP(AM48,ESPNData!$CZ:$DE,6,0)),"",IF((VLOOKUP(AM48,ESPNData!$CZ:$DE,6,0)="--"),"",VLOOKUP(AM48,ESPNData!$CZ:$DE,6,0)))</f>
        <v/>
      </c>
      <c r="AT48" s="69" t="str">
        <f>IF(ISERROR((VLOOKUP(AM48,Taken!$Q:$R,2,0)-AR48)),"",(VLOOKUP(AM48,Taken!$Q:$R,2,0)-AR48))</f>
        <v/>
      </c>
      <c r="AU48" s="69">
        <v>1</v>
      </c>
      <c r="AV48" s="43" t="str">
        <f>IF(ISERROR((VLOOKUP(AM48,Taken!$Q:$R,2,0)-AU48)),"",(VLOOKUP(AM48,Taken!$Q:$R,2,0)-AU48))</f>
        <v/>
      </c>
      <c r="AW48" s="155"/>
    </row>
    <row r="49" spans="1:49" ht="12.75" customHeight="1">
      <c r="A49" s="114">
        <f t="shared" si="4"/>
        <v>47</v>
      </c>
      <c r="B49" s="75" t="str">
        <f>IF(ISERROR(VLOOKUP(C49,Taken!$B:$B,1,0)),"",IF(ISERROR(VLOOKUP(C49,'Draft Board'!$AS:$AS,1,0)),"X","Y"))</f>
        <v/>
      </c>
      <c r="C49" s="75" t="str">
        <f>VLOOKUP(A49,QB!AC:AD,2,0)</f>
        <v>Mark Sanchez</v>
      </c>
      <c r="D49" s="72" t="str">
        <f>VLOOKUP(C49,QB!$B:$C,2,0)</f>
        <v>PHI</v>
      </c>
      <c r="E49" s="72">
        <f>IF((D49="FA"),"N/A",VLOOKUP(D49,Settings!$M$2:$N$33,2,0))</f>
        <v>7</v>
      </c>
      <c r="F49" s="153">
        <f>VLOOKUP(C49,QB!$B:$AB,27,0)</f>
        <v>13.6</v>
      </c>
      <c r="G49" s="65">
        <f>F49-Settings!$AA$3</f>
        <v>-324.51818181818174</v>
      </c>
      <c r="H49" s="129" t="str">
        <f>IF(ISERROR(VLOOKUP(C49,ESPNData!$CS:$CX,6,0)),"",IF((VLOOKUP(C49,ESPNData!$CS:$CX,6,0)="--"),"",VLOOKUP(C49,ESPNData!$CS:$CX,6,0)))</f>
        <v/>
      </c>
      <c r="I49" s="75" t="str">
        <f>IF(ISERROR(VLOOKUP(C49,ESPNData!$CZ:$DE,6,0)),"",IF((VLOOKUP(C49,ESPNData!$CZ:$DE,6,0)="--"),"",VLOOKUP(C49,ESPNData!$CZ:$DE,6,0)))</f>
        <v/>
      </c>
      <c r="J49" s="69" t="str">
        <f>IF(ISERROR((VLOOKUP(C49,Taken!$B:$C,2,0)-H49)),"",(VLOOKUP(C49,Taken!$B:$C,2,0)-H49))</f>
        <v/>
      </c>
      <c r="K49" s="69">
        <v>1</v>
      </c>
      <c r="L49" s="43" t="str">
        <f>IF(ISERROR((VLOOKUP(C49,Taken!$B:$C,2,0)-K49)),"",(VLOOKUP(C49,Taken!$B:$C,2,0)-K49))</f>
        <v/>
      </c>
      <c r="M49" s="60">
        <f t="shared" si="5"/>
        <v>47</v>
      </c>
      <c r="N49" s="75" t="str">
        <f>IF(ISERROR(VLOOKUP(O49,Taken!$E:$E,1,0)),"",IF(ISERROR(VLOOKUP(O49,'Draft Board'!$AS:$AS,1,0)),"X","Y"))</f>
        <v/>
      </c>
      <c r="O49" s="75" t="str">
        <f>VLOOKUP(M49,RB!Z:AA,2,0)</f>
        <v>Lance Dunbar</v>
      </c>
      <c r="P49" s="75" t="str">
        <f>VLOOKUP(O49,RB!$B:$C,2,0)</f>
        <v>DAL</v>
      </c>
      <c r="Q49" s="72">
        <f>IF((P49="FA"),"N/A",VLOOKUP(P49,Settings!$M$2:$N$33,2,0))</f>
        <v>11</v>
      </c>
      <c r="R49" s="153">
        <f>VLOOKUP(O49,RB!$B:$Y,24,0)</f>
        <v>89.6</v>
      </c>
      <c r="S49" s="65">
        <f>R49-Settings!$AA$4</f>
        <v>-115.59393939393937</v>
      </c>
      <c r="T49" s="129" t="str">
        <f>IF(ISERROR(VLOOKUP(O49,ESPNData!$CS:$CX,6,0)),"",IF((VLOOKUP(O49,ESPNData!$CS:$CX,6,0)="--"),"",VLOOKUP(O49,ESPNData!$CS:$CX,6,0)))</f>
        <v/>
      </c>
      <c r="U49" s="75" t="str">
        <f>IF(ISERROR(VLOOKUP(O49,ESPNData!$CZ:$DE,6,0)),"",IF((VLOOKUP(O49,ESPNData!$CZ:$DE,6,0)="--"),"",VLOOKUP(O49,ESPNData!$CZ:$DE,6,0)))</f>
        <v/>
      </c>
      <c r="V49" s="69" t="str">
        <f>IF(ISERROR((VLOOKUP(O49,Taken!$E:$F,2,0)-T49)),"",(VLOOKUP(O49,Taken!$E:$F,2,0)-T49))</f>
        <v/>
      </c>
      <c r="W49" s="69">
        <f>MIN(W47,MAX(1,ROUND(((((S49-S$63)+Settings!$R$4)/(SUM(S49:S$63)-((S$63-Settings!$R$4)*((61+1)-M49))))*(Settings!$X$4-SUM(W$36:W48))),0)))</f>
        <v>3</v>
      </c>
      <c r="X49" s="43" t="str">
        <f>IF(ISERROR((VLOOKUP(O49,Taken!$E:$F,2,0)-W49)),"",(VLOOKUP(O49,Taken!$E:$F,2,0)-W49))</f>
        <v/>
      </c>
      <c r="Y49" s="60">
        <f t="shared" si="6"/>
        <v>47</v>
      </c>
      <c r="Z49" s="75" t="str">
        <f>IF(ISERROR(VLOOKUP(AA49,Taken!$H:$H,1,0)),"",IF(ISERROR(VLOOKUP(AA49,'Draft Board'!$AS:$AS,1,0)),"X","Y"))</f>
        <v/>
      </c>
      <c r="AA49" s="75" t="str">
        <f>VLOOKUP(Y49,WR!X:Y,2,0)</f>
        <v>James Jones</v>
      </c>
      <c r="AB49" s="75" t="str">
        <f>VLOOKUP(AA49,WR!$B:$C,2,0)</f>
        <v>OAK</v>
      </c>
      <c r="AC49" s="72">
        <f>IF((AB49="FA"),"N/A",VLOOKUP(AB49,Settings!$M$2:$N$33,2,0))</f>
        <v>5</v>
      </c>
      <c r="AD49" s="153">
        <f>VLOOKUP(AA49,WR!$B:$W,22,0)</f>
        <v>126.2</v>
      </c>
      <c r="AE49" s="65">
        <f>AD49-Settings!$AA$5</f>
        <v>-74.839393939393901</v>
      </c>
      <c r="AF49" s="129">
        <f>IF(ISERROR(VLOOKUP(AA49,ESPNData!$CS:$CX,6,0)),"",IF((VLOOKUP(AA49,ESPNData!$CS:$CX,6,0)="--"),"",VLOOKUP(AA49,ESPNData!$CS:$CX,6,0)))</f>
        <v>1</v>
      </c>
      <c r="AG49" s="75">
        <f>IF(ISERROR(VLOOKUP(AA49,ESPNData!$CZ:$DE,6,0)),"",IF((VLOOKUP(AA49,ESPNData!$CZ:$DE,6,0)="--"),"",VLOOKUP(AA49,ESPNData!$CZ:$DE,6,0)))</f>
        <v>2</v>
      </c>
      <c r="AH49" s="69" t="str">
        <f>IF(ISERROR((VLOOKUP(AA49,Taken!$H:$I,2,0)-AF49)),"",(VLOOKUP(AA49,Taken!$H:$I,2,0)-AF49))</f>
        <v/>
      </c>
      <c r="AI49" s="69">
        <f>MIN(AI48,MAX(1,ROUND(((((AE49-AE$63)+Settings!$R$5)/(SUM(AE49:AE$63)-((AE$63-Settings!$R$5)*((61+1)-Y49))))*(Settings!$X$5-SUM(AI$36:AI48))),0)))</f>
        <v>4</v>
      </c>
      <c r="AJ49" s="43" t="str">
        <f>IF(ISERROR((VLOOKUP(AA49,Taken!$H:$I,2,0)-AI49)),"",(VLOOKUP(AA49,Taken!$H:$I,2,0)-AI49))</f>
        <v/>
      </c>
      <c r="AK49" s="114">
        <f t="shared" si="7"/>
        <v>15</v>
      </c>
      <c r="AL49" s="75" t="str">
        <f>IF(ISERROR(VLOOKUP(AM49,Taken!$Q:$Q,1,0)),"",IF(ISERROR(VLOOKUP(AM49,'Draft Board'!$AS:$AS,1,0)),"X","Y"))</f>
        <v/>
      </c>
      <c r="AM49" s="75" t="str">
        <f>VLOOKUP(AK49,DST!V:W,2,0)</f>
        <v>Buccaneers</v>
      </c>
      <c r="AN49" s="75" t="str">
        <f>VLOOKUP(AM49,DST!$B:$C,2,0)</f>
        <v>TB</v>
      </c>
      <c r="AO49" s="72">
        <f>VLOOKUP(AN49,Settings!$M$2:$N$33,2,0)</f>
        <v>7</v>
      </c>
      <c r="AP49" s="153">
        <f>VLOOKUP(AM49,DST!$B:$U,20,0)</f>
        <v>83.2</v>
      </c>
      <c r="AQ49" s="65">
        <f>AP49-Settings!$AA$8</f>
        <v>-28.545454545454533</v>
      </c>
      <c r="AR49" s="129" t="str">
        <f>IF(ISERROR(VLOOKUP(AM49,ESPNData!$CS:$CX,6,0)),"",IF((VLOOKUP(AM49,ESPNData!$CS:$CX,6,0)="--"),"",VLOOKUP(AM49,ESPNData!$CS:$CX,6,0)))</f>
        <v/>
      </c>
      <c r="AS49" s="75" t="str">
        <f>IF(ISERROR(VLOOKUP(AM49,ESPNData!$CZ:$DE,6,0)),"",IF((VLOOKUP(AM49,ESPNData!$CZ:$DE,6,0)="--"),"",VLOOKUP(AM49,ESPNData!$CZ:$DE,6,0)))</f>
        <v/>
      </c>
      <c r="AT49" s="69" t="str">
        <f>IF(ISERROR((VLOOKUP(AM49,Taken!$Q:$R,2,0)-AR49)),"",(VLOOKUP(AM49,Taken!$Q:$R,2,0)-AR49))</f>
        <v/>
      </c>
      <c r="AU49" s="69">
        <v>1</v>
      </c>
      <c r="AV49" s="43" t="str">
        <f>IF(ISERROR((VLOOKUP(AM49,Taken!$Q:$R,2,0)-AU49)),"",(VLOOKUP(AM49,Taken!$Q:$R,2,0)-AU49))</f>
        <v/>
      </c>
      <c r="AW49" s="155"/>
    </row>
    <row r="50" spans="1:49" ht="12.75" customHeight="1">
      <c r="A50" s="114">
        <f t="shared" si="4"/>
        <v>48</v>
      </c>
      <c r="B50" s="75" t="str">
        <f>IF(ISERROR(VLOOKUP(C50,Taken!$B:$B,1,0)),"",IF(ISERROR(VLOOKUP(C50,'Draft Board'!$AS:$AS,1,0)),"X","Y"))</f>
        <v/>
      </c>
      <c r="C50" s="75" t="str">
        <f>VLOOKUP(A50,QB!AC:AD,2,0)</f>
        <v>Matt Flynn</v>
      </c>
      <c r="D50" s="72" t="str">
        <f>VLOOKUP(C50,QB!$B:$C,2,0)</f>
        <v>GB</v>
      </c>
      <c r="E50" s="72">
        <f>IF((D50="FA"),"N/A",VLOOKUP(D50,Settings!$M$2:$N$33,2,0))</f>
        <v>9</v>
      </c>
      <c r="F50" s="153">
        <f>VLOOKUP(C50,QB!$B:$AB,27,0)</f>
        <v>12.8</v>
      </c>
      <c r="G50" s="65">
        <f>F50-Settings!$AA$3</f>
        <v>-325.31818181818176</v>
      </c>
      <c r="H50" s="129" t="str">
        <f>IF(ISERROR(VLOOKUP(C50,ESPNData!$CS:$CX,6,0)),"",IF((VLOOKUP(C50,ESPNData!$CS:$CX,6,0)="--"),"",VLOOKUP(C50,ESPNData!$CS:$CX,6,0)))</f>
        <v/>
      </c>
      <c r="I50" s="75" t="str">
        <f>IF(ISERROR(VLOOKUP(C50,ESPNData!$CZ:$DE,6,0)),"",IF((VLOOKUP(C50,ESPNData!$CZ:$DE,6,0)="--"),"",VLOOKUP(C50,ESPNData!$CZ:$DE,6,0)))</f>
        <v/>
      </c>
      <c r="J50" s="69" t="str">
        <f>IF(ISERROR((VLOOKUP(C50,Taken!$B:$C,2,0)-H50)),"",(VLOOKUP(C50,Taken!$B:$C,2,0)-H50))</f>
        <v/>
      </c>
      <c r="K50" s="69">
        <v>1</v>
      </c>
      <c r="L50" s="43" t="str">
        <f>IF(ISERROR((VLOOKUP(C50,Taken!$B:$C,2,0)-K50)),"",(VLOOKUP(C50,Taken!$B:$C,2,0)-K50))</f>
        <v/>
      </c>
      <c r="M50" s="60">
        <f t="shared" si="5"/>
        <v>48</v>
      </c>
      <c r="N50" s="75" t="str">
        <f>IF(ISERROR(VLOOKUP(O50,Taken!$E:$E,1,0)),"",IF(ISERROR(VLOOKUP(O50,'Draft Board'!$AS:$AS,1,0)),"X","Y"))</f>
        <v/>
      </c>
      <c r="O50" s="75" t="str">
        <f>VLOOKUP(M50,RB!Z:AA,2,0)</f>
        <v>Mike Tolbert</v>
      </c>
      <c r="P50" s="75" t="str">
        <f>VLOOKUP(O50,RB!$B:$C,2,0)</f>
        <v>CAR</v>
      </c>
      <c r="Q50" s="72">
        <f>IF((P50="FA"),"N/A",VLOOKUP(P50,Settings!$M$2:$N$33,2,0))</f>
        <v>12</v>
      </c>
      <c r="R50" s="153">
        <f>VLOOKUP(O50,RB!$B:$Y,24,0)</f>
        <v>89.6</v>
      </c>
      <c r="S50" s="65">
        <f>R50-Settings!$AA$4</f>
        <v>-115.59393939393937</v>
      </c>
      <c r="T50" s="129" t="str">
        <f>IF(ISERROR(VLOOKUP(O50,ESPNData!$CS:$CX,6,0)),"",IF((VLOOKUP(O50,ESPNData!$CS:$CX,6,0)="--"),"",VLOOKUP(O50,ESPNData!$CS:$CX,6,0)))</f>
        <v/>
      </c>
      <c r="U50" s="75" t="str">
        <f>IF(ISERROR(VLOOKUP(O50,ESPNData!$CZ:$DE,6,0)),"",IF((VLOOKUP(O50,ESPNData!$CZ:$DE,6,0)="--"),"",VLOOKUP(O50,ESPNData!$CZ:$DE,6,0)))</f>
        <v/>
      </c>
      <c r="V50" s="69" t="str">
        <f>IF(ISERROR((VLOOKUP(O50,Taken!$E:$F,2,0)-T50)),"",(VLOOKUP(O50,Taken!$E:$F,2,0)-T50))</f>
        <v/>
      </c>
      <c r="W50" s="69">
        <f>MIN(W48,MAX(1,ROUND(((((S50-S$63)+Settings!$R$4)/(SUM(S50:S$63)-((S$63-Settings!$R$4)*((61+1)-M50))))*(Settings!$X$4-SUM(W$36:W49))),0)))</f>
        <v>3</v>
      </c>
      <c r="X50" s="43" t="str">
        <f>IF(ISERROR((VLOOKUP(O50,Taken!$E:$F,2,0)-W50)),"",(VLOOKUP(O50,Taken!$E:$F,2,0)-W50))</f>
        <v/>
      </c>
      <c r="Y50" s="60">
        <f t="shared" si="6"/>
        <v>48</v>
      </c>
      <c r="Z50" s="75" t="str">
        <f>IF(ISERROR(VLOOKUP(AA50,Taken!$H:$H,1,0)),"",IF(ISERROR(VLOOKUP(AA50,'Draft Board'!$AS:$AS,1,0)),"X","Y"))</f>
        <v/>
      </c>
      <c r="AA50" s="75" t="str">
        <f>VLOOKUP(Y50,WR!X:Y,2,0)</f>
        <v>Harry Douglas</v>
      </c>
      <c r="AB50" s="75" t="str">
        <f>VLOOKUP(AA50,WR!$B:$C,2,0)</f>
        <v>ATL</v>
      </c>
      <c r="AC50" s="72">
        <f>IF((AB50="FA"),"N/A",VLOOKUP(AB50,Settings!$M$2:$N$33,2,0))</f>
        <v>9</v>
      </c>
      <c r="AD50" s="153">
        <f>VLOOKUP(AA50,WR!$B:$W,22,0)</f>
        <v>126.1</v>
      </c>
      <c r="AE50" s="65">
        <f>AD50-Settings!$AA$5</f>
        <v>-74.939393939393909</v>
      </c>
      <c r="AF50" s="129" t="str">
        <f>IF(ISERROR(VLOOKUP(AA50,ESPNData!$CS:$CX,6,0)),"",IF((VLOOKUP(AA50,ESPNData!$CS:$CX,6,0)="--"),"",VLOOKUP(AA50,ESPNData!$CS:$CX,6,0)))</f>
        <v/>
      </c>
      <c r="AG50" s="75" t="str">
        <f>IF(ISERROR(VLOOKUP(AA50,ESPNData!$CZ:$DE,6,0)),"",IF((VLOOKUP(AA50,ESPNData!$CZ:$DE,6,0)="--"),"",VLOOKUP(AA50,ESPNData!$CZ:$DE,6,0)))</f>
        <v/>
      </c>
      <c r="AH50" s="69" t="str">
        <f>IF(ISERROR((VLOOKUP(AA50,Taken!$H:$I,2,0)-AF50)),"",(VLOOKUP(AA50,Taken!$H:$I,2,0)-AF50))</f>
        <v/>
      </c>
      <c r="AI50" s="69">
        <f>MIN(AI49,MAX(1,ROUND(((((AE50-AE$63)+Settings!$R$5)/(SUM(AE50:AE$63)-((AE$63-Settings!$R$5)*((61+1)-Y50))))*(Settings!$X$5-SUM(AI$36:AI49))),0)))</f>
        <v>4</v>
      </c>
      <c r="AJ50" s="43" t="str">
        <f>IF(ISERROR((VLOOKUP(AA50,Taken!$H:$I,2,0)-AI50)),"",(VLOOKUP(AA50,Taken!$H:$I,2,0)-AI50))</f>
        <v/>
      </c>
      <c r="AK50" s="114">
        <f t="shared" si="7"/>
        <v>16</v>
      </c>
      <c r="AL50" s="75" t="str">
        <f>IF(ISERROR(VLOOKUP(AM50,Taken!$Q:$Q,1,0)),"",IF(ISERROR(VLOOKUP(AM50,'Draft Board'!$AS:$AS,1,0)),"X","Y"))</f>
        <v/>
      </c>
      <c r="AM50" s="75" t="str">
        <f>VLOOKUP(AK50,DST!V:W,2,0)</f>
        <v>Dolphins</v>
      </c>
      <c r="AN50" s="75" t="str">
        <f>VLOOKUP(AM50,DST!$B:$C,2,0)</f>
        <v>MIA</v>
      </c>
      <c r="AO50" s="72">
        <f>VLOOKUP(AN50,Settings!$M$2:$N$33,2,0)</f>
        <v>5</v>
      </c>
      <c r="AP50" s="153">
        <f>VLOOKUP(AM50,DST!$B:$U,20,0)</f>
        <v>82.2</v>
      </c>
      <c r="AQ50" s="65">
        <f>AP50-Settings!$AA$8</f>
        <v>-29.545454545454533</v>
      </c>
      <c r="AR50" s="129" t="str">
        <f>IF(ISERROR(VLOOKUP(AM50,ESPNData!$CS:$CX,6,0)),"",IF((VLOOKUP(AM50,ESPNData!$CS:$CX,6,0)="--"),"",VLOOKUP(AM50,ESPNData!$CS:$CX,6,0)))</f>
        <v/>
      </c>
      <c r="AS50" s="75" t="str">
        <f>IF(ISERROR(VLOOKUP(AM50,ESPNData!$CZ:$DE,6,0)),"",IF((VLOOKUP(AM50,ESPNData!$CZ:$DE,6,0)="--"),"",VLOOKUP(AM50,ESPNData!$CZ:$DE,6,0)))</f>
        <v/>
      </c>
      <c r="AT50" s="69" t="str">
        <f>IF(ISERROR((VLOOKUP(AM50,Taken!$Q:$R,2,0)-AR50)),"",(VLOOKUP(AM50,Taken!$Q:$R,2,0)-AR50))</f>
        <v/>
      </c>
      <c r="AU50" s="69">
        <v>1</v>
      </c>
      <c r="AV50" s="43" t="str">
        <f>IF(ISERROR((VLOOKUP(AM50,Taken!$Q:$R,2,0)-AU50)),"",(VLOOKUP(AM50,Taken!$Q:$R,2,0)-AU50))</f>
        <v/>
      </c>
      <c r="AW50" s="155"/>
    </row>
    <row r="51" spans="1:49" ht="12.75" customHeight="1">
      <c r="A51" s="114">
        <f t="shared" si="4"/>
        <v>49</v>
      </c>
      <c r="B51" s="75" t="str">
        <f>IF(ISERROR(VLOOKUP(C51,Taken!$B:$B,1,0)),"",IF(ISERROR(VLOOKUP(C51,'Draft Board'!$AS:$AS,1,0)),"X","Y"))</f>
        <v/>
      </c>
      <c r="C51" s="75" t="str">
        <f>VLOOKUP(A51,QB!AC:AD,2,0)</f>
        <v>Zach Mettenberger</v>
      </c>
      <c r="D51" s="72" t="str">
        <f>VLOOKUP(C51,QB!$B:$C,2,0)</f>
        <v>TEN</v>
      </c>
      <c r="E51" s="72">
        <f>IF((D51="FA"),"N/A",VLOOKUP(D51,Settings!$M$2:$N$33,2,0))</f>
        <v>9</v>
      </c>
      <c r="F51" s="153">
        <f>VLOOKUP(C51,QB!$B:$AB,27,0)</f>
        <v>10.9</v>
      </c>
      <c r="G51" s="65">
        <f>F51-Settings!$AA$3</f>
        <v>-327.21818181818179</v>
      </c>
      <c r="H51" s="129" t="str">
        <f>IF(ISERROR(VLOOKUP(C51,ESPNData!$CS:$CX,6,0)),"",IF((VLOOKUP(C51,ESPNData!$CS:$CX,6,0)="--"),"",VLOOKUP(C51,ESPNData!$CS:$CX,6,0)))</f>
        <v/>
      </c>
      <c r="I51" s="75" t="str">
        <f>IF(ISERROR(VLOOKUP(C51,ESPNData!$CZ:$DE,6,0)),"",IF((VLOOKUP(C51,ESPNData!$CZ:$DE,6,0)="--"),"",VLOOKUP(C51,ESPNData!$CZ:$DE,6,0)))</f>
        <v/>
      </c>
      <c r="J51" s="69" t="str">
        <f>IF(ISERROR((VLOOKUP(C51,Taken!$B:$C,2,0)-H51)),"",(VLOOKUP(C51,Taken!$B:$C,2,0)-H51))</f>
        <v/>
      </c>
      <c r="K51" s="69">
        <v>1</v>
      </c>
      <c r="L51" s="43" t="str">
        <f>IF(ISERROR((VLOOKUP(C51,Taken!$B:$C,2,0)-K51)),"",(VLOOKUP(C51,Taken!$B:$C,2,0)-K51))</f>
        <v/>
      </c>
      <c r="M51" s="60">
        <f t="shared" si="5"/>
        <v>49</v>
      </c>
      <c r="N51" s="75" t="str">
        <f>IF(ISERROR(VLOOKUP(O51,Taken!$E:$E,1,0)),"",IF(ISERROR(VLOOKUP(O51,'Draft Board'!$AS:$AS,1,0)),"X","Y"))</f>
        <v/>
      </c>
      <c r="O51" s="75" t="str">
        <f>VLOOKUP(M51,RB!Z:AA,2,0)</f>
        <v>LeGarrette Blount</v>
      </c>
      <c r="P51" s="75" t="str">
        <f>VLOOKUP(O51,RB!$B:$C,2,0)</f>
        <v>PIT</v>
      </c>
      <c r="Q51" s="72">
        <f>IF((P51="FA"),"N/A",VLOOKUP(P51,Settings!$M$2:$N$33,2,0))</f>
        <v>12</v>
      </c>
      <c r="R51" s="153">
        <f>VLOOKUP(O51,RB!$B:$Y,24,0)</f>
        <v>86.8</v>
      </c>
      <c r="S51" s="65">
        <f>R51-Settings!$AA$4</f>
        <v>-118.39393939393936</v>
      </c>
      <c r="T51" s="129">
        <f>IF(ISERROR(VLOOKUP(O51,ESPNData!$CS:$CX,6,0)),"",IF((VLOOKUP(O51,ESPNData!$CS:$CX,6,0)="--"),"",VLOOKUP(O51,ESPNData!$CS:$CX,6,0)))</f>
        <v>1</v>
      </c>
      <c r="U51" s="75" t="str">
        <f>IF(ISERROR(VLOOKUP(O51,ESPNData!$CZ:$DE,6,0)),"",IF((VLOOKUP(O51,ESPNData!$CZ:$DE,6,0)="--"),"",VLOOKUP(O51,ESPNData!$CZ:$DE,6,0)))</f>
        <v/>
      </c>
      <c r="V51" s="69" t="str">
        <f>IF(ISERROR((VLOOKUP(O51,Taken!$E:$F,2,0)-T51)),"",(VLOOKUP(O51,Taken!$E:$F,2,0)-T51))</f>
        <v/>
      </c>
      <c r="W51" s="69">
        <f>MIN(W49,MAX(1,ROUND(((((S51-S$63)+Settings!$R$4)/(SUM(S51:S$63)-((S$63-Settings!$R$4)*((61+1)-M51))))*(Settings!$X$4-SUM(W$36:W50))),0)))</f>
        <v>2</v>
      </c>
      <c r="X51" s="43" t="str">
        <f>IF(ISERROR((VLOOKUP(O51,Taken!$E:$F,2,0)-W51)),"",(VLOOKUP(O51,Taken!$E:$F,2,0)-W51))</f>
        <v/>
      </c>
      <c r="Y51" s="60">
        <f t="shared" si="6"/>
        <v>49</v>
      </c>
      <c r="Z51" s="75" t="str">
        <f>IF(ISERROR(VLOOKUP(AA51,Taken!$H:$H,1,0)),"",IF(ISERROR(VLOOKUP(AA51,'Draft Board'!$AS:$AS,1,0)),"X","Y"))</f>
        <v/>
      </c>
      <c r="AA51" s="75" t="str">
        <f>VLOOKUP(Y51,WR!X:Y,2,0)</f>
        <v>Tavon Austin</v>
      </c>
      <c r="AB51" s="75" t="str">
        <f>VLOOKUP(AA51,WR!$B:$C,2,0)</f>
        <v>STL</v>
      </c>
      <c r="AC51" s="72">
        <f>IF((AB51="FA"),"N/A",VLOOKUP(AB51,Settings!$M$2:$N$33,2,0))</f>
        <v>4</v>
      </c>
      <c r="AD51" s="153">
        <f>VLOOKUP(AA51,WR!$B:$W,22,0)</f>
        <v>125.3</v>
      </c>
      <c r="AE51" s="65">
        <f>AD51-Settings!$AA$5</f>
        <v>-75.739393939393906</v>
      </c>
      <c r="AF51" s="129">
        <f>IF(ISERROR(VLOOKUP(AA51,ESPNData!$CS:$CX,6,0)),"",IF((VLOOKUP(AA51,ESPNData!$CS:$CX,6,0)="--"),"",VLOOKUP(AA51,ESPNData!$CS:$CX,6,0)))</f>
        <v>1</v>
      </c>
      <c r="AG51" s="75">
        <f>IF(ISERROR(VLOOKUP(AA51,ESPNData!$CZ:$DE,6,0)),"",IF((VLOOKUP(AA51,ESPNData!$CZ:$DE,6,0)="--"),"",VLOOKUP(AA51,ESPNData!$CZ:$DE,6,0)))</f>
        <v>1</v>
      </c>
      <c r="AH51" s="69" t="str">
        <f>IF(ISERROR((VLOOKUP(AA51,Taken!$H:$I,2,0)-AF51)),"",(VLOOKUP(AA51,Taken!$H:$I,2,0)-AF51))</f>
        <v/>
      </c>
      <c r="AI51" s="69">
        <f>MIN(AI50,MAX(1,ROUND(((((AE51-AE$63)+Settings!$R$5)/(SUM(AE51:AE$63)-((AE$63-Settings!$R$5)*((61+1)-Y51))))*(Settings!$X$5-SUM(AI$36:AI50))),0)))</f>
        <v>4</v>
      </c>
      <c r="AJ51" s="43" t="str">
        <f>IF(ISERROR((VLOOKUP(AA51,Taken!$H:$I,2,0)-AI51)),"",(VLOOKUP(AA51,Taken!$H:$I,2,0)-AI51))</f>
        <v/>
      </c>
      <c r="AK51" s="114">
        <f t="shared" si="7"/>
        <v>17</v>
      </c>
      <c r="AL51" s="75" t="str">
        <f>IF(ISERROR(VLOOKUP(AM51,Taken!$Q:$Q,1,0)),"",IF(ISERROR(VLOOKUP(AM51,'Draft Board'!$AS:$AS,1,0)),"X","Y"))</f>
        <v/>
      </c>
      <c r="AM51" s="75" t="str">
        <f>VLOOKUP(AK51,DST!V:W,2,0)</f>
        <v>Texans</v>
      </c>
      <c r="AN51" s="75" t="str">
        <f>VLOOKUP(AM51,DST!$B:$C,2,0)</f>
        <v>HOU</v>
      </c>
      <c r="AO51" s="72">
        <f>VLOOKUP(AN51,Settings!$M$2:$N$33,2,0)</f>
        <v>10</v>
      </c>
      <c r="AP51" s="153">
        <f>VLOOKUP(AM51,DST!$B:$U,20,0)</f>
        <v>80.5</v>
      </c>
      <c r="AQ51" s="65">
        <f>AP51-Settings!$AA$8</f>
        <v>-31.245454545454535</v>
      </c>
      <c r="AR51" s="129" t="str">
        <f>IF(ISERROR(VLOOKUP(AM51,ESPNData!$CS:$CX,6,0)),"",IF((VLOOKUP(AM51,ESPNData!$CS:$CX,6,0)="--"),"",VLOOKUP(AM51,ESPNData!$CS:$CX,6,0)))</f>
        <v/>
      </c>
      <c r="AS51" s="75" t="str">
        <f>IF(ISERROR(VLOOKUP(AM51,ESPNData!$CZ:$DE,6,0)),"",IF((VLOOKUP(AM51,ESPNData!$CZ:$DE,6,0)="--"),"",VLOOKUP(AM51,ESPNData!$CZ:$DE,6,0)))</f>
        <v/>
      </c>
      <c r="AT51" s="69" t="str">
        <f>IF(ISERROR((VLOOKUP(AM51,Taken!$Q:$R,2,0)-AR51)),"",(VLOOKUP(AM51,Taken!$Q:$R,2,0)-AR51))</f>
        <v/>
      </c>
      <c r="AU51" s="69">
        <v>1</v>
      </c>
      <c r="AV51" s="43" t="str">
        <f>IF(ISERROR((VLOOKUP(AM51,Taken!$Q:$R,2,0)-AU51)),"",(VLOOKUP(AM51,Taken!$Q:$R,2,0)-AU51))</f>
        <v/>
      </c>
      <c r="AW51" s="155"/>
    </row>
    <row r="52" spans="1:49" ht="12.75" customHeight="1">
      <c r="A52" s="114">
        <f t="shared" si="4"/>
        <v>50</v>
      </c>
      <c r="B52" s="75" t="str">
        <f>IF(ISERROR(VLOOKUP(C52,Taken!$B:$B,1,0)),"",IF(ISERROR(VLOOKUP(C52,'Draft Board'!$AS:$AS,1,0)),"X","Y"))</f>
        <v/>
      </c>
      <c r="C52" s="75" t="str">
        <f>VLOOKUP(A52,QB!AC:AD,2,0)</f>
        <v>Jordan Palmer</v>
      </c>
      <c r="D52" s="72" t="str">
        <f>VLOOKUP(C52,QB!$B:$C,2,0)</f>
        <v>CHI</v>
      </c>
      <c r="E52" s="72">
        <f>IF((D52="FA"),"N/A",VLOOKUP(D52,Settings!$M$2:$N$33,2,0))</f>
        <v>9</v>
      </c>
      <c r="F52" s="153">
        <f>VLOOKUP(C52,QB!$B:$AB,27,0)</f>
        <v>7.8</v>
      </c>
      <c r="G52" s="65">
        <f>F52-Settings!$AA$3</f>
        <v>-330.31818181818176</v>
      </c>
      <c r="H52" s="129" t="str">
        <f>IF(ISERROR(VLOOKUP(C52,ESPNData!$CS:$CX,6,0)),"",IF((VLOOKUP(C52,ESPNData!$CS:$CX,6,0)="--"),"",VLOOKUP(C52,ESPNData!$CS:$CX,6,0)))</f>
        <v/>
      </c>
      <c r="I52" s="75" t="str">
        <f>IF(ISERROR(VLOOKUP(C52,ESPNData!$CZ:$DE,6,0)),"",IF((VLOOKUP(C52,ESPNData!$CZ:$DE,6,0)="--"),"",VLOOKUP(C52,ESPNData!$CZ:$DE,6,0)))</f>
        <v/>
      </c>
      <c r="J52" s="69" t="str">
        <f>IF(ISERROR((VLOOKUP(C52,Taken!$B:$C,2,0)-H52)),"",(VLOOKUP(C52,Taken!$B:$C,2,0)-H52))</f>
        <v/>
      </c>
      <c r="K52" s="69">
        <v>1</v>
      </c>
      <c r="L52" s="43" t="str">
        <f>IF(ISERROR((VLOOKUP(C52,Taken!$B:$C,2,0)-K52)),"",(VLOOKUP(C52,Taken!$B:$C,2,0)-K52))</f>
        <v/>
      </c>
      <c r="M52" s="60">
        <f t="shared" si="5"/>
        <v>50</v>
      </c>
      <c r="N52" s="75" t="str">
        <f>IF(ISERROR(VLOOKUP(O52,Taken!$E:$E,1,0)),"",IF(ISERROR(VLOOKUP(O52,'Draft Board'!$AS:$AS,1,0)),"X","Y"))</f>
        <v/>
      </c>
      <c r="O52" s="75" t="str">
        <f>VLOOKUP(M52,RB!Z:AA,2,0)</f>
        <v>Ronnie Hillman</v>
      </c>
      <c r="P52" s="75" t="str">
        <f>VLOOKUP(O52,RB!$B:$C,2,0)</f>
        <v>DEN</v>
      </c>
      <c r="Q52" s="72">
        <f>IF((P52="FA"),"N/A",VLOOKUP(P52,Settings!$M$2:$N$33,2,0))</f>
        <v>4</v>
      </c>
      <c r="R52" s="153">
        <f>VLOOKUP(O52,RB!$B:$Y,24,0)</f>
        <v>85.4</v>
      </c>
      <c r="S52" s="65">
        <f>R52-Settings!$AA$4</f>
        <v>-119.79393939393935</v>
      </c>
      <c r="T52" s="129" t="str">
        <f>IF(ISERROR(VLOOKUP(O52,ESPNData!$CS:$CX,6,0)),"",IF((VLOOKUP(O52,ESPNData!$CS:$CX,6,0)="--"),"",VLOOKUP(O52,ESPNData!$CS:$CX,6,0)))</f>
        <v/>
      </c>
      <c r="U52" s="75" t="str">
        <f>IF(ISERROR(VLOOKUP(O52,ESPNData!$CZ:$DE,6,0)),"",IF((VLOOKUP(O52,ESPNData!$CZ:$DE,6,0)="--"),"",VLOOKUP(O52,ESPNData!$CZ:$DE,6,0)))</f>
        <v/>
      </c>
      <c r="V52" s="69" t="str">
        <f>IF(ISERROR((VLOOKUP(O52,Taken!$E:$F,2,0)-T52)),"",(VLOOKUP(O52,Taken!$E:$F,2,0)-T52))</f>
        <v/>
      </c>
      <c r="W52" s="69">
        <f>MIN(W50,MAX(1,ROUND(((((S52-S$63)+Settings!$R$4)/(SUM(S52:S$63)-((S$63-Settings!$R$4)*((61+1)-M52))))*(Settings!$X$4-SUM(W$36:W51))),0)))</f>
        <v>2</v>
      </c>
      <c r="X52" s="43" t="str">
        <f>IF(ISERROR((VLOOKUP(O52,Taken!$E:$F,2,0)-W52)),"",(VLOOKUP(O52,Taken!$E:$F,2,0)-W52))</f>
        <v/>
      </c>
      <c r="Y52" s="60">
        <f t="shared" si="6"/>
        <v>50</v>
      </c>
      <c r="Z52" s="75" t="str">
        <f>IF(ISERROR(VLOOKUP(AA52,Taken!$H:$H,1,0)),"",IF(ISERROR(VLOOKUP(AA52,'Draft Board'!$AS:$AS,1,0)),"X","Y"))</f>
        <v/>
      </c>
      <c r="AA52" s="75" t="str">
        <f>VLOOKUP(Y52,WR!X:Y,2,0)</f>
        <v>Kenny Stills</v>
      </c>
      <c r="AB52" s="75" t="str">
        <f>VLOOKUP(AA52,WR!$B:$C,2,0)</f>
        <v>NO</v>
      </c>
      <c r="AC52" s="72">
        <f>IF((AB52="FA"),"N/A",VLOOKUP(AB52,Settings!$M$2:$N$33,2,0))</f>
        <v>6</v>
      </c>
      <c r="AD52" s="153">
        <f>VLOOKUP(AA52,WR!$B:$W,22,0)</f>
        <v>120.8</v>
      </c>
      <c r="AE52" s="65">
        <f>AD52-Settings!$AA$5</f>
        <v>-80.239393939393906</v>
      </c>
      <c r="AF52" s="129" t="str">
        <f>IF(ISERROR(VLOOKUP(AA52,ESPNData!$CS:$CX,6,0)),"",IF((VLOOKUP(AA52,ESPNData!$CS:$CX,6,0)="--"),"",VLOOKUP(AA52,ESPNData!$CS:$CX,6,0)))</f>
        <v/>
      </c>
      <c r="AG52" s="75" t="str">
        <f>IF(ISERROR(VLOOKUP(AA52,ESPNData!$CZ:$DE,6,0)),"",IF((VLOOKUP(AA52,ESPNData!$CZ:$DE,6,0)="--"),"",VLOOKUP(AA52,ESPNData!$CZ:$DE,6,0)))</f>
        <v/>
      </c>
      <c r="AH52" s="69" t="str">
        <f>IF(ISERROR((VLOOKUP(AA52,Taken!$H:$I,2,0)-AF52)),"",(VLOOKUP(AA52,Taken!$H:$I,2,0)-AF52))</f>
        <v/>
      </c>
      <c r="AI52" s="69">
        <f>MIN(AI51,MAX(1,ROUND(((((AE52-AE$63)+Settings!$R$5)/(SUM(AE52:AE$63)-((AE$63-Settings!$R$5)*((61+1)-Y52))))*(Settings!$X$5-SUM(AI$36:AI51))),0)))</f>
        <v>4</v>
      </c>
      <c r="AJ52" s="43" t="str">
        <f>IF(ISERROR((VLOOKUP(AA52,Taken!$H:$I,2,0)-AI52)),"",(VLOOKUP(AA52,Taken!$H:$I,2,0)-AI52))</f>
        <v/>
      </c>
      <c r="AK52" s="114">
        <f t="shared" si="7"/>
        <v>18</v>
      </c>
      <c r="AL52" s="75" t="str">
        <f>IF(ISERROR(VLOOKUP(AM52,Taken!$Q:$Q,1,0)),"",IF(ISERROR(VLOOKUP(AM52,'Draft Board'!$AS:$AS,1,0)),"X","Y"))</f>
        <v/>
      </c>
      <c r="AM52" s="75" t="str">
        <f>VLOOKUP(AK52,DST!V:W,2,0)</f>
        <v>Packers</v>
      </c>
      <c r="AN52" s="75" t="str">
        <f>VLOOKUP(AM52,DST!$B:$C,2,0)</f>
        <v>GB</v>
      </c>
      <c r="AO52" s="72">
        <f>VLOOKUP(AN52,Settings!$M$2:$N$33,2,0)</f>
        <v>9</v>
      </c>
      <c r="AP52" s="153">
        <f>VLOOKUP(AM52,DST!$B:$U,20,0)</f>
        <v>77.900000000000006</v>
      </c>
      <c r="AQ52" s="65">
        <f>AP52-Settings!$AA$8</f>
        <v>-33.84545454545453</v>
      </c>
      <c r="AR52" s="129" t="str">
        <f>IF(ISERROR(VLOOKUP(AM52,ESPNData!$CS:$CX,6,0)),"",IF((VLOOKUP(AM52,ESPNData!$CS:$CX,6,0)="--"),"",VLOOKUP(AM52,ESPNData!$CS:$CX,6,0)))</f>
        <v/>
      </c>
      <c r="AS52" s="75" t="str">
        <f>IF(ISERROR(VLOOKUP(AM52,ESPNData!$CZ:$DE,6,0)),"",IF((VLOOKUP(AM52,ESPNData!$CZ:$DE,6,0)="--"),"",VLOOKUP(AM52,ESPNData!$CZ:$DE,6,0)))</f>
        <v/>
      </c>
      <c r="AT52" s="69" t="str">
        <f>IF(ISERROR((VLOOKUP(AM52,Taken!$Q:$R,2,0)-AR52)),"",(VLOOKUP(AM52,Taken!$Q:$R,2,0)-AR52))</f>
        <v/>
      </c>
      <c r="AU52" s="69">
        <v>1</v>
      </c>
      <c r="AV52" s="43" t="str">
        <f>IF(ISERROR((VLOOKUP(AM52,Taken!$Q:$R,2,0)-AU52)),"",(VLOOKUP(AM52,Taken!$Q:$R,2,0)-AU52))</f>
        <v/>
      </c>
      <c r="AW52" s="155"/>
    </row>
    <row r="53" spans="1:49" ht="12.75" customHeight="1">
      <c r="A53" s="114">
        <f t="shared" si="4"/>
        <v>51</v>
      </c>
      <c r="B53" s="75" t="str">
        <f>IF(ISERROR(VLOOKUP(C53,Taken!$B:$B,1,0)),"",IF(ISERROR(VLOOKUP(C53,'Draft Board'!$AS:$AS,1,0)),"X","Y"))</f>
        <v/>
      </c>
      <c r="C53" s="75" t="str">
        <f>VLOOKUP(A53,QB!AC:AD,2,0)</f>
        <v>Jimmy Clausen</v>
      </c>
      <c r="D53" s="72" t="str">
        <f>VLOOKUP(C53,QB!$B:$C,2,0)</f>
        <v>CHI</v>
      </c>
      <c r="E53" s="72">
        <f>IF((D53="FA"),"N/A",VLOOKUP(D53,Settings!$M$2:$N$33,2,0))</f>
        <v>9</v>
      </c>
      <c r="F53" s="153">
        <f>VLOOKUP(C53,QB!$B:$AB,27,0)</f>
        <v>7.5</v>
      </c>
      <c r="G53" s="65">
        <f>F53-Settings!$AA$3</f>
        <v>-330.61818181818177</v>
      </c>
      <c r="H53" s="129" t="str">
        <f>IF(ISERROR(VLOOKUP(C53,ESPNData!$CS:$CX,6,0)),"",IF((VLOOKUP(C53,ESPNData!$CS:$CX,6,0)="--"),"",VLOOKUP(C53,ESPNData!$CS:$CX,6,0)))</f>
        <v/>
      </c>
      <c r="I53" s="75" t="str">
        <f>IF(ISERROR(VLOOKUP(C53,ESPNData!$CZ:$DE,6,0)),"",IF((VLOOKUP(C53,ESPNData!$CZ:$DE,6,0)="--"),"",VLOOKUP(C53,ESPNData!$CZ:$DE,6,0)))</f>
        <v/>
      </c>
      <c r="J53" s="69" t="str">
        <f>IF(ISERROR((VLOOKUP(C53,Taken!$B:$C,2,0)-H53)),"",(VLOOKUP(C53,Taken!$B:$C,2,0)-H53))</f>
        <v/>
      </c>
      <c r="K53" s="69">
        <v>1</v>
      </c>
      <c r="L53" s="43" t="str">
        <f>IF(ISERROR((VLOOKUP(C53,Taken!$B:$C,2,0)-K53)),"",(VLOOKUP(C53,Taken!$B:$C,2,0)-K53))</f>
        <v/>
      </c>
      <c r="M53" s="60">
        <f t="shared" si="5"/>
        <v>51</v>
      </c>
      <c r="N53" s="75" t="str">
        <f>IF(ISERROR(VLOOKUP(O53,Taken!$E:$E,1,0)),"",IF(ISERROR(VLOOKUP(O53,'Draft Board'!$AS:$AS,1,0)),"X","Y"))</f>
        <v/>
      </c>
      <c r="O53" s="75" t="str">
        <f>VLOOKUP(M53,RB!Z:AA,2,0)</f>
        <v>Marcel Reece</v>
      </c>
      <c r="P53" s="75" t="str">
        <f>VLOOKUP(O53,RB!$B:$C,2,0)</f>
        <v>OAK</v>
      </c>
      <c r="Q53" s="72">
        <f>IF((P53="FA"),"N/A",VLOOKUP(P53,Settings!$M$2:$N$33,2,0))</f>
        <v>5</v>
      </c>
      <c r="R53" s="153">
        <f>VLOOKUP(O53,RB!$B:$Y,24,0)</f>
        <v>83.4</v>
      </c>
      <c r="S53" s="65">
        <f>R53-Settings!$AA$4</f>
        <v>-121.79393939393935</v>
      </c>
      <c r="T53" s="129" t="str">
        <f>IF(ISERROR(VLOOKUP(O53,ESPNData!$CS:$CX,6,0)),"",IF((VLOOKUP(O53,ESPNData!$CS:$CX,6,0)="--"),"",VLOOKUP(O53,ESPNData!$CS:$CX,6,0)))</f>
        <v/>
      </c>
      <c r="U53" s="75" t="str">
        <f>IF(ISERROR(VLOOKUP(O53,ESPNData!$CZ:$DE,6,0)),"",IF((VLOOKUP(O53,ESPNData!$CZ:$DE,6,0)="--"),"",VLOOKUP(O53,ESPNData!$CZ:$DE,6,0)))</f>
        <v/>
      </c>
      <c r="V53" s="69" t="str">
        <f>IF(ISERROR((VLOOKUP(O53,Taken!$E:$F,2,0)-T53)),"",(VLOOKUP(O53,Taken!$E:$F,2,0)-T53))</f>
        <v/>
      </c>
      <c r="W53" s="69">
        <f>MIN(W51,MAX(1,ROUND(((((S53-S$63)+Settings!$R$4)/(SUM(S53:S$63)-((S$63-Settings!$R$4)*((61+1)-M53))))*(Settings!$X$4-SUM(W$36:W52))),0)))</f>
        <v>2</v>
      </c>
      <c r="X53" s="43" t="str">
        <f>IF(ISERROR((VLOOKUP(O53,Taken!$E:$F,2,0)-W53)),"",(VLOOKUP(O53,Taken!$E:$F,2,0)-W53))</f>
        <v/>
      </c>
      <c r="Y53" s="60">
        <f t="shared" si="6"/>
        <v>51</v>
      </c>
      <c r="Z53" s="75" t="str">
        <f>IF(ISERROR(VLOOKUP(AA53,Taken!$H:$H,1,0)),"",IF(ISERROR(VLOOKUP(AA53,'Draft Board'!$AS:$AS,1,0)),"X","Y"))</f>
        <v/>
      </c>
      <c r="AA53" s="75" t="str">
        <f>VLOOKUP(Y53,WR!X:Y,2,0)</f>
        <v>Steve Smith</v>
      </c>
      <c r="AB53" s="75" t="str">
        <f>VLOOKUP(AA53,WR!$B:$C,2,0)</f>
        <v>BAL</v>
      </c>
      <c r="AC53" s="72">
        <f>IF((AB53="FA"),"N/A",VLOOKUP(AB53,Settings!$M$2:$N$33,2,0))</f>
        <v>11</v>
      </c>
      <c r="AD53" s="153">
        <f>VLOOKUP(AA53,WR!$B:$W,22,0)</f>
        <v>109.8</v>
      </c>
      <c r="AE53" s="65">
        <f>AD53-Settings!$AA$5</f>
        <v>-91.239393939393906</v>
      </c>
      <c r="AF53" s="129">
        <f>IF(ISERROR(VLOOKUP(AA53,ESPNData!$CS:$CX,6,0)),"",IF((VLOOKUP(AA53,ESPNData!$CS:$CX,6,0)="--"),"",VLOOKUP(AA53,ESPNData!$CS:$CX,6,0)))</f>
        <v>2</v>
      </c>
      <c r="AG53" s="75">
        <f>IF(ISERROR(VLOOKUP(AA53,ESPNData!$CZ:$DE,6,0)),"",IF((VLOOKUP(AA53,ESPNData!$CZ:$DE,6,0)="--"),"",VLOOKUP(AA53,ESPNData!$CZ:$DE,6,0)))</f>
        <v>2</v>
      </c>
      <c r="AH53" s="69" t="str">
        <f>IF(ISERROR((VLOOKUP(AA53,Taken!$H:$I,2,0)-AF53)),"",(VLOOKUP(AA53,Taken!$H:$I,2,0)-AF53))</f>
        <v/>
      </c>
      <c r="AI53" s="69">
        <f>MIN(AI52,MAX(1,ROUND(((((AE53-AE$63)+Settings!$R$5)/(SUM(AE53:AE$63)-((AE$63-Settings!$R$5)*((61+1)-Y53))))*(Settings!$X$5-SUM(AI$36:AI52))),0)))</f>
        <v>3</v>
      </c>
      <c r="AJ53" s="43" t="str">
        <f>IF(ISERROR((VLOOKUP(AA53,Taken!$H:$I,2,0)-AI53)),"",(VLOOKUP(AA53,Taken!$H:$I,2,0)-AI53))</f>
        <v/>
      </c>
      <c r="AK53" s="114">
        <f t="shared" si="7"/>
        <v>19</v>
      </c>
      <c r="AL53" s="75" t="str">
        <f>IF(ISERROR(VLOOKUP(AM53,Taken!$Q:$Q,1,0)),"",IF(ISERROR(VLOOKUP(AM53,'Draft Board'!$AS:$AS,1,0)),"X","Y"))</f>
        <v/>
      </c>
      <c r="AM53" s="75" t="str">
        <f>VLOOKUP(AK53,DST!V:W,2,0)</f>
        <v>Chargers</v>
      </c>
      <c r="AN53" s="75" t="str">
        <f>VLOOKUP(AM53,DST!$B:$C,2,0)</f>
        <v>SD</v>
      </c>
      <c r="AO53" s="72">
        <f>VLOOKUP(AN53,Settings!$M$2:$N$33,2,0)</f>
        <v>10</v>
      </c>
      <c r="AP53" s="153">
        <f>VLOOKUP(AM53,DST!$B:$U,20,0)</f>
        <v>73.5</v>
      </c>
      <c r="AQ53" s="65">
        <f>AP53-Settings!$AA$8</f>
        <v>-38.245454545454535</v>
      </c>
      <c r="AR53" s="129" t="str">
        <f>IF(ISERROR(VLOOKUP(AM53,ESPNData!$CS:$CX,6,0)),"",IF((VLOOKUP(AM53,ESPNData!$CS:$CX,6,0)="--"),"",VLOOKUP(AM53,ESPNData!$CS:$CX,6,0)))</f>
        <v/>
      </c>
      <c r="AS53" s="75" t="str">
        <f>IF(ISERROR(VLOOKUP(AM53,ESPNData!$CZ:$DE,6,0)),"",IF((VLOOKUP(AM53,ESPNData!$CZ:$DE,6,0)="--"),"",VLOOKUP(AM53,ESPNData!$CZ:$DE,6,0)))</f>
        <v/>
      </c>
      <c r="AT53" s="69" t="str">
        <f>IF(ISERROR((VLOOKUP(AM53,Taken!$Q:$R,2,0)-AR53)),"",(VLOOKUP(AM53,Taken!$Q:$R,2,0)-AR53))</f>
        <v/>
      </c>
      <c r="AU53" s="69">
        <v>1</v>
      </c>
      <c r="AV53" s="43" t="str">
        <f>IF(ISERROR((VLOOKUP(AM53,Taken!$Q:$R,2,0)-AU53)),"",(VLOOKUP(AM53,Taken!$Q:$R,2,0)-AU53))</f>
        <v/>
      </c>
      <c r="AW53" s="155"/>
    </row>
    <row r="54" spans="1:49" ht="12.75" customHeight="1">
      <c r="A54" s="154">
        <f t="shared" si="4"/>
        <v>52</v>
      </c>
      <c r="B54" s="75" t="str">
        <f>IF(ISERROR(VLOOKUP(C54,Taken!$B:$B,1,0)),"",IF(ISERROR(VLOOKUP(C54,'Draft Board'!$AS:$AS,1,0)),"X","Y"))</f>
        <v/>
      </c>
      <c r="C54" s="75" t="str">
        <f>VLOOKUP(A54,QB!AC:AD,2,0)</f>
        <v>Terrelle Pryor</v>
      </c>
      <c r="D54" s="72" t="str">
        <f>VLOOKUP(C54,QB!$B:$C,2,0)</f>
        <v>SEA</v>
      </c>
      <c r="E54" s="72">
        <f>IF((D54="FA"),"N/A",VLOOKUP(D54,Settings!$M$2:$N$33,2,0))</f>
        <v>4</v>
      </c>
      <c r="F54" s="153">
        <f>VLOOKUP(C54,QB!$B:$AB,27,0)</f>
        <v>6.9</v>
      </c>
      <c r="G54" s="65">
        <f>F54-Settings!$AA$3</f>
        <v>-331.21818181818179</v>
      </c>
      <c r="H54" s="129" t="str">
        <f>IF(ISERROR(VLOOKUP(C54,ESPNData!$CS:$CX,6,0)),"",IF((VLOOKUP(C54,ESPNData!$CS:$CX,6,0)="--"),"",VLOOKUP(C54,ESPNData!$CS:$CX,6,0)))</f>
        <v/>
      </c>
      <c r="I54" s="75" t="str">
        <f>IF(ISERROR(VLOOKUP(C54,ESPNData!$CZ:$DE,6,0)),"",IF((VLOOKUP(C54,ESPNData!$CZ:$DE,6,0)="--"),"",VLOOKUP(C54,ESPNData!$CZ:$DE,6,0)))</f>
        <v/>
      </c>
      <c r="J54" s="69" t="str">
        <f>IF(ISERROR((VLOOKUP(C54,Taken!$B:$C,2,0)-H54)),"",(VLOOKUP(C54,Taken!$B:$C,2,0)-H54))</f>
        <v/>
      </c>
      <c r="K54" s="69">
        <v>1</v>
      </c>
      <c r="L54" s="43" t="str">
        <f>IF(ISERROR((VLOOKUP(C54,Taken!$B:$C,2,0)-K54)),"",(VLOOKUP(C54,Taken!$B:$C,2,0)-K54))</f>
        <v/>
      </c>
      <c r="M54" s="60">
        <f t="shared" si="5"/>
        <v>52</v>
      </c>
      <c r="N54" s="75" t="str">
        <f>IF(ISERROR(VLOOKUP(O54,Taken!$E:$E,1,0)),"",IF(ISERROR(VLOOKUP(O54,'Draft Board'!$AS:$AS,1,0)),"X","Y"))</f>
        <v/>
      </c>
      <c r="O54" s="75" t="str">
        <f>VLOOKUP(M54,RB!Z:AA,2,0)</f>
        <v>Jonathan Stewart</v>
      </c>
      <c r="P54" s="75" t="str">
        <f>VLOOKUP(O54,RB!$B:$C,2,0)</f>
        <v>CAR</v>
      </c>
      <c r="Q54" s="72">
        <f>IF((P54="FA"),"N/A",VLOOKUP(P54,Settings!$M$2:$N$33,2,0))</f>
        <v>12</v>
      </c>
      <c r="R54" s="153">
        <f>VLOOKUP(O54,RB!$B:$Y,24,0)</f>
        <v>83.3</v>
      </c>
      <c r="S54" s="65">
        <f>R54-Settings!$AA$4</f>
        <v>-121.89393939393936</v>
      </c>
      <c r="T54" s="129">
        <f>IF(ISERROR(VLOOKUP(O54,ESPNData!$CS:$CX,6,0)),"",IF((VLOOKUP(O54,ESPNData!$CS:$CX,6,0)="--"),"",VLOOKUP(O54,ESPNData!$CS:$CX,6,0)))</f>
        <v>1</v>
      </c>
      <c r="U54" s="75" t="str">
        <f>IF(ISERROR(VLOOKUP(O54,ESPNData!$CZ:$DE,6,0)),"",IF((VLOOKUP(O54,ESPNData!$CZ:$DE,6,0)="--"),"",VLOOKUP(O54,ESPNData!$CZ:$DE,6,0)))</f>
        <v/>
      </c>
      <c r="V54" s="69" t="str">
        <f>IF(ISERROR((VLOOKUP(O54,Taken!$E:$F,2,0)-T54)),"",(VLOOKUP(O54,Taken!$E:$F,2,0)-T54))</f>
        <v/>
      </c>
      <c r="W54" s="69">
        <f>MIN(W52,MAX(1,ROUND(((((S54-S$63)+Settings!$R$4)/(SUM(S54:S$63)-((S$63-Settings!$R$4)*((61+1)-M54))))*(Settings!$X$4-SUM(W$36:W53))),0)))</f>
        <v>2</v>
      </c>
      <c r="X54" s="43" t="str">
        <f>IF(ISERROR((VLOOKUP(O54,Taken!$E:$F,2,0)-W54)),"",(VLOOKUP(O54,Taken!$E:$F,2,0)-W54))</f>
        <v/>
      </c>
      <c r="Y54" s="60">
        <f t="shared" si="6"/>
        <v>52</v>
      </c>
      <c r="Z54" s="75" t="str">
        <f>IF(ISERROR(VLOOKUP(AA54,Taken!$H:$H,1,0)),"",IF(ISERROR(VLOOKUP(AA54,'Draft Board'!$AS:$AS,1,0)),"X","Y"))</f>
        <v/>
      </c>
      <c r="AA54" s="75" t="str">
        <f>VLOOKUP(Y54,WR!X:Y,2,0)</f>
        <v>Mike Williams</v>
      </c>
      <c r="AB54" s="75" t="str">
        <f>VLOOKUP(AA54,WR!$B:$C,2,0)</f>
        <v>BUF</v>
      </c>
      <c r="AC54" s="72">
        <f>IF((AB54="FA"),"N/A",VLOOKUP(AB54,Settings!$M$2:$N$33,2,0))</f>
        <v>9</v>
      </c>
      <c r="AD54" s="153">
        <f>VLOOKUP(AA54,WR!$B:$W,22,0)</f>
        <v>108.1</v>
      </c>
      <c r="AE54" s="65">
        <f>AD54-Settings!$AA$5</f>
        <v>-92.939393939393909</v>
      </c>
      <c r="AF54" s="129" t="str">
        <f>IF(ISERROR(VLOOKUP(AA54,ESPNData!$CS:$CX,6,0)),"",IF((VLOOKUP(AA54,ESPNData!$CS:$CX,6,0)="--"),"",VLOOKUP(AA54,ESPNData!$CS:$CX,6,0)))</f>
        <v/>
      </c>
      <c r="AG54" s="75">
        <f>IF(ISERROR(VLOOKUP(AA54,ESPNData!$CZ:$DE,6,0)),"",IF((VLOOKUP(AA54,ESPNData!$CZ:$DE,6,0)="--"),"",VLOOKUP(AA54,ESPNData!$CZ:$DE,6,0)))</f>
        <v>1</v>
      </c>
      <c r="AH54" s="69" t="str">
        <f>IF(ISERROR((VLOOKUP(AA54,Taken!$H:$I,2,0)-AF54)),"",(VLOOKUP(AA54,Taken!$H:$I,2,0)-AF54))</f>
        <v/>
      </c>
      <c r="AI54" s="69">
        <f>MIN(AI53,MAX(1,ROUND(((((AE54-AE$63)+Settings!$R$5)/(SUM(AE54:AE$63)-((AE$63-Settings!$R$5)*((61+1)-Y54))))*(Settings!$X$5-SUM(AI$36:AI53))),0)))</f>
        <v>3</v>
      </c>
      <c r="AJ54" s="43" t="str">
        <f>IF(ISERROR((VLOOKUP(AA54,Taken!$H:$I,2,0)-AI54)),"",(VLOOKUP(AA54,Taken!$H:$I,2,0)-AI54))</f>
        <v/>
      </c>
      <c r="AK54" s="114">
        <f t="shared" si="7"/>
        <v>20</v>
      </c>
      <c r="AL54" s="75" t="str">
        <f>IF(ISERROR(VLOOKUP(AM54,Taken!$Q:$Q,1,0)),"",IF(ISERROR(VLOOKUP(AM54,'Draft Board'!$AS:$AS,1,0)),"X","Y"))</f>
        <v/>
      </c>
      <c r="AM54" s="75" t="str">
        <f>VLOOKUP(AK54,DST!V:W,2,0)</f>
        <v>Lions</v>
      </c>
      <c r="AN54" s="75" t="str">
        <f>VLOOKUP(AM54,DST!$B:$C,2,0)</f>
        <v>DET</v>
      </c>
      <c r="AO54" s="72">
        <f>VLOOKUP(AN54,Settings!$M$2:$N$33,2,0)</f>
        <v>9</v>
      </c>
      <c r="AP54" s="153">
        <f>VLOOKUP(AM54,DST!$B:$U,20,0)</f>
        <v>73.400000000000006</v>
      </c>
      <c r="AQ54" s="65">
        <f>AP54-Settings!$AA$8</f>
        <v>-38.34545454545453</v>
      </c>
      <c r="AR54" s="129" t="str">
        <f>IF(ISERROR(VLOOKUP(AM54,ESPNData!$CS:$CX,6,0)),"",IF((VLOOKUP(AM54,ESPNData!$CS:$CX,6,0)="--"),"",VLOOKUP(AM54,ESPNData!$CS:$CX,6,0)))</f>
        <v/>
      </c>
      <c r="AS54" s="75" t="str">
        <f>IF(ISERROR(VLOOKUP(AM54,ESPNData!$CZ:$DE,6,0)),"",IF((VLOOKUP(AM54,ESPNData!$CZ:$DE,6,0)="--"),"",VLOOKUP(AM54,ESPNData!$CZ:$DE,6,0)))</f>
        <v/>
      </c>
      <c r="AT54" s="69" t="str">
        <f>IF(ISERROR((VLOOKUP(AM54,Taken!$Q:$R,2,0)-AR54)),"",(VLOOKUP(AM54,Taken!$Q:$R,2,0)-AR54))</f>
        <v/>
      </c>
      <c r="AU54" s="69">
        <v>1</v>
      </c>
      <c r="AV54" s="43" t="str">
        <f>IF(ISERROR((VLOOKUP(AM54,Taken!$Q:$R,2,0)-AU54)),"",(VLOOKUP(AM54,Taken!$Q:$R,2,0)-AU54))</f>
        <v/>
      </c>
      <c r="AW54" s="155"/>
    </row>
    <row r="55" spans="1:49" ht="12.75" customHeight="1">
      <c r="A55" s="102" t="s">
        <v>16</v>
      </c>
      <c r="B55" s="125"/>
      <c r="C55" s="125"/>
      <c r="D55" s="125"/>
      <c r="E55" s="125"/>
      <c r="F55" s="125"/>
      <c r="G55" s="16"/>
      <c r="H55" s="125" t="s">
        <v>1</v>
      </c>
      <c r="I55" s="125"/>
      <c r="J55" s="16"/>
      <c r="K55" s="125"/>
      <c r="L55" s="182"/>
      <c r="M55" s="60">
        <f t="shared" si="5"/>
        <v>53</v>
      </c>
      <c r="N55" s="75" t="str">
        <f>IF(ISERROR(VLOOKUP(O55,Taken!$E:$E,1,0)),"",IF(ISERROR(VLOOKUP(O55,'Draft Board'!$AS:$AS,1,0)),"X","Y"))</f>
        <v/>
      </c>
      <c r="O55" s="75" t="str">
        <f>VLOOKUP(M55,RB!Z:AA,2,0)</f>
        <v>Jacquizz Rodgers</v>
      </c>
      <c r="P55" s="75" t="str">
        <f>VLOOKUP(O55,RB!$B:$C,2,0)</f>
        <v>ATL</v>
      </c>
      <c r="Q55" s="72">
        <f>IF((P55="FA"),"N/A",VLOOKUP(P55,Settings!$M$2:$N$33,2,0))</f>
        <v>9</v>
      </c>
      <c r="R55" s="153">
        <f>VLOOKUP(O55,RB!$B:$Y,24,0)</f>
        <v>81</v>
      </c>
      <c r="S55" s="65">
        <f>R55-Settings!$AA$4</f>
        <v>-124.19393939393936</v>
      </c>
      <c r="T55" s="129" t="str">
        <f>IF(ISERROR(VLOOKUP(O55,ESPNData!$CS:$CX,6,0)),"",IF((VLOOKUP(O55,ESPNData!$CS:$CX,6,0)="--"),"",VLOOKUP(O55,ESPNData!$CS:$CX,6,0)))</f>
        <v/>
      </c>
      <c r="U55" s="75" t="str">
        <f>IF(ISERROR(VLOOKUP(O55,ESPNData!$CZ:$DE,6,0)),"",IF((VLOOKUP(O55,ESPNData!$CZ:$DE,6,0)="--"),"",VLOOKUP(O55,ESPNData!$CZ:$DE,6,0)))</f>
        <v/>
      </c>
      <c r="V55" s="69" t="str">
        <f>IF(ISERROR((VLOOKUP(O55,Taken!$E:$F,2,0)-T55)),"",(VLOOKUP(O55,Taken!$E:$F,2,0)-T55))</f>
        <v/>
      </c>
      <c r="W55" s="69">
        <f>MIN(W53,MAX(1,ROUND(((((S55-S$63)+Settings!$R$4)/(SUM(S55:S$63)-((S$63-Settings!$R$4)*((61+1)-M55))))*(Settings!$X$4-SUM(W$36:W54))),0)))</f>
        <v>2</v>
      </c>
      <c r="X55" s="43" t="str">
        <f>IF(ISERROR((VLOOKUP(O55,Taken!$E:$F,2,0)-W55)),"",(VLOOKUP(O55,Taken!$E:$F,2,0)-W55))</f>
        <v/>
      </c>
      <c r="Y55" s="60">
        <f t="shared" si="6"/>
        <v>53</v>
      </c>
      <c r="Z55" s="75" t="str">
        <f>IF(ISERROR(VLOOKUP(AA55,Taken!$H:$H,1,0)),"",IF(ISERROR(VLOOKUP(AA55,'Draft Board'!$AS:$AS,1,0)),"X","Y"))</f>
        <v/>
      </c>
      <c r="AA55" s="75" t="str">
        <f>VLOOKUP(Y55,WR!X:Y,2,0)</f>
        <v>Doug Baldwin</v>
      </c>
      <c r="AB55" s="75" t="str">
        <f>VLOOKUP(AA55,WR!$B:$C,2,0)</f>
        <v>SEA</v>
      </c>
      <c r="AC55" s="72">
        <f>IF((AB55="FA"),"N/A",VLOOKUP(AB55,Settings!$M$2:$N$33,2,0))</f>
        <v>4</v>
      </c>
      <c r="AD55" s="153">
        <f>VLOOKUP(AA55,WR!$B:$W,22,0)</f>
        <v>104.7</v>
      </c>
      <c r="AE55" s="65">
        <f>AD55-Settings!$AA$5</f>
        <v>-96.339393939393901</v>
      </c>
      <c r="AF55" s="129" t="str">
        <f>IF(ISERROR(VLOOKUP(AA55,ESPNData!$CS:$CX,6,0)),"",IF((VLOOKUP(AA55,ESPNData!$CS:$CX,6,0)="--"),"",VLOOKUP(AA55,ESPNData!$CS:$CX,6,0)))</f>
        <v/>
      </c>
      <c r="AG55" s="75">
        <f>IF(ISERROR(VLOOKUP(AA55,ESPNData!$CZ:$DE,6,0)),"",IF((VLOOKUP(AA55,ESPNData!$CZ:$DE,6,0)="--"),"",VLOOKUP(AA55,ESPNData!$CZ:$DE,6,0)))</f>
        <v>1</v>
      </c>
      <c r="AH55" s="69" t="str">
        <f>IF(ISERROR((VLOOKUP(AA55,Taken!$H:$I,2,0)-AF55)),"",(VLOOKUP(AA55,Taken!$H:$I,2,0)-AF55))</f>
        <v/>
      </c>
      <c r="AI55" s="69">
        <f>MIN(AI54,MAX(1,ROUND(((((AE55-AE$63)+Settings!$R$5)/(SUM(AE55:AE$63)-((AE$63-Settings!$R$5)*((61+1)-Y55))))*(Settings!$X$5-SUM(AI$36:AI54))),0)))</f>
        <v>3</v>
      </c>
      <c r="AJ55" s="43" t="str">
        <f>IF(ISERROR((VLOOKUP(AA55,Taken!$H:$I,2,0)-AI55)),"",(VLOOKUP(AA55,Taken!$H:$I,2,0)-AI55))</f>
        <v/>
      </c>
      <c r="AK55" s="114">
        <f t="shared" si="7"/>
        <v>21</v>
      </c>
      <c r="AL55" s="75" t="str">
        <f>IF(ISERROR(VLOOKUP(AM55,Taken!$Q:$Q,1,0)),"",IF(ISERROR(VLOOKUP(AM55,'Draft Board'!$AS:$AS,1,0)),"X","Y"))</f>
        <v/>
      </c>
      <c r="AM55" s="75" t="str">
        <f>VLOOKUP(AK55,DST!V:W,2,0)</f>
        <v>Colts</v>
      </c>
      <c r="AN55" s="75" t="str">
        <f>VLOOKUP(AM55,DST!$B:$C,2,0)</f>
        <v>IND</v>
      </c>
      <c r="AO55" s="72">
        <f>VLOOKUP(AN55,Settings!$M$2:$N$33,2,0)</f>
        <v>10</v>
      </c>
      <c r="AP55" s="153">
        <f>VLOOKUP(AM55,DST!$B:$U,20,0)</f>
        <v>73.3</v>
      </c>
      <c r="AQ55" s="65">
        <f>AP55-Settings!$AA$8</f>
        <v>-38.445454545454538</v>
      </c>
      <c r="AR55" s="129" t="str">
        <f>IF(ISERROR(VLOOKUP(AM55,ESPNData!$CS:$CX,6,0)),"",IF((VLOOKUP(AM55,ESPNData!$CS:$CX,6,0)="--"),"",VLOOKUP(AM55,ESPNData!$CS:$CX,6,0)))</f>
        <v/>
      </c>
      <c r="AS55" s="75" t="str">
        <f>IF(ISERROR(VLOOKUP(AM55,ESPNData!$CZ:$DE,6,0)),"",IF((VLOOKUP(AM55,ESPNData!$CZ:$DE,6,0)="--"),"",VLOOKUP(AM55,ESPNData!$CZ:$DE,6,0)))</f>
        <v/>
      </c>
      <c r="AT55" s="69" t="str">
        <f>IF(ISERROR((VLOOKUP(AM55,Taken!$Q:$R,2,0)-AR55)),"",(VLOOKUP(AM55,Taken!$Q:$R,2,0)-AR55))</f>
        <v/>
      </c>
      <c r="AU55" s="69">
        <v>1</v>
      </c>
      <c r="AV55" s="43" t="str">
        <f>IF(ISERROR((VLOOKUP(AM55,Taken!$Q:$R,2,0)-AU55)),"",(VLOOKUP(AM55,Taken!$Q:$R,2,0)-AU55))</f>
        <v/>
      </c>
      <c r="AW55" s="155"/>
    </row>
    <row r="56" spans="1:49" ht="12.75" customHeight="1">
      <c r="A56" s="49" t="s">
        <v>5</v>
      </c>
      <c r="B56" s="36"/>
      <c r="C56" s="36" t="s">
        <v>6</v>
      </c>
      <c r="D56" s="36" t="s">
        <v>7</v>
      </c>
      <c r="E56" s="36" t="s">
        <v>8</v>
      </c>
      <c r="F56" s="36" t="s">
        <v>9</v>
      </c>
      <c r="G56" s="107" t="s">
        <v>10</v>
      </c>
      <c r="H56" s="36" t="s">
        <v>11</v>
      </c>
      <c r="I56" s="36" t="s">
        <v>12</v>
      </c>
      <c r="J56" s="36" t="s">
        <v>13</v>
      </c>
      <c r="K56" s="36" t="s">
        <v>14</v>
      </c>
      <c r="L56" s="5" t="s">
        <v>13</v>
      </c>
      <c r="M56" s="60">
        <f t="shared" si="5"/>
        <v>54</v>
      </c>
      <c r="N56" s="75" t="str">
        <f>IF(ISERROR(VLOOKUP(O56,Taken!$E:$E,1,0)),"",IF(ISERROR(VLOOKUP(O56,'Draft Board'!$AS:$AS,1,0)),"X","Y"))</f>
        <v/>
      </c>
      <c r="O56" s="75" t="str">
        <f>VLOOKUP(M56,RB!Z:AA,2,0)</f>
        <v>Devonta Freeman</v>
      </c>
      <c r="P56" s="75" t="str">
        <f>VLOOKUP(O56,RB!$B:$C,2,0)</f>
        <v>ATL</v>
      </c>
      <c r="Q56" s="72">
        <f>IF((P56="FA"),"N/A",VLOOKUP(P56,Settings!$M$2:$N$33,2,0))</f>
        <v>9</v>
      </c>
      <c r="R56" s="153">
        <f>VLOOKUP(O56,RB!$B:$Y,24,0)</f>
        <v>73.599999999999994</v>
      </c>
      <c r="S56" s="65">
        <f>R56-Settings!$AA$4</f>
        <v>-131.59393939393937</v>
      </c>
      <c r="T56" s="129">
        <f>IF(ISERROR(VLOOKUP(O56,ESPNData!$CS:$CX,6,0)),"",IF((VLOOKUP(O56,ESPNData!$CS:$CX,6,0)="--"),"",VLOOKUP(O56,ESPNData!$CS:$CX,6,0)))</f>
        <v>1</v>
      </c>
      <c r="U56" s="75" t="str">
        <f>IF(ISERROR(VLOOKUP(O56,ESPNData!$CZ:$DE,6,0)),"",IF((VLOOKUP(O56,ESPNData!$CZ:$DE,6,0)="--"),"",VLOOKUP(O56,ESPNData!$CZ:$DE,6,0)))</f>
        <v/>
      </c>
      <c r="V56" s="69" t="str">
        <f>IF(ISERROR((VLOOKUP(O56,Taken!$E:$F,2,0)-T56)),"",(VLOOKUP(O56,Taken!$E:$F,2,0)-T56))</f>
        <v/>
      </c>
      <c r="W56" s="69">
        <f>MIN(W54,MAX(1,ROUND(((((S56-S$63)+Settings!$R$4)/(SUM(S56:S$63)-((S$63-Settings!$R$4)*((61+1)-M56))))*(Settings!$X$4-SUM(W$36:W55))),0)))</f>
        <v>2</v>
      </c>
      <c r="X56" s="43" t="str">
        <f>IF(ISERROR((VLOOKUP(O56,Taken!$E:$F,2,0)-W56)),"",(VLOOKUP(O56,Taken!$E:$F,2,0)-W56))</f>
        <v/>
      </c>
      <c r="Y56" s="60">
        <f t="shared" si="6"/>
        <v>54</v>
      </c>
      <c r="Z56" s="75" t="str">
        <f>IF(ISERROR(VLOOKUP(AA56,Taken!$H:$H,1,0)),"",IF(ISERROR(VLOOKUP(AA56,'Draft Board'!$AS:$AS,1,0)),"X","Y"))</f>
        <v/>
      </c>
      <c r="AA56" s="75" t="str">
        <f>VLOOKUP(Y56,WR!X:Y,2,0)</f>
        <v>Nate Washington</v>
      </c>
      <c r="AB56" s="75" t="str">
        <f>VLOOKUP(AA56,WR!$B:$C,2,0)</f>
        <v>TEN</v>
      </c>
      <c r="AC56" s="72">
        <f>IF((AB56="FA"),"N/A",VLOOKUP(AB56,Settings!$M$2:$N$33,2,0))</f>
        <v>9</v>
      </c>
      <c r="AD56" s="153">
        <f>VLOOKUP(AA56,WR!$B:$W,22,0)</f>
        <v>102.7</v>
      </c>
      <c r="AE56" s="65">
        <f>AD56-Settings!$AA$5</f>
        <v>-98.339393939393901</v>
      </c>
      <c r="AF56" s="129" t="str">
        <f>IF(ISERROR(VLOOKUP(AA56,ESPNData!$CS:$CX,6,0)),"",IF((VLOOKUP(AA56,ESPNData!$CS:$CX,6,0)="--"),"",VLOOKUP(AA56,ESPNData!$CS:$CX,6,0)))</f>
        <v/>
      </c>
      <c r="AG56" s="75" t="str">
        <f>IF(ISERROR(VLOOKUP(AA56,ESPNData!$CZ:$DE,6,0)),"",IF((VLOOKUP(AA56,ESPNData!$CZ:$DE,6,0)="--"),"",VLOOKUP(AA56,ESPNData!$CZ:$DE,6,0)))</f>
        <v/>
      </c>
      <c r="AH56" s="69" t="str">
        <f>IF(ISERROR((VLOOKUP(AA56,Taken!$H:$I,2,0)-AF56)),"",(VLOOKUP(AA56,Taken!$H:$I,2,0)-AF56))</f>
        <v/>
      </c>
      <c r="AI56" s="69">
        <f>MIN(AI55,MAX(1,ROUND(((((AE56-AE$63)+Settings!$R$5)/(SUM(AE56:AE$63)-((AE$63-Settings!$R$5)*((61+1)-Y56))))*(Settings!$X$5-SUM(AI$36:AI55))),0)))</f>
        <v>3</v>
      </c>
      <c r="AJ56" s="43" t="str">
        <f>IF(ISERROR((VLOOKUP(AA56,Taken!$H:$I,2,0)-AI56)),"",(VLOOKUP(AA56,Taken!$H:$I,2,0)-AI56))</f>
        <v/>
      </c>
      <c r="AK56" s="114">
        <f t="shared" si="7"/>
        <v>22</v>
      </c>
      <c r="AL56" s="75" t="str">
        <f>IF(ISERROR(VLOOKUP(AM56,Taken!$Q:$Q,1,0)),"",IF(ISERROR(VLOOKUP(AM56,'Draft Board'!$AS:$AS,1,0)),"X","Y"))</f>
        <v/>
      </c>
      <c r="AM56" s="75" t="str">
        <f>VLOOKUP(AK56,DST!V:W,2,0)</f>
        <v>Giants</v>
      </c>
      <c r="AN56" s="75" t="str">
        <f>VLOOKUP(AM56,DST!$B:$C,2,0)</f>
        <v>NYG</v>
      </c>
      <c r="AO56" s="72">
        <f>VLOOKUP(AN56,Settings!$M$2:$N$33,2,0)</f>
        <v>8</v>
      </c>
      <c r="AP56" s="153">
        <f>VLOOKUP(AM56,DST!$B:$U,20,0)</f>
        <v>71.099999999999994</v>
      </c>
      <c r="AQ56" s="65">
        <f>AP56-Settings!$AA$8</f>
        <v>-40.645454545454541</v>
      </c>
      <c r="AR56" s="129" t="str">
        <f>IF(ISERROR(VLOOKUP(AM56,ESPNData!$CS:$CX,6,0)),"",IF((VLOOKUP(AM56,ESPNData!$CS:$CX,6,0)="--"),"",VLOOKUP(AM56,ESPNData!$CS:$CX,6,0)))</f>
        <v/>
      </c>
      <c r="AS56" s="75" t="str">
        <f>IF(ISERROR(VLOOKUP(AM56,ESPNData!$CZ:$DE,6,0)),"",IF((VLOOKUP(AM56,ESPNData!$CZ:$DE,6,0)="--"),"",VLOOKUP(AM56,ESPNData!$CZ:$DE,6,0)))</f>
        <v/>
      </c>
      <c r="AT56" s="69" t="str">
        <f>IF(ISERROR((VLOOKUP(AM56,Taken!$Q:$R,2,0)-AR56)),"",(VLOOKUP(AM56,Taken!$Q:$R,2,0)-AR56))</f>
        <v/>
      </c>
      <c r="AU56" s="69">
        <v>1</v>
      </c>
      <c r="AV56" s="43" t="str">
        <f>IF(ISERROR((VLOOKUP(AM56,Taken!$Q:$R,2,0)-AU56)),"",(VLOOKUP(AM56,Taken!$Q:$R,2,0)-AU56))</f>
        <v/>
      </c>
      <c r="AW56" s="155"/>
    </row>
    <row r="57" spans="1:49" ht="12.75" customHeight="1">
      <c r="A57" s="24">
        <v>1</v>
      </c>
      <c r="B57" s="106" t="str">
        <f>IF(ISERROR(VLOOKUP(C57,Taken!$K:$K,1,0)),"",IF(ISERROR(VLOOKUP(C57,'Draft Board'!$AS:$AS,1,0)),"X","Y"))</f>
        <v/>
      </c>
      <c r="C57" s="106" t="str">
        <f>VLOOKUP(A57,TE!T:U,2,0)</f>
        <v>Jimmy Graham</v>
      </c>
      <c r="D57" s="192" t="str">
        <f>VLOOKUP(C57,TE!$B:$C,2,0)</f>
        <v>NO</v>
      </c>
      <c r="E57" s="192">
        <f>IF((D57="FA"),"N/A",VLOOKUP(D57,Settings!$M$2:$N$33,2,0))</f>
        <v>6</v>
      </c>
      <c r="F57" s="110">
        <f>VLOOKUP(C57,TE!$B:$T,18,0)</f>
        <v>236</v>
      </c>
      <c r="G57" s="17">
        <f>F57-Settings!$AA$6</f>
        <v>70.136363636363626</v>
      </c>
      <c r="H57" s="130">
        <f>IF(ISERROR(VLOOKUP(C57,ESPNData!$CS:$CX,6,0)),"",IF((VLOOKUP(C57,ESPNData!$CS:$CX,6,0)="--"),"",VLOOKUP(C57,ESPNData!$CS:$CX,6,0)))</f>
        <v>47</v>
      </c>
      <c r="I57" s="106">
        <f>IF(ISERROR(VLOOKUP(C57,ESPNData!$CZ:$DE,6,0)),"",IF((VLOOKUP(C57,ESPNData!$CZ:$DE,6,0)="--"),"",VLOOKUP(C57,ESPNData!$CZ:$DE,6,0)))</f>
        <v>51</v>
      </c>
      <c r="J57" s="123" t="str">
        <f>IF(ISERROR((VLOOKUP(C57,Taken!$K:$L,2,0)-H57)),"",(VLOOKUP(C57,Taken!$K:$L,2,0)-H57))</f>
        <v/>
      </c>
      <c r="K57" s="123">
        <f>ROUND(((((G57-G$67)+Settings!$Q$6)/(SUM(G57:G$67)-((G$67-Settings!$Q$6)*((11+1)-A57))))*(Settings!$V$6)),0)</f>
        <v>24</v>
      </c>
      <c r="L57" s="68" t="str">
        <f>IF(ISERROR((VLOOKUP(C57,Taken!$K:$L,2,0)-K57)),"",(VLOOKUP(C57,Taken!$K:$L,2,0)-K57))</f>
        <v/>
      </c>
      <c r="M57" s="60">
        <f t="shared" si="5"/>
        <v>55</v>
      </c>
      <c r="N57" s="75" t="str">
        <f>IF(ISERROR(VLOOKUP(O57,Taken!$E:$E,1,0)),"",IF(ISERROR(VLOOKUP(O57,'Draft Board'!$AS:$AS,1,0)),"X","Y"))</f>
        <v/>
      </c>
      <c r="O57" s="75" t="str">
        <f>VLOOKUP(M57,RB!Z:AA,2,0)</f>
        <v>Carlos Hyde</v>
      </c>
      <c r="P57" s="75" t="str">
        <f>VLOOKUP(O57,RB!$B:$C,2,0)</f>
        <v>SF</v>
      </c>
      <c r="Q57" s="72">
        <f>IF((P57="FA"),"N/A",VLOOKUP(P57,Settings!$M$2:$N$33,2,0))</f>
        <v>8</v>
      </c>
      <c r="R57" s="153">
        <f>VLOOKUP(O57,RB!$B:$Y,24,0)</f>
        <v>71.599999999999994</v>
      </c>
      <c r="S57" s="65">
        <f>R57-Settings!$AA$4</f>
        <v>-133.59393939393937</v>
      </c>
      <c r="T57" s="129">
        <f>IF(ISERROR(VLOOKUP(O57,ESPNData!$CS:$CX,6,0)),"",IF((VLOOKUP(O57,ESPNData!$CS:$CX,6,0)="--"),"",VLOOKUP(O57,ESPNData!$CS:$CX,6,0)))</f>
        <v>1</v>
      </c>
      <c r="U57" s="75" t="str">
        <f>IF(ISERROR(VLOOKUP(O57,ESPNData!$CZ:$DE,6,0)),"",IF((VLOOKUP(O57,ESPNData!$CZ:$DE,6,0)="--"),"",VLOOKUP(O57,ESPNData!$CZ:$DE,6,0)))</f>
        <v/>
      </c>
      <c r="V57" s="69" t="str">
        <f>IF(ISERROR((VLOOKUP(O57,Taken!$E:$F,2,0)-T57)),"",(VLOOKUP(O57,Taken!$E:$F,2,0)-T57))</f>
        <v/>
      </c>
      <c r="W57" s="69">
        <f>MIN(W55,MAX(1,ROUND(((((S57-S$63)+Settings!$R$4)/(SUM(S57:S$63)-((S$63-Settings!$R$4)*((61+1)-M57))))*(Settings!$X$4-SUM(W$36:W56))),0)))</f>
        <v>2</v>
      </c>
      <c r="X57" s="43" t="str">
        <f>IF(ISERROR((VLOOKUP(O57,Taken!$E:$F,2,0)-W57)),"",(VLOOKUP(O57,Taken!$E:$F,2,0)-W57))</f>
        <v/>
      </c>
      <c r="Y57" s="60">
        <f t="shared" si="6"/>
        <v>55</v>
      </c>
      <c r="Z57" s="75" t="str">
        <f>IF(ISERROR(VLOOKUP(AA57,Taken!$H:$H,1,0)),"",IF(ISERROR(VLOOKUP(AA57,'Draft Board'!$AS:$AS,1,0)),"X","Y"))</f>
        <v/>
      </c>
      <c r="AA57" s="75" t="str">
        <f>VLOOKUP(Y57,WR!X:Y,2,0)</f>
        <v>Rod Streater</v>
      </c>
      <c r="AB57" s="75" t="str">
        <f>VLOOKUP(AA57,WR!$B:$C,2,0)</f>
        <v>OAK</v>
      </c>
      <c r="AC57" s="72">
        <f>IF((AB57="FA"),"N/A",VLOOKUP(AB57,Settings!$M$2:$N$33,2,0))</f>
        <v>5</v>
      </c>
      <c r="AD57" s="153">
        <f>VLOOKUP(AA57,WR!$B:$W,22,0)</f>
        <v>99.2</v>
      </c>
      <c r="AE57" s="65">
        <f>AD57-Settings!$AA$5</f>
        <v>-101.8393939393939</v>
      </c>
      <c r="AF57" s="129" t="str">
        <f>IF(ISERROR(VLOOKUP(AA57,ESPNData!$CS:$CX,6,0)),"",IF((VLOOKUP(AA57,ESPNData!$CS:$CX,6,0)="--"),"",VLOOKUP(AA57,ESPNData!$CS:$CX,6,0)))</f>
        <v/>
      </c>
      <c r="AG57" s="75" t="str">
        <f>IF(ISERROR(VLOOKUP(AA57,ESPNData!$CZ:$DE,6,0)),"",IF((VLOOKUP(AA57,ESPNData!$CZ:$DE,6,0)="--"),"",VLOOKUP(AA57,ESPNData!$CZ:$DE,6,0)))</f>
        <v/>
      </c>
      <c r="AH57" s="69" t="str">
        <f>IF(ISERROR((VLOOKUP(AA57,Taken!$H:$I,2,0)-AF57)),"",(VLOOKUP(AA57,Taken!$H:$I,2,0)-AF57))</f>
        <v/>
      </c>
      <c r="AI57" s="69">
        <f>MIN(AI56,MAX(1,ROUND(((((AE57-AE$63)+Settings!$R$5)/(SUM(AE57:AE$63)-((AE$63-Settings!$R$5)*((61+1)-Y57))))*(Settings!$X$5-SUM(AI$36:AI56))),0)))</f>
        <v>2</v>
      </c>
      <c r="AJ57" s="43" t="str">
        <f>IF(ISERROR((VLOOKUP(AA57,Taken!$H:$I,2,0)-AI57)),"",(VLOOKUP(AA57,Taken!$H:$I,2,0)-AI57))</f>
        <v/>
      </c>
      <c r="AK57" s="114">
        <f t="shared" si="7"/>
        <v>23</v>
      </c>
      <c r="AL57" s="75" t="str">
        <f>IF(ISERROR(VLOOKUP(AM57,Taken!$Q:$Q,1,0)),"",IF(ISERROR(VLOOKUP(AM57,'Draft Board'!$AS:$AS,1,0)),"X","Y"))</f>
        <v/>
      </c>
      <c r="AM57" s="75" t="str">
        <f>VLOOKUP(AK57,DST!V:W,2,0)</f>
        <v>Bears</v>
      </c>
      <c r="AN57" s="75" t="str">
        <f>VLOOKUP(AM57,DST!$B:$C,2,0)</f>
        <v>CHI</v>
      </c>
      <c r="AO57" s="72">
        <f>VLOOKUP(AN57,Settings!$M$2:$N$33,2,0)</f>
        <v>9</v>
      </c>
      <c r="AP57" s="153">
        <f>VLOOKUP(AM57,DST!$B:$U,20,0)</f>
        <v>68.900000000000006</v>
      </c>
      <c r="AQ57" s="65">
        <f>AP57-Settings!$AA$8</f>
        <v>-42.84545454545453</v>
      </c>
      <c r="AR57" s="129" t="str">
        <f>IF(ISERROR(VLOOKUP(AM57,ESPNData!$CS:$CX,6,0)),"",IF((VLOOKUP(AM57,ESPNData!$CS:$CX,6,0)="--"),"",VLOOKUP(AM57,ESPNData!$CS:$CX,6,0)))</f>
        <v/>
      </c>
      <c r="AS57" s="75" t="str">
        <f>IF(ISERROR(VLOOKUP(AM57,ESPNData!$CZ:$DE,6,0)),"",IF((VLOOKUP(AM57,ESPNData!$CZ:$DE,6,0)="--"),"",VLOOKUP(AM57,ESPNData!$CZ:$DE,6,0)))</f>
        <v/>
      </c>
      <c r="AT57" s="69" t="str">
        <f>IF(ISERROR((VLOOKUP(AM57,Taken!$Q:$R,2,0)-AR57)),"",(VLOOKUP(AM57,Taken!$Q:$R,2,0)-AR57))</f>
        <v/>
      </c>
      <c r="AU57" s="69">
        <v>1</v>
      </c>
      <c r="AV57" s="43" t="str">
        <f>IF(ISERROR((VLOOKUP(AM57,Taken!$Q:$R,2,0)-AU57)),"",(VLOOKUP(AM57,Taken!$Q:$R,2,0)-AU57))</f>
        <v/>
      </c>
      <c r="AW57" s="155"/>
    </row>
    <row r="58" spans="1:49" ht="12.75" customHeight="1">
      <c r="A58" s="163">
        <f t="shared" ref="A58:A86" si="8">A57+1</f>
        <v>2</v>
      </c>
      <c r="B58" s="75" t="str">
        <f>IF(ISERROR(VLOOKUP(C58,Taken!$K:$K,1,0)),"",IF(ISERROR(VLOOKUP(C58,'Draft Board'!$AS:$AS,1,0)),"X","Y"))</f>
        <v/>
      </c>
      <c r="C58" s="75" t="str">
        <f>VLOOKUP(A58,TE!T:U,2,0)</f>
        <v>Julius Thomas</v>
      </c>
      <c r="D58" s="72" t="str">
        <f>VLOOKUP(C58,TE!$B:$C,2,0)</f>
        <v>DEN</v>
      </c>
      <c r="E58" s="72">
        <f>IF((D58="FA"),"N/A",VLOOKUP(D58,Settings!$M$2:$N$33,2,0))</f>
        <v>4</v>
      </c>
      <c r="F58" s="153">
        <f>VLOOKUP(C58,TE!$B:$T,18,0)</f>
        <v>197.8</v>
      </c>
      <c r="G58" s="65">
        <f>F58-Settings!$AA$6</f>
        <v>31.936363636363637</v>
      </c>
      <c r="H58" s="129">
        <f>IF(ISERROR(VLOOKUP(C58,ESPNData!$CS:$CX,6,0)),"",IF((VLOOKUP(C58,ESPNData!$CS:$CX,6,0)="--"),"",VLOOKUP(C58,ESPNData!$CS:$CX,6,0)))</f>
        <v>30</v>
      </c>
      <c r="I58" s="75">
        <f>IF(ISERROR(VLOOKUP(C58,ESPNData!$CZ:$DE,6,0)),"",IF((VLOOKUP(C58,ESPNData!$CZ:$DE,6,0)="--"),"",VLOOKUP(C58,ESPNData!$CZ:$DE,6,0)))</f>
        <v>29</v>
      </c>
      <c r="J58" s="69" t="str">
        <f>IF(ISERROR((VLOOKUP(C58,Taken!$K:$L,2,0)-H58)),"",(VLOOKUP(C58,Taken!$K:$L,2,0)-H58))</f>
        <v/>
      </c>
      <c r="K58" s="69">
        <f>ROUND(((((G58-G$67)+Settings!$Q$6)/(SUM(G58:G$67)-((G$67-Settings!$Q$6)*((11+1)-A58))))*(Settings!$V$6-SUM(K$57:K57))),0)</f>
        <v>17</v>
      </c>
      <c r="L58" s="43" t="str">
        <f>IF(ISERROR((VLOOKUP(C58,Taken!$K:$L,2,0)-K58)),"",(VLOOKUP(C58,Taken!$K:$L,2,0)-K58))</f>
        <v/>
      </c>
      <c r="M58" s="60">
        <f t="shared" si="5"/>
        <v>56</v>
      </c>
      <c r="N58" s="75" t="str">
        <f>IF(ISERROR(VLOOKUP(O58,Taken!$E:$E,1,0)),"",IF(ISERROR(VLOOKUP(O58,'Draft Board'!$AS:$AS,1,0)),"X","Y"))</f>
        <v/>
      </c>
      <c r="O58" s="75" t="str">
        <f>VLOOKUP(M58,RB!Z:AA,2,0)</f>
        <v>James Starks</v>
      </c>
      <c r="P58" s="75" t="str">
        <f>VLOOKUP(O58,RB!$B:$C,2,0)</f>
        <v>GB</v>
      </c>
      <c r="Q58" s="72">
        <f>IF((P58="FA"),"N/A",VLOOKUP(P58,Settings!$M$2:$N$33,2,0))</f>
        <v>9</v>
      </c>
      <c r="R58" s="153">
        <f>VLOOKUP(O58,RB!$B:$Y,24,0)</f>
        <v>70.099999999999994</v>
      </c>
      <c r="S58" s="65">
        <f>R58-Settings!$AA$4</f>
        <v>-135.09393939393937</v>
      </c>
      <c r="T58" s="129">
        <f>IF(ISERROR(VLOOKUP(O58,ESPNData!$CS:$CX,6,0)),"",IF((VLOOKUP(O58,ESPNData!$CS:$CX,6,0)="--"),"",VLOOKUP(O58,ESPNData!$CS:$CX,6,0)))</f>
        <v>1</v>
      </c>
      <c r="U58" s="75" t="str">
        <f>IF(ISERROR(VLOOKUP(O58,ESPNData!$CZ:$DE,6,0)),"",IF((VLOOKUP(O58,ESPNData!$CZ:$DE,6,0)="--"),"",VLOOKUP(O58,ESPNData!$CZ:$DE,6,0)))</f>
        <v/>
      </c>
      <c r="V58" s="69" t="str">
        <f>IF(ISERROR((VLOOKUP(O58,Taken!$E:$F,2,0)-T58)),"",(VLOOKUP(O58,Taken!$E:$F,2,0)-T58))</f>
        <v/>
      </c>
      <c r="W58" s="69">
        <f>MIN(W56,MAX(1,ROUND(((((S58-S$63)+Settings!$R$4)/(SUM(S58:S$63)-((S$63-Settings!$R$4)*((61+1)-M58))))*(Settings!$X$4-SUM(W$36:W57))),0)))</f>
        <v>2</v>
      </c>
      <c r="X58" s="43" t="str">
        <f>IF(ISERROR((VLOOKUP(O58,Taken!$E:$F,2,0)-W58)),"",(VLOOKUP(O58,Taken!$E:$F,2,0)-W58))</f>
        <v/>
      </c>
      <c r="Y58" s="60">
        <f t="shared" si="6"/>
        <v>56</v>
      </c>
      <c r="Z58" s="75" t="str">
        <f>IF(ISERROR(VLOOKUP(AA58,Taken!$H:$H,1,0)),"",IF(ISERROR(VLOOKUP(AA58,'Draft Board'!$AS:$AS,1,0)),"X","Y"))</f>
        <v/>
      </c>
      <c r="AA58" s="75" t="str">
        <f>VLOOKUP(Y58,WR!X:Y,2,0)</f>
        <v>Brandon LaFell</v>
      </c>
      <c r="AB58" s="75" t="str">
        <f>VLOOKUP(AA58,WR!$B:$C,2,0)</f>
        <v>NE</v>
      </c>
      <c r="AC58" s="72">
        <f>IF((AB58="FA"),"N/A",VLOOKUP(AB58,Settings!$M$2:$N$33,2,0))</f>
        <v>10</v>
      </c>
      <c r="AD58" s="153">
        <f>VLOOKUP(AA58,WR!$B:$W,22,0)</f>
        <v>98.4</v>
      </c>
      <c r="AE58" s="65">
        <f>AD58-Settings!$AA$5</f>
        <v>-102.6393939393939</v>
      </c>
      <c r="AF58" s="129" t="str">
        <f>IF(ISERROR(VLOOKUP(AA58,ESPNData!$CS:$CX,6,0)),"",IF((VLOOKUP(AA58,ESPNData!$CS:$CX,6,0)="--"),"",VLOOKUP(AA58,ESPNData!$CS:$CX,6,0)))</f>
        <v/>
      </c>
      <c r="AG58" s="75">
        <f>IF(ISERROR(VLOOKUP(AA58,ESPNData!$CZ:$DE,6,0)),"",IF((VLOOKUP(AA58,ESPNData!$CZ:$DE,6,0)="--"),"",VLOOKUP(AA58,ESPNData!$CZ:$DE,6,0)))</f>
        <v>1</v>
      </c>
      <c r="AH58" s="69" t="str">
        <f>IF(ISERROR((VLOOKUP(AA58,Taken!$H:$I,2,0)-AF58)),"",(VLOOKUP(AA58,Taken!$H:$I,2,0)-AF58))</f>
        <v/>
      </c>
      <c r="AI58" s="69">
        <f>MIN(AI57,MAX(1,ROUND(((((AE58-AE$63)+Settings!$R$5)/(SUM(AE58:AE$63)-((AE$63-Settings!$R$5)*((61+1)-Y58))))*(Settings!$X$5-SUM(AI$36:AI57))),0)))</f>
        <v>2</v>
      </c>
      <c r="AJ58" s="43" t="str">
        <f>IF(ISERROR((VLOOKUP(AA58,Taken!$H:$I,2,0)-AI58)),"",(VLOOKUP(AA58,Taken!$H:$I,2,0)-AI58))</f>
        <v/>
      </c>
      <c r="AK58" s="114">
        <f t="shared" si="7"/>
        <v>24</v>
      </c>
      <c r="AL58" s="75" t="str">
        <f>IF(ISERROR(VLOOKUP(AM58,Taken!$Q:$Q,1,0)),"",IF(ISERROR(VLOOKUP(AM58,'Draft Board'!$AS:$AS,1,0)),"X","Y"))</f>
        <v/>
      </c>
      <c r="AM58" s="75" t="str">
        <f>VLOOKUP(AK58,DST!V:W,2,0)</f>
        <v>Jets</v>
      </c>
      <c r="AN58" s="75" t="str">
        <f>VLOOKUP(AM58,DST!$B:$C,2,0)</f>
        <v>NYJ</v>
      </c>
      <c r="AO58" s="72">
        <f>VLOOKUP(AN58,Settings!$M$2:$N$33,2,0)</f>
        <v>11</v>
      </c>
      <c r="AP58" s="153">
        <f>VLOOKUP(AM58,DST!$B:$U,20,0)</f>
        <v>68.8</v>
      </c>
      <c r="AQ58" s="65">
        <f>AP58-Settings!$AA$8</f>
        <v>-42.945454545454538</v>
      </c>
      <c r="AR58" s="129" t="str">
        <f>IF(ISERROR(VLOOKUP(AM58,ESPNData!$CS:$CX,6,0)),"",IF((VLOOKUP(AM58,ESPNData!$CS:$CX,6,0)="--"),"",VLOOKUP(AM58,ESPNData!$CS:$CX,6,0)))</f>
        <v/>
      </c>
      <c r="AS58" s="75" t="str">
        <f>IF(ISERROR(VLOOKUP(AM58,ESPNData!$CZ:$DE,6,0)),"",IF((VLOOKUP(AM58,ESPNData!$CZ:$DE,6,0)="--"),"",VLOOKUP(AM58,ESPNData!$CZ:$DE,6,0)))</f>
        <v/>
      </c>
      <c r="AT58" s="69" t="str">
        <f>IF(ISERROR((VLOOKUP(AM58,Taken!$Q:$R,2,0)-AR58)),"",(VLOOKUP(AM58,Taken!$Q:$R,2,0)-AR58))</f>
        <v/>
      </c>
      <c r="AU58" s="69">
        <v>1</v>
      </c>
      <c r="AV58" s="43" t="str">
        <f>IF(ISERROR((VLOOKUP(AM58,Taken!$Q:$R,2,0)-AU58)),"",(VLOOKUP(AM58,Taken!$Q:$R,2,0)-AU58))</f>
        <v/>
      </c>
      <c r="AW58" s="155"/>
    </row>
    <row r="59" spans="1:49" ht="12.75" customHeight="1">
      <c r="A59" s="163">
        <f t="shared" si="8"/>
        <v>3</v>
      </c>
      <c r="B59" s="75" t="str">
        <f>IF(ISERROR(VLOOKUP(C59,Taken!$K:$K,1,0)),"",IF(ISERROR(VLOOKUP(C59,'Draft Board'!$AS:$AS,1,0)),"X","Y"))</f>
        <v/>
      </c>
      <c r="C59" s="75" t="str">
        <f>VLOOKUP(A59,TE!T:U,2,0)</f>
        <v>Rob Gronkowski</v>
      </c>
      <c r="D59" s="72" t="str">
        <f>VLOOKUP(C59,TE!$B:$C,2,0)</f>
        <v>NE</v>
      </c>
      <c r="E59" s="72">
        <f>IF((D59="FA"),"N/A",VLOOKUP(D59,Settings!$M$2:$N$33,2,0))</f>
        <v>10</v>
      </c>
      <c r="F59" s="153">
        <f>VLOOKUP(C59,TE!$B:$T,18,0)</f>
        <v>174.3</v>
      </c>
      <c r="G59" s="65">
        <f>F59-Settings!$AA$6</f>
        <v>8.4363636363636374</v>
      </c>
      <c r="H59" s="129">
        <f>IF(ISERROR(VLOOKUP(C59,ESPNData!$CS:$CX,6,0)),"",IF((VLOOKUP(C59,ESPNData!$CS:$CX,6,0)="--"),"",VLOOKUP(C59,ESPNData!$CS:$CX,6,0)))</f>
        <v>24</v>
      </c>
      <c r="I59" s="75">
        <f>IF(ISERROR(VLOOKUP(C59,ESPNData!$CZ:$DE,6,0)),"",IF((VLOOKUP(C59,ESPNData!$CZ:$DE,6,0)="--"),"",VLOOKUP(C59,ESPNData!$CZ:$DE,6,0)))</f>
        <v>16</v>
      </c>
      <c r="J59" s="69" t="str">
        <f>IF(ISERROR((VLOOKUP(C59,Taken!$K:$L,2,0)-H59)),"",(VLOOKUP(C59,Taken!$K:$L,2,0)-H59))</f>
        <v/>
      </c>
      <c r="K59" s="69">
        <f>ROUND(((((G59-G$67)+Settings!$Q$6)/(SUM(G59:G$67)-((G$67-Settings!$Q$6)*((11+1)-A59))))*(Settings!$V$6-SUM(K$57:K58))),0)</f>
        <v>12</v>
      </c>
      <c r="L59" s="43" t="str">
        <f>IF(ISERROR((VLOOKUP(C59,Taken!$K:$L,2,0)-K59)),"",(VLOOKUP(C59,Taken!$K:$L,2,0)-K59))</f>
        <v/>
      </c>
      <c r="M59" s="60">
        <f t="shared" si="5"/>
        <v>57</v>
      </c>
      <c r="N59" s="75" t="str">
        <f>IF(ISERROR(VLOOKUP(O59,Taken!$E:$E,1,0)),"",IF(ISERROR(VLOOKUP(O59,'Draft Board'!$AS:$AS,1,0)),"X","Y"))</f>
        <v/>
      </c>
      <c r="O59" s="75" t="str">
        <f>VLOOKUP(M59,RB!Z:AA,2,0)</f>
        <v>Roy Helu</v>
      </c>
      <c r="P59" s="75" t="str">
        <f>VLOOKUP(O59,RB!$B:$C,2,0)</f>
        <v>WSH</v>
      </c>
      <c r="Q59" s="72">
        <f>IF((P59="FA"),"N/A",VLOOKUP(P59,Settings!$M$2:$N$33,2,0))</f>
        <v>10</v>
      </c>
      <c r="R59" s="153">
        <f>VLOOKUP(O59,RB!$B:$Y,24,0)</f>
        <v>69.900000000000006</v>
      </c>
      <c r="S59" s="65">
        <f>R59-Settings!$AA$4</f>
        <v>-135.29393939393935</v>
      </c>
      <c r="T59" s="129">
        <f>IF(ISERROR(VLOOKUP(O59,ESPNData!$CS:$CX,6,0)),"",IF((VLOOKUP(O59,ESPNData!$CS:$CX,6,0)="--"),"",VLOOKUP(O59,ESPNData!$CS:$CX,6,0)))</f>
        <v>1</v>
      </c>
      <c r="U59" s="75">
        <f>IF(ISERROR(VLOOKUP(O59,ESPNData!$CZ:$DE,6,0)),"",IF((VLOOKUP(O59,ESPNData!$CZ:$DE,6,0)="--"),"",VLOOKUP(O59,ESPNData!$CZ:$DE,6,0)))</f>
        <v>1</v>
      </c>
      <c r="V59" s="69" t="str">
        <f>IF(ISERROR((VLOOKUP(O59,Taken!$E:$F,2,0)-T59)),"",(VLOOKUP(O59,Taken!$E:$F,2,0)-T59))</f>
        <v/>
      </c>
      <c r="W59" s="69">
        <f>MIN(W57,MAX(1,ROUND(((((S59-S$63)+Settings!$R$4)/(SUM(S59:S$63)-((S$63-Settings!$R$4)*((61+1)-M59))))*(Settings!$X$4-SUM(W$36:W58))),0)))</f>
        <v>2</v>
      </c>
      <c r="X59" s="43" t="str">
        <f>IF(ISERROR((VLOOKUP(O59,Taken!$E:$F,2,0)-W59)),"",(VLOOKUP(O59,Taken!$E:$F,2,0)-W59))</f>
        <v/>
      </c>
      <c r="Y59" s="60">
        <f t="shared" si="6"/>
        <v>57</v>
      </c>
      <c r="Z59" s="75" t="str">
        <f>IF(ISERROR(VLOOKUP(AA59,Taken!$H:$H,1,0)),"",IF(ISERROR(VLOOKUP(AA59,'Draft Board'!$AS:$AS,1,0)),"X","Y"))</f>
        <v/>
      </c>
      <c r="AA59" s="75" t="str">
        <f>VLOOKUP(Y59,WR!X:Y,2,0)</f>
        <v>Andre Roberts</v>
      </c>
      <c r="AB59" s="75" t="str">
        <f>VLOOKUP(AA59,WR!$B:$C,2,0)</f>
        <v>WSH</v>
      </c>
      <c r="AC59" s="72">
        <f>IF((AB59="FA"),"N/A",VLOOKUP(AB59,Settings!$M$2:$N$33,2,0))</f>
        <v>10</v>
      </c>
      <c r="AD59" s="153">
        <f>VLOOKUP(AA59,WR!$B:$W,22,0)</f>
        <v>98.4</v>
      </c>
      <c r="AE59" s="65">
        <f>AD59-Settings!$AA$5</f>
        <v>-102.6393939393939</v>
      </c>
      <c r="AF59" s="129" t="str">
        <f>IF(ISERROR(VLOOKUP(AA59,ESPNData!$CS:$CX,6,0)),"",IF((VLOOKUP(AA59,ESPNData!$CS:$CX,6,0)="--"),"",VLOOKUP(AA59,ESPNData!$CS:$CX,6,0)))</f>
        <v/>
      </c>
      <c r="AG59" s="75" t="str">
        <f>IF(ISERROR(VLOOKUP(AA59,ESPNData!$CZ:$DE,6,0)),"",IF((VLOOKUP(AA59,ESPNData!$CZ:$DE,6,0)="--"),"",VLOOKUP(AA59,ESPNData!$CZ:$DE,6,0)))</f>
        <v/>
      </c>
      <c r="AH59" s="69" t="str">
        <f>IF(ISERROR((VLOOKUP(AA59,Taken!$H:$I,2,0)-AF59)),"",(VLOOKUP(AA59,Taken!$H:$I,2,0)-AF59))</f>
        <v/>
      </c>
      <c r="AI59" s="69">
        <f>MIN(AI58,MAX(1,ROUND(((((AE59-AE$63)+Settings!$R$5)/(SUM(AE59:AE$63)-((AE$63-Settings!$R$5)*((61+1)-Y59))))*(Settings!$X$5-SUM(AI$36:AI58))),0)))</f>
        <v>2</v>
      </c>
      <c r="AJ59" s="43" t="str">
        <f>IF(ISERROR((VLOOKUP(AA59,Taken!$H:$I,2,0)-AI59)),"",(VLOOKUP(AA59,Taken!$H:$I,2,0)-AI59))</f>
        <v/>
      </c>
      <c r="AK59" s="114">
        <f t="shared" si="7"/>
        <v>25</v>
      </c>
      <c r="AL59" s="75" t="str">
        <f>IF(ISERROR(VLOOKUP(AM59,Taken!$Q:$Q,1,0)),"",IF(ISERROR(VLOOKUP(AM59,'Draft Board'!$AS:$AS,1,0)),"X","Y"))</f>
        <v/>
      </c>
      <c r="AM59" s="75" t="str">
        <f>VLOOKUP(AK59,DST!V:W,2,0)</f>
        <v>Jaguars</v>
      </c>
      <c r="AN59" s="75" t="str">
        <f>VLOOKUP(AM59,DST!$B:$C,2,0)</f>
        <v>JAC</v>
      </c>
      <c r="AO59" s="72">
        <f>VLOOKUP(AN59,Settings!$M$2:$N$33,2,0)</f>
        <v>11</v>
      </c>
      <c r="AP59" s="153">
        <f>VLOOKUP(AM59,DST!$B:$U,20,0)</f>
        <v>65.7</v>
      </c>
      <c r="AQ59" s="65">
        <f>AP59-Settings!$AA$8</f>
        <v>-46.045454545454533</v>
      </c>
      <c r="AR59" s="129" t="str">
        <f>IF(ISERROR(VLOOKUP(AM59,ESPNData!$CS:$CX,6,0)),"",IF((VLOOKUP(AM59,ESPNData!$CS:$CX,6,0)="--"),"",VLOOKUP(AM59,ESPNData!$CS:$CX,6,0)))</f>
        <v/>
      </c>
      <c r="AS59" s="75" t="str">
        <f>IF(ISERROR(VLOOKUP(AM59,ESPNData!$CZ:$DE,6,0)),"",IF((VLOOKUP(AM59,ESPNData!$CZ:$DE,6,0)="--"),"",VLOOKUP(AM59,ESPNData!$CZ:$DE,6,0)))</f>
        <v/>
      </c>
      <c r="AT59" s="69" t="str">
        <f>IF(ISERROR((VLOOKUP(AM59,Taken!$Q:$R,2,0)-AR59)),"",(VLOOKUP(AM59,Taken!$Q:$R,2,0)-AR59))</f>
        <v/>
      </c>
      <c r="AU59" s="69">
        <v>1</v>
      </c>
      <c r="AV59" s="43" t="str">
        <f>IF(ISERROR((VLOOKUP(AM59,Taken!$Q:$R,2,0)-AU59)),"",(VLOOKUP(AM59,Taken!$Q:$R,2,0)-AU59))</f>
        <v/>
      </c>
      <c r="AW59" s="155"/>
    </row>
    <row r="60" spans="1:49" ht="12.75" customHeight="1">
      <c r="A60" s="163">
        <f t="shared" si="8"/>
        <v>4</v>
      </c>
      <c r="B60" s="75" t="str">
        <f>IF(ISERROR(VLOOKUP(C60,Taken!$K:$K,1,0)),"",IF(ISERROR(VLOOKUP(C60,'Draft Board'!$AS:$AS,1,0)),"X","Y"))</f>
        <v/>
      </c>
      <c r="C60" s="75" t="str">
        <f>VLOOKUP(A60,TE!T:U,2,0)</f>
        <v>Vernon Davis</v>
      </c>
      <c r="D60" s="72" t="str">
        <f>VLOOKUP(C60,TE!$B:$C,2,0)</f>
        <v>SF</v>
      </c>
      <c r="E60" s="72">
        <f>IF((D60="FA"),"N/A",VLOOKUP(D60,Settings!$M$2:$N$33,2,0))</f>
        <v>8</v>
      </c>
      <c r="F60" s="153">
        <f>VLOOKUP(C60,TE!$B:$T,18,0)</f>
        <v>168.4</v>
      </c>
      <c r="G60" s="65">
        <f>F60-Settings!$AA$6</f>
        <v>2.5363636363636317</v>
      </c>
      <c r="H60" s="129">
        <f>IF(ISERROR(VLOOKUP(C60,ESPNData!$CS:$CX,6,0)),"",IF((VLOOKUP(C60,ESPNData!$CS:$CX,6,0)="--"),"",VLOOKUP(C60,ESPNData!$CS:$CX,6,0)))</f>
        <v>12</v>
      </c>
      <c r="I60" s="75">
        <f>IF(ISERROR(VLOOKUP(C60,ESPNData!$CZ:$DE,6,0)),"",IF((VLOOKUP(C60,ESPNData!$CZ:$DE,6,0)="--"),"",VLOOKUP(C60,ESPNData!$CZ:$DE,6,0)))</f>
        <v>13</v>
      </c>
      <c r="J60" s="69" t="str">
        <f>IF(ISERROR((VLOOKUP(C60,Taken!$K:$L,2,0)-H60)),"",(VLOOKUP(C60,Taken!$K:$L,2,0)-H60))</f>
        <v/>
      </c>
      <c r="K60" s="69">
        <f>ROUND(((((G60-G$67)+Settings!$Q$6)/(SUM(G60:G$67)-((G$67-Settings!$Q$6)*((11+1)-A60))))*(Settings!$V$6-SUM(K$57:K59))),0)</f>
        <v>11</v>
      </c>
      <c r="L60" s="43" t="str">
        <f>IF(ISERROR((VLOOKUP(C60,Taken!$K:$L,2,0)-K60)),"",(VLOOKUP(C60,Taken!$K:$L,2,0)-K60))</f>
        <v/>
      </c>
      <c r="M60" s="60">
        <f t="shared" si="5"/>
        <v>58</v>
      </c>
      <c r="N60" s="75" t="str">
        <f>IF(ISERROR(VLOOKUP(O60,Taken!$E:$E,1,0)),"",IF(ISERROR(VLOOKUP(O60,'Draft Board'!$AS:$AS,1,0)),"X","Y"))</f>
        <v/>
      </c>
      <c r="O60" s="75" t="str">
        <f>VLOOKUP(M60,RB!Z:AA,2,0)</f>
        <v>Andre Williams</v>
      </c>
      <c r="P60" s="75" t="str">
        <f>VLOOKUP(O60,RB!$B:$C,2,0)</f>
        <v>NYG</v>
      </c>
      <c r="Q60" s="72">
        <f>IF((P60="FA"),"N/A",VLOOKUP(P60,Settings!$M$2:$N$33,2,0))</f>
        <v>8</v>
      </c>
      <c r="R60" s="153">
        <f>VLOOKUP(O60,RB!$B:$Y,24,0)</f>
        <v>68.5</v>
      </c>
      <c r="S60" s="65">
        <f>R60-Settings!$AA$4</f>
        <v>-136.69393939393936</v>
      </c>
      <c r="T60" s="129">
        <f>IF(ISERROR(VLOOKUP(O60,ESPNData!$CS:$CX,6,0)),"",IF((VLOOKUP(O60,ESPNData!$CS:$CX,6,0)="--"),"",VLOOKUP(O60,ESPNData!$CS:$CX,6,0)))</f>
        <v>1</v>
      </c>
      <c r="U60" s="75" t="str">
        <f>IF(ISERROR(VLOOKUP(O60,ESPNData!$CZ:$DE,6,0)),"",IF((VLOOKUP(O60,ESPNData!$CZ:$DE,6,0)="--"),"",VLOOKUP(O60,ESPNData!$CZ:$DE,6,0)))</f>
        <v/>
      </c>
      <c r="V60" s="69" t="str">
        <f>IF(ISERROR((VLOOKUP(O60,Taken!$E:$F,2,0)-T60)),"",(VLOOKUP(O60,Taken!$E:$F,2,0)-T60))</f>
        <v/>
      </c>
      <c r="W60" s="69">
        <f>MIN(W58,MAX(1,ROUND(((((S60-S$63)+Settings!$R$4)/(SUM(S60:S$63)-((S$63-Settings!$R$4)*((61+1)-M60))))*(Settings!$X$4-SUM(W$36:W59))),0)))</f>
        <v>2</v>
      </c>
      <c r="X60" s="43" t="str">
        <f>IF(ISERROR((VLOOKUP(O60,Taken!$E:$F,2,0)-W60)),"",(VLOOKUP(O60,Taken!$E:$F,2,0)-W60))</f>
        <v/>
      </c>
      <c r="Y60" s="60">
        <f t="shared" si="6"/>
        <v>58</v>
      </c>
      <c r="Z60" s="75" t="str">
        <f>IF(ISERROR(VLOOKUP(AA60,Taken!$H:$H,1,0)),"",IF(ISERROR(VLOOKUP(AA60,'Draft Board'!$AS:$AS,1,0)),"X","Y"))</f>
        <v/>
      </c>
      <c r="AA60" s="75" t="str">
        <f>VLOOKUP(Y60,WR!X:Y,2,0)</f>
        <v>Jerome Simpson</v>
      </c>
      <c r="AB60" s="75" t="str">
        <f>VLOOKUP(AA60,WR!$B:$C,2,0)</f>
        <v>MIN</v>
      </c>
      <c r="AC60" s="72">
        <f>IF((AB60="FA"),"N/A",VLOOKUP(AB60,Settings!$M$2:$N$33,2,0))</f>
        <v>10</v>
      </c>
      <c r="AD60" s="153">
        <f>VLOOKUP(AA60,WR!$B:$W,22,0)</f>
        <v>95.6</v>
      </c>
      <c r="AE60" s="65">
        <f>AD60-Settings!$AA$5</f>
        <v>-105.43939393939391</v>
      </c>
      <c r="AF60" s="129" t="str">
        <f>IF(ISERROR(VLOOKUP(AA60,ESPNData!$CS:$CX,6,0)),"",IF((VLOOKUP(AA60,ESPNData!$CS:$CX,6,0)="--"),"",VLOOKUP(AA60,ESPNData!$CS:$CX,6,0)))</f>
        <v/>
      </c>
      <c r="AG60" s="75" t="str">
        <f>IF(ISERROR(VLOOKUP(AA60,ESPNData!$CZ:$DE,6,0)),"",IF((VLOOKUP(AA60,ESPNData!$CZ:$DE,6,0)="--"),"",VLOOKUP(AA60,ESPNData!$CZ:$DE,6,0)))</f>
        <v/>
      </c>
      <c r="AH60" s="69" t="str">
        <f>IF(ISERROR((VLOOKUP(AA60,Taken!$H:$I,2,0)-AF60)),"",(VLOOKUP(AA60,Taken!$H:$I,2,0)-AF60))</f>
        <v/>
      </c>
      <c r="AI60" s="69">
        <f>MIN(AI59,MAX(1,ROUND(((((AE60-AE$63)+Settings!$R$5)/(SUM(AE60:AE$63)-((AE$63-Settings!$R$5)*((61+1)-Y60))))*(Settings!$X$5-SUM(AI$36:AI59))),0)))</f>
        <v>2</v>
      </c>
      <c r="AJ60" s="43" t="str">
        <f>IF(ISERROR((VLOOKUP(AA60,Taken!$H:$I,2,0)-AI60)),"",(VLOOKUP(AA60,Taken!$H:$I,2,0)-AI60))</f>
        <v/>
      </c>
      <c r="AK60" s="114">
        <f t="shared" si="7"/>
        <v>26</v>
      </c>
      <c r="AL60" s="75" t="str">
        <f>IF(ISERROR(VLOOKUP(AM60,Taken!$Q:$Q,1,0)),"",IF(ISERROR(VLOOKUP(AM60,'Draft Board'!$AS:$AS,1,0)),"X","Y"))</f>
        <v/>
      </c>
      <c r="AM60" s="75" t="str">
        <f>VLOOKUP(AK60,DST!V:W,2,0)</f>
        <v>Titans</v>
      </c>
      <c r="AN60" s="75" t="str">
        <f>VLOOKUP(AM60,DST!$B:$C,2,0)</f>
        <v>TEN</v>
      </c>
      <c r="AO60" s="72">
        <f>VLOOKUP(AN60,Settings!$M$2:$N$33,2,0)</f>
        <v>9</v>
      </c>
      <c r="AP60" s="153">
        <f>VLOOKUP(AM60,DST!$B:$U,20,0)</f>
        <v>63.7</v>
      </c>
      <c r="AQ60" s="65">
        <f>AP60-Settings!$AA$8</f>
        <v>-48.045454545454533</v>
      </c>
      <c r="AR60" s="129" t="str">
        <f>IF(ISERROR(VLOOKUP(AM60,ESPNData!$CS:$CX,6,0)),"",IF((VLOOKUP(AM60,ESPNData!$CS:$CX,6,0)="--"),"",VLOOKUP(AM60,ESPNData!$CS:$CX,6,0)))</f>
        <v/>
      </c>
      <c r="AS60" s="75" t="str">
        <f>IF(ISERROR(VLOOKUP(AM60,ESPNData!$CZ:$DE,6,0)),"",IF((VLOOKUP(AM60,ESPNData!$CZ:$DE,6,0)="--"),"",VLOOKUP(AM60,ESPNData!$CZ:$DE,6,0)))</f>
        <v/>
      </c>
      <c r="AT60" s="69" t="str">
        <f>IF(ISERROR((VLOOKUP(AM60,Taken!$Q:$R,2,0)-AR60)),"",(VLOOKUP(AM60,Taken!$Q:$R,2,0)-AR60))</f>
        <v/>
      </c>
      <c r="AU60" s="69">
        <v>1</v>
      </c>
      <c r="AV60" s="43" t="str">
        <f>IF(ISERROR((VLOOKUP(AM60,Taken!$Q:$R,2,0)-AU60)),"",(VLOOKUP(AM60,Taken!$Q:$R,2,0)-AU60))</f>
        <v/>
      </c>
      <c r="AW60" s="155"/>
    </row>
    <row r="61" spans="1:49" ht="12.75" customHeight="1">
      <c r="A61" s="163">
        <f t="shared" si="8"/>
        <v>5</v>
      </c>
      <c r="B61" s="75" t="str">
        <f>IF(ISERROR(VLOOKUP(C61,Taken!$K:$K,1,0)),"",IF(ISERROR(VLOOKUP(C61,'Draft Board'!$AS:$AS,1,0)),"X","Y"))</f>
        <v/>
      </c>
      <c r="C61" s="75" t="str">
        <f>VLOOKUP(A61,TE!T:U,2,0)</f>
        <v>Jordan Cameron</v>
      </c>
      <c r="D61" s="72" t="str">
        <f>VLOOKUP(C61,TE!$B:$C,2,0)</f>
        <v>CLE</v>
      </c>
      <c r="E61" s="72">
        <f>IF((D61="FA"),"N/A",VLOOKUP(D61,Settings!$M$2:$N$33,2,0))</f>
        <v>4</v>
      </c>
      <c r="F61" s="153">
        <f>VLOOKUP(C61,TE!$B:$T,18,0)</f>
        <v>162</v>
      </c>
      <c r="G61" s="65">
        <f>F61-Settings!$AA$6</f>
        <v>-3.863636363636374</v>
      </c>
      <c r="H61" s="129">
        <f>IF(ISERROR(VLOOKUP(C61,ESPNData!$CS:$CX,6,0)),"",IF((VLOOKUP(C61,ESPNData!$CS:$CX,6,0)="--"),"",VLOOKUP(C61,ESPNData!$CS:$CX,6,0)))</f>
        <v>2</v>
      </c>
      <c r="I61" s="75">
        <f>IF(ISERROR(VLOOKUP(C61,ESPNData!$CZ:$DE,6,0)),"",IF((VLOOKUP(C61,ESPNData!$CZ:$DE,6,0)="--"),"",VLOOKUP(C61,ESPNData!$CZ:$DE,6,0)))</f>
        <v>6</v>
      </c>
      <c r="J61" s="69" t="str">
        <f>IF(ISERROR((VLOOKUP(C61,Taken!$K:$L,2,0)-H61)),"",(VLOOKUP(C61,Taken!$K:$L,2,0)-H61))</f>
        <v/>
      </c>
      <c r="K61" s="69">
        <f>ROUND(((((G61-G$67)+Settings!$Q$6)/(SUM(G61:G$67)-((G$67-Settings!$Q$6)*((11+1)-A61))))*(Settings!$V$6-SUM(K$57:K60))),0)</f>
        <v>9</v>
      </c>
      <c r="L61" s="43" t="str">
        <f>IF(ISERROR((VLOOKUP(C61,Taken!$K:$L,2,0)-K61)),"",(VLOOKUP(C61,Taken!$K:$L,2,0)-K61))</f>
        <v/>
      </c>
      <c r="M61" s="60">
        <f t="shared" si="5"/>
        <v>59</v>
      </c>
      <c r="N61" s="75" t="str">
        <f>IF(ISERROR(VLOOKUP(O61,Taken!$E:$E,1,0)),"",IF(ISERROR(VLOOKUP(O61,'Draft Board'!$AS:$AS,1,0)),"X","Y"))</f>
        <v/>
      </c>
      <c r="O61" s="75" t="str">
        <f>VLOOKUP(M61,RB!Z:AA,2,0)</f>
        <v>Tre Mason</v>
      </c>
      <c r="P61" s="75" t="str">
        <f>VLOOKUP(O61,RB!$B:$C,2,0)</f>
        <v>STL</v>
      </c>
      <c r="Q61" s="72">
        <f>IF((P61="FA"),"N/A",VLOOKUP(P61,Settings!$M$2:$N$33,2,0))</f>
        <v>4</v>
      </c>
      <c r="R61" s="153">
        <f>VLOOKUP(O61,RB!$B:$Y,24,0)</f>
        <v>66.3</v>
      </c>
      <c r="S61" s="65">
        <f>R61-Settings!$AA$4</f>
        <v>-138.89393939393938</v>
      </c>
      <c r="T61" s="129">
        <f>IF(ISERROR(VLOOKUP(O61,ESPNData!$CS:$CX,6,0)),"",IF((VLOOKUP(O61,ESPNData!$CS:$CX,6,0)="--"),"",VLOOKUP(O61,ESPNData!$CS:$CX,6,0)))</f>
        <v>1</v>
      </c>
      <c r="U61" s="75" t="str">
        <f>IF(ISERROR(VLOOKUP(O61,ESPNData!$CZ:$DE,6,0)),"",IF((VLOOKUP(O61,ESPNData!$CZ:$DE,6,0)="--"),"",VLOOKUP(O61,ESPNData!$CZ:$DE,6,0)))</f>
        <v/>
      </c>
      <c r="V61" s="69" t="str">
        <f>IF(ISERROR((VLOOKUP(O61,Taken!$E:$F,2,0)-T61)),"",(VLOOKUP(O61,Taken!$E:$F,2,0)-T61))</f>
        <v/>
      </c>
      <c r="W61" s="69">
        <f>MIN(W59,MAX(1,ROUND(((((S61-S$63)+Settings!$R$4)/(SUM(S61:S$63)-((S$63-Settings!$R$4)*((61+1)-M61))))*(Settings!$X$4-SUM(W$36:W60))),0)))</f>
        <v>2</v>
      </c>
      <c r="X61" s="43" t="str">
        <f>IF(ISERROR((VLOOKUP(O61,Taken!$E:$F,2,0)-W61)),"",(VLOOKUP(O61,Taken!$E:$F,2,0)-W61))</f>
        <v/>
      </c>
      <c r="Y61" s="60">
        <f t="shared" si="6"/>
        <v>59</v>
      </c>
      <c r="Z61" s="75" t="str">
        <f>IF(ISERROR(VLOOKUP(AA61,Taken!$H:$H,1,0)),"",IF(ISERROR(VLOOKUP(AA61,'Draft Board'!$AS:$AS,1,0)),"X","Y"))</f>
        <v/>
      </c>
      <c r="AA61" s="75" t="str">
        <f>VLOOKUP(Y61,WR!X:Y,2,0)</f>
        <v>Mike Evans</v>
      </c>
      <c r="AB61" s="75" t="str">
        <f>VLOOKUP(AA61,WR!$B:$C,2,0)</f>
        <v>TB</v>
      </c>
      <c r="AC61" s="72">
        <f>IF((AB61="FA"),"N/A",VLOOKUP(AB61,Settings!$M$2:$N$33,2,0))</f>
        <v>7</v>
      </c>
      <c r="AD61" s="153">
        <f>VLOOKUP(AA61,WR!$B:$W,22,0)</f>
        <v>92.7</v>
      </c>
      <c r="AE61" s="65">
        <f>AD61-Settings!$AA$5</f>
        <v>-108.3393939393939</v>
      </c>
      <c r="AF61" s="129">
        <f>IF(ISERROR(VLOOKUP(AA61,ESPNData!$CS:$CX,6,0)),"",IF((VLOOKUP(AA61,ESPNData!$CS:$CX,6,0)="--"),"",VLOOKUP(AA61,ESPNData!$CS:$CX,6,0)))</f>
        <v>1</v>
      </c>
      <c r="AG61" s="75">
        <f>IF(ISERROR(VLOOKUP(AA61,ESPNData!$CZ:$DE,6,0)),"",IF((VLOOKUP(AA61,ESPNData!$CZ:$DE,6,0)="--"),"",VLOOKUP(AA61,ESPNData!$CZ:$DE,6,0)))</f>
        <v>2</v>
      </c>
      <c r="AH61" s="69" t="str">
        <f>IF(ISERROR((VLOOKUP(AA61,Taken!$H:$I,2,0)-AF61)),"",(VLOOKUP(AA61,Taken!$H:$I,2,0)-AF61))</f>
        <v/>
      </c>
      <c r="AI61" s="69">
        <f>MIN(AI60,MAX(1,ROUND(((((AE61-AE$63)+Settings!$R$5)/(SUM(AE61:AE$63)-((AE$63-Settings!$R$5)*((61+1)-Y61))))*(Settings!$X$5-SUM(AI$36:AI60))),0)))</f>
        <v>2</v>
      </c>
      <c r="AJ61" s="43" t="str">
        <f>IF(ISERROR((VLOOKUP(AA61,Taken!$H:$I,2,0)-AI61)),"",(VLOOKUP(AA61,Taken!$H:$I,2,0)-AI61))</f>
        <v/>
      </c>
      <c r="AK61" s="114">
        <f t="shared" si="7"/>
        <v>27</v>
      </c>
      <c r="AL61" s="75" t="str">
        <f>IF(ISERROR(VLOOKUP(AM61,Taken!$Q:$Q,1,0)),"",IF(ISERROR(VLOOKUP(AM61,'Draft Board'!$AS:$AS,1,0)),"X","Y"))</f>
        <v/>
      </c>
      <c r="AM61" s="75" t="str">
        <f>VLOOKUP(AK61,DST!V:W,2,0)</f>
        <v>Falcons</v>
      </c>
      <c r="AN61" s="75" t="str">
        <f>VLOOKUP(AM61,DST!$B:$C,2,0)</f>
        <v>ATL</v>
      </c>
      <c r="AO61" s="72">
        <f>VLOOKUP(AN61,Settings!$M$2:$N$33,2,0)</f>
        <v>9</v>
      </c>
      <c r="AP61" s="153">
        <f>VLOOKUP(AM61,DST!$B:$U,20,0)</f>
        <v>63.2</v>
      </c>
      <c r="AQ61" s="65">
        <f>AP61-Settings!$AA$8</f>
        <v>-48.545454545454533</v>
      </c>
      <c r="AR61" s="129" t="str">
        <f>IF(ISERROR(VLOOKUP(AM61,ESPNData!$CS:$CX,6,0)),"",IF((VLOOKUP(AM61,ESPNData!$CS:$CX,6,0)="--"),"",VLOOKUP(AM61,ESPNData!$CS:$CX,6,0)))</f>
        <v/>
      </c>
      <c r="AS61" s="75" t="str">
        <f>IF(ISERROR(VLOOKUP(AM61,ESPNData!$CZ:$DE,6,0)),"",IF((VLOOKUP(AM61,ESPNData!$CZ:$DE,6,0)="--"),"",VLOOKUP(AM61,ESPNData!$CZ:$DE,6,0)))</f>
        <v/>
      </c>
      <c r="AT61" s="69" t="str">
        <f>IF(ISERROR((VLOOKUP(AM61,Taken!$Q:$R,2,0)-AR61)),"",(VLOOKUP(AM61,Taken!$Q:$R,2,0)-AR61))</f>
        <v/>
      </c>
      <c r="AU61" s="69">
        <v>1</v>
      </c>
      <c r="AV61" s="43" t="str">
        <f>IF(ISERROR((VLOOKUP(AM61,Taken!$Q:$R,2,0)-AU61)),"",(VLOOKUP(AM61,Taken!$Q:$R,2,0)-AU61))</f>
        <v/>
      </c>
      <c r="AW61" s="155"/>
    </row>
    <row r="62" spans="1:49" ht="12.75" customHeight="1">
      <c r="A62" s="163">
        <f t="shared" si="8"/>
        <v>6</v>
      </c>
      <c r="B62" s="75" t="str">
        <f>IF(ISERROR(VLOOKUP(C62,Taken!$K:$K,1,0)),"",IF(ISERROR(VLOOKUP(C62,'Draft Board'!$AS:$AS,1,0)),"X","Y"))</f>
        <v/>
      </c>
      <c r="C62" s="75" t="str">
        <f>VLOOKUP(A62,TE!T:U,2,0)</f>
        <v>Jason Witten</v>
      </c>
      <c r="D62" s="72" t="str">
        <f>VLOOKUP(C62,TE!$B:$C,2,0)</f>
        <v>DAL</v>
      </c>
      <c r="E62" s="72">
        <f>IF((D62="FA"),"N/A",VLOOKUP(D62,Settings!$M$2:$N$33,2,0))</f>
        <v>11</v>
      </c>
      <c r="F62" s="153">
        <f>VLOOKUP(C62,TE!$B:$T,18,0)</f>
        <v>159.1</v>
      </c>
      <c r="G62" s="65">
        <f>F62-Settings!$AA$6</f>
        <v>-6.7636363636363797</v>
      </c>
      <c r="H62" s="129">
        <f>IF(ISERROR(VLOOKUP(C62,ESPNData!$CS:$CX,6,0)),"",IF((VLOOKUP(C62,ESPNData!$CS:$CX,6,0)="--"),"",VLOOKUP(C62,ESPNData!$CS:$CX,6,0)))</f>
        <v>5</v>
      </c>
      <c r="I62" s="75">
        <f>IF(ISERROR(VLOOKUP(C62,ESPNData!$CZ:$DE,6,0)),"",IF((VLOOKUP(C62,ESPNData!$CZ:$DE,6,0)="--"),"",VLOOKUP(C62,ESPNData!$CZ:$DE,6,0)))</f>
        <v>4</v>
      </c>
      <c r="J62" s="69" t="str">
        <f>IF(ISERROR((VLOOKUP(C62,Taken!$K:$L,2,0)-H62)),"",(VLOOKUP(C62,Taken!$K:$L,2,0)-H62))</f>
        <v/>
      </c>
      <c r="K62" s="69">
        <f>ROUND(((((G62-G$67)+Settings!$Q$6)/(SUM(G62:G$67)-((G$67-Settings!$Q$6)*((11+1)-A62))))*(Settings!$V$6-SUM(K$57:K61))),0)</f>
        <v>9</v>
      </c>
      <c r="L62" s="43" t="str">
        <f>IF(ISERROR((VLOOKUP(C62,Taken!$K:$L,2,0)-K62)),"",(VLOOKUP(C62,Taken!$K:$L,2,0)-K62))</f>
        <v/>
      </c>
      <c r="M62" s="60">
        <f t="shared" si="5"/>
        <v>60</v>
      </c>
      <c r="N62" s="75" t="str">
        <f>IF(ISERROR(VLOOKUP(O62,Taken!$E:$E,1,0)),"",IF(ISERROR(VLOOKUP(O62,'Draft Board'!$AS:$AS,1,0)),"X","Y"))</f>
        <v/>
      </c>
      <c r="O62" s="75" t="str">
        <f>VLOOKUP(M62,RB!Z:AA,2,0)</f>
        <v>Christine Michael</v>
      </c>
      <c r="P62" s="75" t="str">
        <f>VLOOKUP(O62,RB!$B:$C,2,0)</f>
        <v>SEA</v>
      </c>
      <c r="Q62" s="72">
        <f>IF((P62="FA"),"N/A",VLOOKUP(P62,Settings!$M$2:$N$33,2,0))</f>
        <v>4</v>
      </c>
      <c r="R62" s="153">
        <f>VLOOKUP(O62,RB!$B:$Y,24,0)</f>
        <v>64.400000000000006</v>
      </c>
      <c r="S62" s="65">
        <f>R62-Settings!$AA$4</f>
        <v>-140.79393939393935</v>
      </c>
      <c r="T62" s="129">
        <f>IF(ISERROR(VLOOKUP(O62,ESPNData!$CS:$CX,6,0)),"",IF((VLOOKUP(O62,ESPNData!$CS:$CX,6,0)="--"),"",VLOOKUP(O62,ESPNData!$CS:$CX,6,0)))</f>
        <v>2</v>
      </c>
      <c r="U62" s="75" t="str">
        <f>IF(ISERROR(VLOOKUP(O62,ESPNData!$CZ:$DE,6,0)),"",IF((VLOOKUP(O62,ESPNData!$CZ:$DE,6,0)="--"),"",VLOOKUP(O62,ESPNData!$CZ:$DE,6,0)))</f>
        <v/>
      </c>
      <c r="V62" s="69" t="str">
        <f>IF(ISERROR((VLOOKUP(O62,Taken!$E:$F,2,0)-T62)),"",(VLOOKUP(O62,Taken!$E:$F,2,0)-T62))</f>
        <v/>
      </c>
      <c r="W62" s="69">
        <f>MIN(W60,MAX(1,ROUND(((((S62-S$63)+Settings!$R$4)/(SUM(S62:S$63)-((S$63-Settings!$R$4)*((61+1)-M62))))*(Settings!$X$4-SUM(W$36:W61))),0)))</f>
        <v>2</v>
      </c>
      <c r="X62" s="43" t="str">
        <f>IF(ISERROR((VLOOKUP(O62,Taken!$E:$F,2,0)-W62)),"",(VLOOKUP(O62,Taken!$E:$F,2,0)-W62))</f>
        <v/>
      </c>
      <c r="Y62" s="60">
        <f t="shared" si="6"/>
        <v>60</v>
      </c>
      <c r="Z62" s="75" t="str">
        <f>IF(ISERROR(VLOOKUP(AA62,Taken!$H:$H,1,0)),"",IF(ISERROR(VLOOKUP(AA62,'Draft Board'!$AS:$AS,1,0)),"X","Y"))</f>
        <v/>
      </c>
      <c r="AA62" s="75" t="str">
        <f>VLOOKUP(Y62,WR!X:Y,2,0)</f>
        <v>Brandin Cooks</v>
      </c>
      <c r="AB62" s="75" t="str">
        <f>VLOOKUP(AA62,WR!$B:$C,2,0)</f>
        <v>NO</v>
      </c>
      <c r="AC62" s="72">
        <f>IF((AB62="FA"),"N/A",VLOOKUP(AB62,Settings!$M$2:$N$33,2,0))</f>
        <v>6</v>
      </c>
      <c r="AD62" s="153">
        <f>VLOOKUP(AA62,WR!$B:$W,22,0)</f>
        <v>90.8</v>
      </c>
      <c r="AE62" s="65">
        <f>AD62-Settings!$AA$5</f>
        <v>-110.23939393939391</v>
      </c>
      <c r="AF62" s="129">
        <f>IF(ISERROR(VLOOKUP(AA62,ESPNData!$CS:$CX,6,0)),"",IF((VLOOKUP(AA62,ESPNData!$CS:$CX,6,0)="--"),"",VLOOKUP(AA62,ESPNData!$CS:$CX,6,0)))</f>
        <v>1</v>
      </c>
      <c r="AG62" s="75">
        <f>IF(ISERROR(VLOOKUP(AA62,ESPNData!$CZ:$DE,6,0)),"",IF((VLOOKUP(AA62,ESPNData!$CZ:$DE,6,0)="--"),"",VLOOKUP(AA62,ESPNData!$CZ:$DE,6,0)))</f>
        <v>1</v>
      </c>
      <c r="AH62" s="69" t="str">
        <f>IF(ISERROR((VLOOKUP(AA62,Taken!$H:$I,2,0)-AF62)),"",(VLOOKUP(AA62,Taken!$H:$I,2,0)-AF62))</f>
        <v/>
      </c>
      <c r="AI62" s="69">
        <f>MIN(AI61,MAX(1,ROUND(((((AE62-AE$63)+Settings!$R$5)/(SUM(AE62:AE$63)-((AE$63-Settings!$R$5)*((61+1)-Y62))))*(Settings!$X$5-SUM(AI$36:AI61))),0)))</f>
        <v>2</v>
      </c>
      <c r="AJ62" s="43" t="str">
        <f>IF(ISERROR((VLOOKUP(AA62,Taken!$H:$I,2,0)-AI62)),"",(VLOOKUP(AA62,Taken!$H:$I,2,0)-AI62))</f>
        <v/>
      </c>
      <c r="AK62" s="114">
        <f t="shared" si="7"/>
        <v>28</v>
      </c>
      <c r="AL62" s="75" t="str">
        <f>IF(ISERROR(VLOOKUP(AM62,Taken!$Q:$Q,1,0)),"",IF(ISERROR(VLOOKUP(AM62,'Draft Board'!$AS:$AS,1,0)),"X","Y"))</f>
        <v/>
      </c>
      <c r="AM62" s="75" t="str">
        <f>VLOOKUP(AK62,DST!V:W,2,0)</f>
        <v>Eagles</v>
      </c>
      <c r="AN62" s="75" t="str">
        <f>VLOOKUP(AM62,DST!$B:$C,2,0)</f>
        <v>PHI</v>
      </c>
      <c r="AO62" s="72">
        <f>VLOOKUP(AN62,Settings!$M$2:$N$33,2,0)</f>
        <v>7</v>
      </c>
      <c r="AP62" s="153">
        <f>VLOOKUP(AM62,DST!$B:$U,20,0)</f>
        <v>58.3</v>
      </c>
      <c r="AQ62" s="65">
        <f>AP62-Settings!$AA$8</f>
        <v>-53.445454545454538</v>
      </c>
      <c r="AR62" s="129" t="str">
        <f>IF(ISERROR(VLOOKUP(AM62,ESPNData!$CS:$CX,6,0)),"",IF((VLOOKUP(AM62,ESPNData!$CS:$CX,6,0)="--"),"",VLOOKUP(AM62,ESPNData!$CS:$CX,6,0)))</f>
        <v/>
      </c>
      <c r="AS62" s="75" t="str">
        <f>IF(ISERROR(VLOOKUP(AM62,ESPNData!$CZ:$DE,6,0)),"",IF((VLOOKUP(AM62,ESPNData!$CZ:$DE,6,0)="--"),"",VLOOKUP(AM62,ESPNData!$CZ:$DE,6,0)))</f>
        <v/>
      </c>
      <c r="AT62" s="69" t="str">
        <f>IF(ISERROR((VLOOKUP(AM62,Taken!$Q:$R,2,0)-AR62)),"",(VLOOKUP(AM62,Taken!$Q:$R,2,0)-AR62))</f>
        <v/>
      </c>
      <c r="AU62" s="69">
        <v>1</v>
      </c>
      <c r="AV62" s="43" t="str">
        <f>IF(ISERROR((VLOOKUP(AM62,Taken!$Q:$R,2,0)-AU62)),"",(VLOOKUP(AM62,Taken!$Q:$R,2,0)-AU62))</f>
        <v/>
      </c>
      <c r="AW62" s="155"/>
    </row>
    <row r="63" spans="1:49" ht="12.75" customHeight="1">
      <c r="A63" s="163">
        <f t="shared" si="8"/>
        <v>7</v>
      </c>
      <c r="B63" s="75" t="str">
        <f>IF(ISERROR(VLOOKUP(C63,Taken!$K:$K,1,0)),"",IF(ISERROR(VLOOKUP(C63,'Draft Board'!$AS:$AS,1,0)),"X","Y"))</f>
        <v/>
      </c>
      <c r="C63" s="75" t="str">
        <f>VLOOKUP(A63,TE!T:U,2,0)</f>
        <v>Dennis Pitta</v>
      </c>
      <c r="D63" s="72" t="str">
        <f>VLOOKUP(C63,TE!$B:$C,2,0)</f>
        <v>BAL</v>
      </c>
      <c r="E63" s="72">
        <f>IF((D63="FA"),"N/A",VLOOKUP(D63,Settings!$M$2:$N$33,2,0))</f>
        <v>11</v>
      </c>
      <c r="F63" s="153">
        <f>VLOOKUP(C63,TE!$B:$T,18,0)</f>
        <v>152.9</v>
      </c>
      <c r="G63" s="65">
        <f>F63-Settings!$AA$6</f>
        <v>-12.963636363636368</v>
      </c>
      <c r="H63" s="129">
        <f>IF(ISERROR(VLOOKUP(C63,ESPNData!$CS:$CX,6,0)),"",IF((VLOOKUP(C63,ESPNData!$CS:$CX,6,0)="--"),"",VLOOKUP(C63,ESPNData!$CS:$CX,6,0)))</f>
        <v>2</v>
      </c>
      <c r="I63" s="75">
        <f>IF(ISERROR(VLOOKUP(C63,ESPNData!$CZ:$DE,6,0)),"",IF((VLOOKUP(C63,ESPNData!$CZ:$DE,6,0)="--"),"",VLOOKUP(C63,ESPNData!$CZ:$DE,6,0)))</f>
        <v>2</v>
      </c>
      <c r="J63" s="69" t="str">
        <f>IF(ISERROR((VLOOKUP(C63,Taken!$K:$L,2,0)-H63)),"",(VLOOKUP(C63,Taken!$K:$L,2,0)-H63))</f>
        <v/>
      </c>
      <c r="K63" s="69">
        <f>ROUND(((((G63-G$67)+Settings!$Q$6)/(SUM(G63:G$67)-((G$67-Settings!$Q$6)*((11+1)-A63))))*(Settings!$V$6-SUM(K$57:K62))),0)</f>
        <v>8</v>
      </c>
      <c r="L63" s="43" t="str">
        <f>IF(ISERROR((VLOOKUP(C63,Taken!$K:$L,2,0)-K63)),"",(VLOOKUP(C63,Taken!$K:$L,2,0)-K63))</f>
        <v/>
      </c>
      <c r="M63" s="60">
        <f t="shared" si="5"/>
        <v>61</v>
      </c>
      <c r="N63" s="75" t="str">
        <f>IF(ISERROR(VLOOKUP(O63,Taken!$E:$E,1,0)),"",IF(ISERROR(VLOOKUP(O63,'Draft Board'!$AS:$AS,1,0)),"X","Y"))</f>
        <v/>
      </c>
      <c r="O63" s="75" t="str">
        <f>VLOOKUP(M63,RB!Z:AA,2,0)</f>
        <v>Mark Ingram</v>
      </c>
      <c r="P63" s="75" t="str">
        <f>VLOOKUP(O63,RB!$B:$C,2,0)</f>
        <v>NO</v>
      </c>
      <c r="Q63" s="72">
        <f>IF((P63="FA"),"N/A",VLOOKUP(P63,Settings!$M$2:$N$33,2,0))</f>
        <v>6</v>
      </c>
      <c r="R63" s="153">
        <f>VLOOKUP(O63,RB!$B:$Y,24,0)</f>
        <v>59</v>
      </c>
      <c r="S63" s="65">
        <f>R63-Settings!$AA$4</f>
        <v>-146.19393939393936</v>
      </c>
      <c r="T63" s="129">
        <f>IF(ISERROR(VLOOKUP(O63,ESPNData!$CS:$CX,6,0)),"",IF((VLOOKUP(O63,ESPNData!$CS:$CX,6,0)="--"),"",VLOOKUP(O63,ESPNData!$CS:$CX,6,0)))</f>
        <v>2</v>
      </c>
      <c r="U63" s="75" t="str">
        <f>IF(ISERROR(VLOOKUP(O63,ESPNData!$CZ:$DE,6,0)),"",IF((VLOOKUP(O63,ESPNData!$CZ:$DE,6,0)="--"),"",VLOOKUP(O63,ESPNData!$CZ:$DE,6,0)))</f>
        <v/>
      </c>
      <c r="V63" s="69" t="str">
        <f>IF(ISERROR((VLOOKUP(O63,Taken!$E:$F,2,0)-T63)),"",(VLOOKUP(O63,Taken!$E:$F,2,0)-T63))</f>
        <v/>
      </c>
      <c r="W63" s="69">
        <f>MIN(W61,MAX(1,ROUND(((((S63-S$63)+Settings!$R$4)/(SUM(S63:S$63)-((S$63-Settings!$R$4)*((61+1)-M63))))*(Settings!$X$4-SUM(W$36:W62))),0)))</f>
        <v>1</v>
      </c>
      <c r="X63" s="43" t="str">
        <f>IF(ISERROR((VLOOKUP(O63,Taken!$E:$F,2,0)-W63)),"",(VLOOKUP(O63,Taken!$E:$F,2,0)-W63))</f>
        <v/>
      </c>
      <c r="Y63" s="60">
        <f t="shared" si="6"/>
        <v>61</v>
      </c>
      <c r="Z63" s="75" t="str">
        <f>IF(ISERROR(VLOOKUP(AA63,Taken!$H:$H,1,0)),"",IF(ISERROR(VLOOKUP(AA63,'Draft Board'!$AS:$AS,1,0)),"X","Y"))</f>
        <v/>
      </c>
      <c r="AA63" s="75" t="str">
        <f>VLOOKUP(Y63,WR!X:Y,2,0)</f>
        <v>Donnie Avery</v>
      </c>
      <c r="AB63" s="75" t="str">
        <f>VLOOKUP(AA63,WR!$B:$C,2,0)</f>
        <v>KC</v>
      </c>
      <c r="AC63" s="72">
        <f>IF((AB63="FA"),"N/A",VLOOKUP(AB63,Settings!$M$2:$N$33,2,0))</f>
        <v>6</v>
      </c>
      <c r="AD63" s="153">
        <f>VLOOKUP(AA63,WR!$B:$W,22,0)</f>
        <v>87.6</v>
      </c>
      <c r="AE63" s="65">
        <f>AD63-Settings!$AA$5</f>
        <v>-113.43939393939391</v>
      </c>
      <c r="AF63" s="129" t="str">
        <f>IF(ISERROR(VLOOKUP(AA63,ESPNData!$CS:$CX,6,0)),"",IF((VLOOKUP(AA63,ESPNData!$CS:$CX,6,0)="--"),"",VLOOKUP(AA63,ESPNData!$CS:$CX,6,0)))</f>
        <v/>
      </c>
      <c r="AG63" s="75" t="str">
        <f>IF(ISERROR(VLOOKUP(AA63,ESPNData!$CZ:$DE,6,0)),"",IF((VLOOKUP(AA63,ESPNData!$CZ:$DE,6,0)="--"),"",VLOOKUP(AA63,ESPNData!$CZ:$DE,6,0)))</f>
        <v/>
      </c>
      <c r="AH63" s="69" t="str">
        <f>IF(ISERROR((VLOOKUP(AA63,Taken!$H:$I,2,0)-AF63)),"",(VLOOKUP(AA63,Taken!$H:$I,2,0)-AF63))</f>
        <v/>
      </c>
      <c r="AI63" s="69">
        <f>MIN(AI62,MAX(1,ROUND(((((AE63-AE$63)+Settings!$R$5)/(SUM(AE63:AE$63)-((AE$63-Settings!$R$5)*((61+1)-Y63))))*(Settings!$X$5-SUM(AI$36:AI62))),0)))</f>
        <v>2</v>
      </c>
      <c r="AJ63" s="43" t="str">
        <f>IF(ISERROR((VLOOKUP(AA63,Taken!$H:$I,2,0)-AI63)),"",(VLOOKUP(AA63,Taken!$H:$I,2,0)-AI63))</f>
        <v/>
      </c>
      <c r="AK63" s="114">
        <f t="shared" si="7"/>
        <v>29</v>
      </c>
      <c r="AL63" s="75" t="str">
        <f>IF(ISERROR(VLOOKUP(AM63,Taken!$Q:$Q,1,0)),"",IF(ISERROR(VLOOKUP(AM63,'Draft Board'!$AS:$AS,1,0)),"X","Y"))</f>
        <v/>
      </c>
      <c r="AM63" s="75" t="str">
        <f>VLOOKUP(AK63,DST!V:W,2,0)</f>
        <v>Redskins</v>
      </c>
      <c r="AN63" s="75" t="str">
        <f>VLOOKUP(AM63,DST!$B:$C,2,0)</f>
        <v>WSH</v>
      </c>
      <c r="AO63" s="72">
        <f>VLOOKUP(AN63,Settings!$M$2:$N$33,2,0)</f>
        <v>10</v>
      </c>
      <c r="AP63" s="153">
        <f>VLOOKUP(AM63,DST!$B:$U,20,0)</f>
        <v>53.7</v>
      </c>
      <c r="AQ63" s="65">
        <f>AP63-Settings!$AA$8</f>
        <v>-58.045454545454533</v>
      </c>
      <c r="AR63" s="129" t="str">
        <f>IF(ISERROR(VLOOKUP(AM63,ESPNData!$CS:$CX,6,0)),"",IF((VLOOKUP(AM63,ESPNData!$CS:$CX,6,0)="--"),"",VLOOKUP(AM63,ESPNData!$CS:$CX,6,0)))</f>
        <v/>
      </c>
      <c r="AS63" s="75" t="str">
        <f>IF(ISERROR(VLOOKUP(AM63,ESPNData!$CZ:$DE,6,0)),"",IF((VLOOKUP(AM63,ESPNData!$CZ:$DE,6,0)="--"),"",VLOOKUP(AM63,ESPNData!$CZ:$DE,6,0)))</f>
        <v/>
      </c>
      <c r="AT63" s="69" t="str">
        <f>IF(ISERROR((VLOOKUP(AM63,Taken!$Q:$R,2,0)-AR63)),"",(VLOOKUP(AM63,Taken!$Q:$R,2,0)-AR63))</f>
        <v/>
      </c>
      <c r="AU63" s="69">
        <v>1</v>
      </c>
      <c r="AV63" s="43" t="str">
        <f>IF(ISERROR((VLOOKUP(AM63,Taken!$Q:$R,2,0)-AU63)),"",(VLOOKUP(AM63,Taken!$Q:$R,2,0)-AU63))</f>
        <v/>
      </c>
      <c r="AW63" s="155"/>
    </row>
    <row r="64" spans="1:49" ht="12.75" customHeight="1">
      <c r="A64" s="163">
        <f t="shared" si="8"/>
        <v>8</v>
      </c>
      <c r="B64" s="75" t="str">
        <f>IF(ISERROR(VLOOKUP(C64,Taken!$K:$K,1,0)),"",IF(ISERROR(VLOOKUP(C64,'Draft Board'!$AS:$AS,1,0)),"X","Y"))</f>
        <v/>
      </c>
      <c r="C64" s="75" t="str">
        <f>VLOOKUP(A64,TE!T:U,2,0)</f>
        <v>Greg Olsen</v>
      </c>
      <c r="D64" s="72" t="str">
        <f>VLOOKUP(C64,TE!$B:$C,2,0)</f>
        <v>CAR</v>
      </c>
      <c r="E64" s="72">
        <f>IF((D64="FA"),"N/A",VLOOKUP(D64,Settings!$M$2:$N$33,2,0))</f>
        <v>12</v>
      </c>
      <c r="F64" s="153">
        <f>VLOOKUP(C64,TE!$B:$T,18,0)</f>
        <v>150.5</v>
      </c>
      <c r="G64" s="65">
        <f>F64-Settings!$AA$6</f>
        <v>-15.363636363636374</v>
      </c>
      <c r="H64" s="129">
        <f>IF(ISERROR(VLOOKUP(C64,ESPNData!$CS:$CX,6,0)),"",IF((VLOOKUP(C64,ESPNData!$CS:$CX,6,0)="--"),"",VLOOKUP(C64,ESPNData!$CS:$CX,6,0)))</f>
        <v>2</v>
      </c>
      <c r="I64" s="75">
        <f>IF(ISERROR(VLOOKUP(C64,ESPNData!$CZ:$DE,6,0)),"",IF((VLOOKUP(C64,ESPNData!$CZ:$DE,6,0)="--"),"",VLOOKUP(C64,ESPNData!$CZ:$DE,6,0)))</f>
        <v>2</v>
      </c>
      <c r="J64" s="69" t="str">
        <f>IF(ISERROR((VLOOKUP(C64,Taken!$K:$L,2,0)-H64)),"",(VLOOKUP(C64,Taken!$K:$L,2,0)-H64))</f>
        <v/>
      </c>
      <c r="K64" s="69">
        <f>ROUND(((((G64-G$67)+Settings!$Q$6)/(SUM(G64:G$67)-((G$67-Settings!$Q$6)*((11+1)-A64))))*(Settings!$V$6-SUM(K$57:K63))),0)</f>
        <v>7</v>
      </c>
      <c r="L64" s="43" t="str">
        <f>IF(ISERROR((VLOOKUP(C64,Taken!$K:$L,2,0)-K64)),"",(VLOOKUP(C64,Taken!$K:$L,2,0)-K64))</f>
        <v/>
      </c>
      <c r="M64" s="59">
        <f t="shared" si="5"/>
        <v>62</v>
      </c>
      <c r="N64" s="75" t="str">
        <f>IF(ISERROR(VLOOKUP(O64,Taken!$E:$E,1,0)),"",IF(ISERROR(VLOOKUP(O64,'Draft Board'!$AS:$AS,1,0)),"X","Y"))</f>
        <v/>
      </c>
      <c r="O64" s="75" t="str">
        <f>VLOOKUP(M64,RB!Z:AA,2,0)</f>
        <v>Bilal Powell</v>
      </c>
      <c r="P64" s="75" t="str">
        <f>VLOOKUP(O64,RB!$B:$C,2,0)</f>
        <v>NYJ</v>
      </c>
      <c r="Q64" s="72">
        <f>IF((P64="FA"),"N/A",VLOOKUP(P64,Settings!$M$2:$N$33,2,0))</f>
        <v>11</v>
      </c>
      <c r="R64" s="153">
        <f>VLOOKUP(O64,RB!$B:$Y,24,0)</f>
        <v>55.9</v>
      </c>
      <c r="S64" s="65">
        <f>R64-Settings!$AA$4</f>
        <v>-149.29393939393935</v>
      </c>
      <c r="T64" s="129" t="str">
        <f>IF(ISERROR(VLOOKUP(O64,ESPNData!$CS:$CX,6,0)),"",IF((VLOOKUP(O64,ESPNData!$CS:$CX,6,0)="--"),"",VLOOKUP(O64,ESPNData!$CS:$CX,6,0)))</f>
        <v/>
      </c>
      <c r="U64" s="75" t="str">
        <f>IF(ISERROR(VLOOKUP(O64,ESPNData!$CZ:$DE,6,0)),"",IF((VLOOKUP(O64,ESPNData!$CZ:$DE,6,0)="--"),"",VLOOKUP(O64,ESPNData!$CZ:$DE,6,0)))</f>
        <v/>
      </c>
      <c r="V64" s="69" t="str">
        <f>IF(ISERROR((VLOOKUP(O64,Taken!$E:$F,2,0)-T64)),"",(VLOOKUP(O64,Taken!$E:$F,2,0)-T64))</f>
        <v/>
      </c>
      <c r="W64" s="69">
        <v>1</v>
      </c>
      <c r="X64" s="43" t="str">
        <f>IF(ISERROR((VLOOKUP(O64,Taken!$E:$F,2,0)-W64)),"",(VLOOKUP(O64,Taken!$E:$F,2,0)-W64))</f>
        <v/>
      </c>
      <c r="Y64" s="59">
        <f t="shared" si="6"/>
        <v>62</v>
      </c>
      <c r="Z64" s="75" t="str">
        <f>IF(ISERROR(VLOOKUP(AA64,Taken!$H:$H,1,0)),"",IF(ISERROR(VLOOKUP(AA64,'Draft Board'!$AS:$AS,1,0)),"X","Y"))</f>
        <v/>
      </c>
      <c r="AA64" s="75" t="str">
        <f>VLOOKUP(Y64,WR!X:Y,2,0)</f>
        <v>Justin Hunter</v>
      </c>
      <c r="AB64" s="75" t="str">
        <f>VLOOKUP(AA64,WR!$B:$C,2,0)</f>
        <v>TEN</v>
      </c>
      <c r="AC64" s="72">
        <f>IF((AB64="FA"),"N/A",VLOOKUP(AB64,Settings!$M$2:$N$33,2,0))</f>
        <v>9</v>
      </c>
      <c r="AD64" s="153">
        <f>VLOOKUP(AA64,WR!$B:$W,22,0)</f>
        <v>87.1</v>
      </c>
      <c r="AE64" s="65">
        <f>AD64-Settings!$AA$5</f>
        <v>-113.93939393939391</v>
      </c>
      <c r="AF64" s="129">
        <f>IF(ISERROR(VLOOKUP(AA64,ESPNData!$CS:$CX,6,0)),"",IF((VLOOKUP(AA64,ESPNData!$CS:$CX,6,0)="--"),"",VLOOKUP(AA64,ESPNData!$CS:$CX,6,0)))</f>
        <v>1</v>
      </c>
      <c r="AG64" s="75">
        <f>IF(ISERROR(VLOOKUP(AA64,ESPNData!$CZ:$DE,6,0)),"",IF((VLOOKUP(AA64,ESPNData!$CZ:$DE,6,0)="--"),"",VLOOKUP(AA64,ESPNData!$CZ:$DE,6,0)))</f>
        <v>2</v>
      </c>
      <c r="AH64" s="69" t="str">
        <f>IF(ISERROR((VLOOKUP(AA64,Taken!$H:$I,2,0)-AF64)),"",(VLOOKUP(AA64,Taken!$H:$I,2,0)-AF64))</f>
        <v/>
      </c>
      <c r="AI64" s="69">
        <v>1</v>
      </c>
      <c r="AJ64" s="43" t="str">
        <f>IF(ISERROR((VLOOKUP(AA64,Taken!$H:$I,2,0)-AI64)),"",(VLOOKUP(AA64,Taken!$H:$I,2,0)-AI64))</f>
        <v/>
      </c>
      <c r="AK64" s="154">
        <f t="shared" si="7"/>
        <v>30</v>
      </c>
      <c r="AL64" s="173" t="str">
        <f>IF(ISERROR(VLOOKUP(AM64,Taken!$Q:$Q,1,0)),"",IF(ISERROR(VLOOKUP(AM64,'Draft Board'!$AS:$AS,1,0)),"X","Y"))</f>
        <v/>
      </c>
      <c r="AM64" s="75" t="str">
        <f>VLOOKUP(AK64,DST!V:W,2,0)</f>
        <v>Raiders</v>
      </c>
      <c r="AN64" s="173" t="str">
        <f>VLOOKUP(AM64,DST!$B:$C,2,0)</f>
        <v>OAK</v>
      </c>
      <c r="AO64" s="50">
        <f>VLOOKUP(AN64,Settings!$M$2:$N$33,2,0)</f>
        <v>5</v>
      </c>
      <c r="AP64" s="30">
        <f>VLOOKUP(AM64,DST!$B:$U,20,0)</f>
        <v>45.6</v>
      </c>
      <c r="AQ64" s="152">
        <f>AP64-Settings!$AA$8</f>
        <v>-66.145454545454527</v>
      </c>
      <c r="AR64" s="201" t="str">
        <f>IF(ISERROR(VLOOKUP(AM64,ESPNData!$CS:$CX,6,0)),"",IF((VLOOKUP(AM64,ESPNData!$CS:$CX,6,0)="--"),"",VLOOKUP(AM64,ESPNData!$CS:$CX,6,0)))</f>
        <v/>
      </c>
      <c r="AS64" s="173" t="str">
        <f>IF(ISERROR(VLOOKUP(AM64,ESPNData!$CZ:$DE,6,0)),"",IF((VLOOKUP(AM64,ESPNData!$CZ:$DE,6,0)="--"),"",VLOOKUP(AM64,ESPNData!$CZ:$DE,6,0)))</f>
        <v/>
      </c>
      <c r="AT64" s="157" t="str">
        <f>IF(ISERROR((VLOOKUP(AM64,Taken!$Q:$R,2,0)-AR64)),"",(VLOOKUP(AM64,Taken!$Q:$R,2,0)-AR64))</f>
        <v/>
      </c>
      <c r="AU64" s="157">
        <v>1</v>
      </c>
      <c r="AV64" s="149" t="str">
        <f>IF(ISERROR((VLOOKUP(AM64,Taken!$Q:$R,2,0)-AU64)),"",(VLOOKUP(AM64,Taken!$Q:$R,2,0)-AU64))</f>
        <v/>
      </c>
      <c r="AW64" s="155"/>
    </row>
    <row r="65" spans="1:48" ht="12.75" customHeight="1">
      <c r="A65" s="163">
        <f t="shared" si="8"/>
        <v>9</v>
      </c>
      <c r="B65" s="75" t="str">
        <f>IF(ISERROR(VLOOKUP(C65,Taken!$K:$K,1,0)),"",IF(ISERROR(VLOOKUP(C65,'Draft Board'!$AS:$AS,1,0)),"X","Y"))</f>
        <v/>
      </c>
      <c r="C65" s="75" t="str">
        <f>VLOOKUP(A65,TE!T:U,2,0)</f>
        <v>Jordan Reed</v>
      </c>
      <c r="D65" s="72" t="str">
        <f>VLOOKUP(C65,TE!$B:$C,2,0)</f>
        <v>WSH</v>
      </c>
      <c r="E65" s="72">
        <f>IF((D65="FA"),"N/A",VLOOKUP(D65,Settings!$M$2:$N$33,2,0))</f>
        <v>10</v>
      </c>
      <c r="F65" s="153">
        <f>VLOOKUP(C65,TE!$B:$T,18,0)</f>
        <v>147.4</v>
      </c>
      <c r="G65" s="65">
        <f>F65-Settings!$AA$6</f>
        <v>-18.463636363636368</v>
      </c>
      <c r="H65" s="129">
        <f>IF(ISERROR(VLOOKUP(C65,ESPNData!$CS:$CX,6,0)),"",IF((VLOOKUP(C65,ESPNData!$CS:$CX,6,0)="--"),"",VLOOKUP(C65,ESPNData!$CS:$CX,6,0)))</f>
        <v>1</v>
      </c>
      <c r="I65" s="75">
        <f>IF(ISERROR(VLOOKUP(C65,ESPNData!$CZ:$DE,6,0)),"",IF((VLOOKUP(C65,ESPNData!$CZ:$DE,6,0)="--"),"",VLOOKUP(C65,ESPNData!$CZ:$DE,6,0)))</f>
        <v>1</v>
      </c>
      <c r="J65" s="69" t="str">
        <f>IF(ISERROR((VLOOKUP(C65,Taken!$K:$L,2,0)-H65)),"",(VLOOKUP(C65,Taken!$K:$L,2,0)-H65))</f>
        <v/>
      </c>
      <c r="K65" s="69">
        <f>ROUND(((((G65-G$67)+Settings!$Q$6)/(SUM(G65:G$67)-((G$67-Settings!$Q$6)*((11+1)-A65))))*(Settings!$V$6-SUM(K$57:K64))),0)</f>
        <v>7</v>
      </c>
      <c r="L65" s="43" t="str">
        <f>IF(ISERROR((VLOOKUP(C65,Taken!$K:$L,2,0)-K65)),"",(VLOOKUP(C65,Taken!$K:$L,2,0)-K65))</f>
        <v/>
      </c>
      <c r="M65" s="59">
        <f t="shared" si="5"/>
        <v>63</v>
      </c>
      <c r="N65" s="75" t="str">
        <f>IF(ISERROR(VLOOKUP(O65,Taken!$E:$E,1,0)),"",IF(ISERROR(VLOOKUP(O65,'Draft Board'!$AS:$AS,1,0)),"X","Y"))</f>
        <v/>
      </c>
      <c r="O65" s="75" t="str">
        <f>VLOOKUP(M65,RB!Z:AA,2,0)</f>
        <v>Knile Davis</v>
      </c>
      <c r="P65" s="75" t="str">
        <f>VLOOKUP(O65,RB!$B:$C,2,0)</f>
        <v>KC</v>
      </c>
      <c r="Q65" s="72">
        <f>IF((P65="FA"),"N/A",VLOOKUP(P65,Settings!$M$2:$N$33,2,0))</f>
        <v>6</v>
      </c>
      <c r="R65" s="153">
        <f>VLOOKUP(O65,RB!$B:$Y,24,0)</f>
        <v>55.7</v>
      </c>
      <c r="S65" s="65">
        <f>R65-Settings!$AA$4</f>
        <v>-149.49393939393934</v>
      </c>
      <c r="T65" s="129">
        <f>IF(ISERROR(VLOOKUP(O65,ESPNData!$CS:$CX,6,0)),"",IF((VLOOKUP(O65,ESPNData!$CS:$CX,6,0)="--"),"",VLOOKUP(O65,ESPNData!$CS:$CX,6,0)))</f>
        <v>1</v>
      </c>
      <c r="U65" s="75" t="str">
        <f>IF(ISERROR(VLOOKUP(O65,ESPNData!$CZ:$DE,6,0)),"",IF((VLOOKUP(O65,ESPNData!$CZ:$DE,6,0)="--"),"",VLOOKUP(O65,ESPNData!$CZ:$DE,6,0)))</f>
        <v/>
      </c>
      <c r="V65" s="69" t="str">
        <f>IF(ISERROR((VLOOKUP(O65,Taken!$E:$F,2,0)-T65)),"",(VLOOKUP(O65,Taken!$E:$F,2,0)-T65))</f>
        <v/>
      </c>
      <c r="W65" s="69">
        <v>1</v>
      </c>
      <c r="X65" s="43" t="str">
        <f>IF(ISERROR((VLOOKUP(O65,Taken!$E:$F,2,0)-W65)),"",(VLOOKUP(O65,Taken!$E:$F,2,0)-W65))</f>
        <v/>
      </c>
      <c r="Y65" s="59">
        <f t="shared" si="6"/>
        <v>63</v>
      </c>
      <c r="Z65" s="75" t="str">
        <f>IF(ISERROR(VLOOKUP(AA65,Taken!$H:$H,1,0)),"",IF(ISERROR(VLOOKUP(AA65,'Draft Board'!$AS:$AS,1,0)),"X","Y"))</f>
        <v/>
      </c>
      <c r="AA65" s="75" t="str">
        <f>VLOOKUP(Y65,WR!X:Y,2,0)</f>
        <v>Greg Jennings</v>
      </c>
      <c r="AB65" s="75" t="str">
        <f>VLOOKUP(AA65,WR!$B:$C,2,0)</f>
        <v>MIN</v>
      </c>
      <c r="AC65" s="72">
        <f>IF((AB65="FA"),"N/A",VLOOKUP(AB65,Settings!$M$2:$N$33,2,0))</f>
        <v>10</v>
      </c>
      <c r="AD65" s="153">
        <f>VLOOKUP(AA65,WR!$B:$W,22,0)</f>
        <v>85.4</v>
      </c>
      <c r="AE65" s="65">
        <f>AD65-Settings!$AA$5</f>
        <v>-115.6393939393939</v>
      </c>
      <c r="AF65" s="129">
        <f>IF(ISERROR(VLOOKUP(AA65,ESPNData!$CS:$CX,6,0)),"",IF((VLOOKUP(AA65,ESPNData!$CS:$CX,6,0)="--"),"",VLOOKUP(AA65,ESPNData!$CS:$CX,6,0)))</f>
        <v>2</v>
      </c>
      <c r="AG65" s="75">
        <f>IF(ISERROR(VLOOKUP(AA65,ESPNData!$CZ:$DE,6,0)),"",IF((VLOOKUP(AA65,ESPNData!$CZ:$DE,6,0)="--"),"",VLOOKUP(AA65,ESPNData!$CZ:$DE,6,0)))</f>
        <v>3</v>
      </c>
      <c r="AH65" s="69" t="str">
        <f>IF(ISERROR((VLOOKUP(AA65,Taken!$H:$I,2,0)-AF65)),"",(VLOOKUP(AA65,Taken!$H:$I,2,0)-AF65))</f>
        <v/>
      </c>
      <c r="AI65" s="69">
        <v>1</v>
      </c>
      <c r="AJ65" s="43" t="str">
        <f>IF(ISERROR((VLOOKUP(AA65,Taken!$H:$I,2,0)-AI65)),"",(VLOOKUP(AA65,Taken!$H:$I,2,0)-AI65))</f>
        <v/>
      </c>
      <c r="AK65" s="83"/>
      <c r="AL65" s="91"/>
      <c r="AM65" s="67"/>
      <c r="AN65" s="91"/>
      <c r="AO65" s="91"/>
      <c r="AP65" s="53"/>
      <c r="AQ65" s="91"/>
      <c r="AR65" s="99"/>
      <c r="AS65" s="91"/>
      <c r="AT65" s="91"/>
      <c r="AU65" s="53"/>
      <c r="AV65" s="91"/>
    </row>
    <row r="66" spans="1:48" ht="12.75" customHeight="1">
      <c r="A66" s="163">
        <f t="shared" si="8"/>
        <v>10</v>
      </c>
      <c r="B66" s="75" t="str">
        <f>IF(ISERROR(VLOOKUP(C66,Taken!$K:$K,1,0)),"",IF(ISERROR(VLOOKUP(C66,'Draft Board'!$AS:$AS,1,0)),"X","Y"))</f>
        <v/>
      </c>
      <c r="C66" s="75" t="str">
        <f>VLOOKUP(A66,TE!T:U,2,0)</f>
        <v>Kyle Rudolph</v>
      </c>
      <c r="D66" s="72" t="str">
        <f>VLOOKUP(C66,TE!$B:$C,2,0)</f>
        <v>MIN</v>
      </c>
      <c r="E66" s="72">
        <f>IF((D66="FA"),"N/A",VLOOKUP(D66,Settings!$M$2:$N$33,2,0))</f>
        <v>10</v>
      </c>
      <c r="F66" s="153">
        <f>VLOOKUP(C66,TE!$B:$T,18,0)</f>
        <v>142.1</v>
      </c>
      <c r="G66" s="65">
        <f>F66-Settings!$AA$6</f>
        <v>-23.76363636363638</v>
      </c>
      <c r="H66" s="129">
        <f>IF(ISERROR(VLOOKUP(C66,ESPNData!$CS:$CX,6,0)),"",IF((VLOOKUP(C66,ESPNData!$CS:$CX,6,0)="--"),"",VLOOKUP(C66,ESPNData!$CS:$CX,6,0)))</f>
        <v>1</v>
      </c>
      <c r="I66" s="75">
        <f>IF(ISERROR(VLOOKUP(C66,ESPNData!$CZ:$DE,6,0)),"",IF((VLOOKUP(C66,ESPNData!$CZ:$DE,6,0)="--"),"",VLOOKUP(C66,ESPNData!$CZ:$DE,6,0)))</f>
        <v>1</v>
      </c>
      <c r="J66" s="69" t="str">
        <f>IF(ISERROR((VLOOKUP(C66,Taken!$K:$L,2,0)-H66)),"",(VLOOKUP(C66,Taken!$K:$L,2,0)-H66))</f>
        <v/>
      </c>
      <c r="K66" s="69">
        <f>ROUND(((((G66-G$67)+Settings!$Q$6)/(SUM(G66:G$67)-((G$67-Settings!$Q$6)*((11+1)-A66))))*(Settings!$V$6-SUM(K$57:K65))),0)</f>
        <v>5</v>
      </c>
      <c r="L66" s="43" t="str">
        <f>IF(ISERROR((VLOOKUP(C66,Taken!$K:$L,2,0)-K66)),"",(VLOOKUP(C66,Taken!$K:$L,2,0)-K66))</f>
        <v/>
      </c>
      <c r="M66" s="59">
        <f t="shared" si="5"/>
        <v>64</v>
      </c>
      <c r="N66" s="75" t="str">
        <f>IF(ISERROR(VLOOKUP(O66,Taken!$E:$E,1,0)),"",IF(ISERROR(VLOOKUP(O66,'Draft Board'!$AS:$AS,1,0)),"X","Y"))</f>
        <v/>
      </c>
      <c r="O66" s="75" t="str">
        <f>VLOOKUP(M66,RB!Z:AA,2,0)</f>
        <v>Donald Brown</v>
      </c>
      <c r="P66" s="75" t="str">
        <f>VLOOKUP(O66,RB!$B:$C,2,0)</f>
        <v>SD</v>
      </c>
      <c r="Q66" s="72">
        <f>IF((P66="FA"),"N/A",VLOOKUP(P66,Settings!$M$2:$N$33,2,0))</f>
        <v>10</v>
      </c>
      <c r="R66" s="153">
        <f>VLOOKUP(O66,RB!$B:$Y,24,0)</f>
        <v>54.4</v>
      </c>
      <c r="S66" s="65">
        <f>R66-Settings!$AA$4</f>
        <v>-150.79393939393935</v>
      </c>
      <c r="T66" s="129">
        <f>IF(ISERROR(VLOOKUP(O66,ESPNData!$CS:$CX,6,0)),"",IF((VLOOKUP(O66,ESPNData!$CS:$CX,6,0)="--"),"",VLOOKUP(O66,ESPNData!$CS:$CX,6,0)))</f>
        <v>2</v>
      </c>
      <c r="U66" s="75">
        <f>IF(ISERROR(VLOOKUP(O66,ESPNData!$CZ:$DE,6,0)),"",IF((VLOOKUP(O66,ESPNData!$CZ:$DE,6,0)="--"),"",VLOOKUP(O66,ESPNData!$CZ:$DE,6,0)))</f>
        <v>1</v>
      </c>
      <c r="V66" s="69" t="str">
        <f>IF(ISERROR((VLOOKUP(O66,Taken!$E:$F,2,0)-T66)),"",(VLOOKUP(O66,Taken!$E:$F,2,0)-T66))</f>
        <v/>
      </c>
      <c r="W66" s="69">
        <v>1</v>
      </c>
      <c r="X66" s="43" t="str">
        <f>IF(ISERROR((VLOOKUP(O66,Taken!$E:$F,2,0)-W66)),"",(VLOOKUP(O66,Taken!$E:$F,2,0)-W66))</f>
        <v/>
      </c>
      <c r="Y66" s="59">
        <f t="shared" si="6"/>
        <v>64</v>
      </c>
      <c r="Z66" s="75" t="str">
        <f>IF(ISERROR(VLOOKUP(AA66,Taken!$H:$H,1,0)),"",IF(ISERROR(VLOOKUP(AA66,'Draft Board'!$AS:$AS,1,0)),"X","Y"))</f>
        <v/>
      </c>
      <c r="AA66" s="75" t="str">
        <f>VLOOKUP(Y66,WR!X:Y,2,0)</f>
        <v>Hakeem Nicks</v>
      </c>
      <c r="AB66" s="75" t="str">
        <f>VLOOKUP(AA66,WR!$B:$C,2,0)</f>
        <v>IND</v>
      </c>
      <c r="AC66" s="72">
        <f>IF((AB66="FA"),"N/A",VLOOKUP(AB66,Settings!$M$2:$N$33,2,0))</f>
        <v>10</v>
      </c>
      <c r="AD66" s="153">
        <f>VLOOKUP(AA66,WR!$B:$W,22,0)</f>
        <v>84.6</v>
      </c>
      <c r="AE66" s="65">
        <f>AD66-Settings!$AA$5</f>
        <v>-116.43939393939391</v>
      </c>
      <c r="AF66" s="129">
        <f>IF(ISERROR(VLOOKUP(AA66,ESPNData!$CS:$CX,6,0)),"",IF((VLOOKUP(AA66,ESPNData!$CS:$CX,6,0)="--"),"",VLOOKUP(AA66,ESPNData!$CS:$CX,6,0)))</f>
        <v>1</v>
      </c>
      <c r="AG66" s="75">
        <f>IF(ISERROR(VLOOKUP(AA66,ESPNData!$CZ:$DE,6,0)),"",IF((VLOOKUP(AA66,ESPNData!$CZ:$DE,6,0)="--"),"",VLOOKUP(AA66,ESPNData!$CZ:$DE,6,0)))</f>
        <v>2</v>
      </c>
      <c r="AH66" s="69" t="str">
        <f>IF(ISERROR((VLOOKUP(AA66,Taken!$H:$I,2,0)-AF66)),"",(VLOOKUP(AA66,Taken!$H:$I,2,0)-AF66))</f>
        <v/>
      </c>
      <c r="AI66" s="69">
        <v>1</v>
      </c>
      <c r="AJ66" s="43" t="str">
        <f>IF(ISERROR((VLOOKUP(AA66,Taken!$H:$I,2,0)-AI66)),"",(VLOOKUP(AA66,Taken!$H:$I,2,0)-AI66))</f>
        <v/>
      </c>
      <c r="AK66" s="117"/>
      <c r="AL66" s="33"/>
      <c r="AM66" s="33"/>
      <c r="AN66" s="33"/>
      <c r="AO66" s="33"/>
      <c r="AP66" s="181"/>
      <c r="AQ66" s="33"/>
      <c r="AR66" s="111"/>
      <c r="AS66" s="33"/>
      <c r="AT66" s="33"/>
      <c r="AU66" s="181"/>
      <c r="AV66" s="33"/>
    </row>
    <row r="67" spans="1:48" ht="12.75" customHeight="1">
      <c r="A67" s="163">
        <f t="shared" si="8"/>
        <v>11</v>
      </c>
      <c r="B67" s="75" t="str">
        <f>IF(ISERROR(VLOOKUP(C67,Taken!$K:$K,1,0)),"",IF(ISERROR(VLOOKUP(C67,'Draft Board'!$AS:$AS,1,0)),"X","Y"))</f>
        <v/>
      </c>
      <c r="C67" s="75" t="str">
        <f>VLOOKUP(A67,TE!T:U,2,0)</f>
        <v>Martellus Bennett</v>
      </c>
      <c r="D67" s="72" t="str">
        <f>VLOOKUP(C67,TE!$B:$C,2,0)</f>
        <v>CHI</v>
      </c>
      <c r="E67" s="72">
        <f>IF((D67="FA"),"N/A",VLOOKUP(D67,Settings!$M$2:$N$33,2,0))</f>
        <v>9</v>
      </c>
      <c r="F67" s="153">
        <f>VLOOKUP(C67,TE!$B:$T,18,0)</f>
        <v>134</v>
      </c>
      <c r="G67" s="65">
        <f>F67-Settings!$AA$6</f>
        <v>-31.863636363636374</v>
      </c>
      <c r="H67" s="129" t="str">
        <f>IF(ISERROR(VLOOKUP(C67,ESPNData!$CS:$CX,6,0)),"",IF((VLOOKUP(C67,ESPNData!$CS:$CX,6,0)="--"),"",VLOOKUP(C67,ESPNData!$CS:$CX,6,0)))</f>
        <v/>
      </c>
      <c r="I67" s="75">
        <f>IF(ISERROR(VLOOKUP(C67,ESPNData!$CZ:$DE,6,0)),"",IF((VLOOKUP(C67,ESPNData!$CZ:$DE,6,0)="--"),"",VLOOKUP(C67,ESPNData!$CZ:$DE,6,0)))</f>
        <v>1</v>
      </c>
      <c r="J67" s="69" t="str">
        <f>IF(ISERROR((VLOOKUP(C67,Taken!$K:$L,2,0)-H67)),"",(VLOOKUP(C67,Taken!$K:$L,2,0)-H67))</f>
        <v/>
      </c>
      <c r="K67" s="69">
        <f>ROUND(((((G67-G$67)+Settings!$Q$6)/(SUM(G67:G$67)-((G$67-Settings!$Q$6)*((11+1)-A67))))*(Settings!$V$6-SUM(K$57:K66))),0)</f>
        <v>4</v>
      </c>
      <c r="L67" s="43" t="str">
        <f>IF(ISERROR((VLOOKUP(C67,Taken!$K:$L,2,0)-K67)),"",(VLOOKUP(C67,Taken!$K:$L,2,0)-K67))</f>
        <v/>
      </c>
      <c r="M67" s="59">
        <f t="shared" si="5"/>
        <v>65</v>
      </c>
      <c r="N67" s="75" t="str">
        <f>IF(ISERROR(VLOOKUP(O67,Taken!$E:$E,1,0)),"",IF(ISERROR(VLOOKUP(O67,'Draft Board'!$AS:$AS,1,0)),"X","Y"))</f>
        <v/>
      </c>
      <c r="O67" s="75" t="str">
        <f>VLOOKUP(M67,RB!Z:AA,2,0)</f>
        <v>Robert Turbin</v>
      </c>
      <c r="P67" s="75" t="str">
        <f>VLOOKUP(O67,RB!$B:$C,2,0)</f>
        <v>SEA</v>
      </c>
      <c r="Q67" s="72">
        <f>IF((P67="FA"),"N/A",VLOOKUP(P67,Settings!$M$2:$N$33,2,0))</f>
        <v>4</v>
      </c>
      <c r="R67" s="153">
        <f>VLOOKUP(O67,RB!$B:$Y,24,0)</f>
        <v>53</v>
      </c>
      <c r="S67" s="65">
        <f>R67-Settings!$AA$4</f>
        <v>-152.19393939393936</v>
      </c>
      <c r="T67" s="129" t="str">
        <f>IF(ISERROR(VLOOKUP(O67,ESPNData!$CS:$CX,6,0)),"",IF((VLOOKUP(O67,ESPNData!$CS:$CX,6,0)="--"),"",VLOOKUP(O67,ESPNData!$CS:$CX,6,0)))</f>
        <v/>
      </c>
      <c r="U67" s="75" t="str">
        <f>IF(ISERROR(VLOOKUP(O67,ESPNData!$CZ:$DE,6,0)),"",IF((VLOOKUP(O67,ESPNData!$CZ:$DE,6,0)="--"),"",VLOOKUP(O67,ESPNData!$CZ:$DE,6,0)))</f>
        <v/>
      </c>
      <c r="V67" s="69" t="str">
        <f>IF(ISERROR((VLOOKUP(O67,Taken!$E:$F,2,0)-T67)),"",(VLOOKUP(O67,Taken!$E:$F,2,0)-T67))</f>
        <v/>
      </c>
      <c r="W67" s="69">
        <v>1</v>
      </c>
      <c r="X67" s="43" t="str">
        <f>IF(ISERROR((VLOOKUP(O67,Taken!$E:$F,2,0)-W67)),"",(VLOOKUP(O67,Taken!$E:$F,2,0)-W67))</f>
        <v/>
      </c>
      <c r="Y67" s="59">
        <f t="shared" si="6"/>
        <v>65</v>
      </c>
      <c r="Z67" s="75" t="str">
        <f>IF(ISERROR(VLOOKUP(AA67,Taken!$H:$H,1,0)),"",IF(ISERROR(VLOOKUP(AA67,'Draft Board'!$AS:$AS,1,0)),"X","Y"))</f>
        <v/>
      </c>
      <c r="AA67" s="75" t="str">
        <f>VLOOKUP(Y67,WR!X:Y,2,0)</f>
        <v>Jerricho Cotchery</v>
      </c>
      <c r="AB67" s="75" t="str">
        <f>VLOOKUP(AA67,WR!$B:$C,2,0)</f>
        <v>CAR</v>
      </c>
      <c r="AC67" s="72">
        <f>IF((AB67="FA"),"N/A",VLOOKUP(AB67,Settings!$M$2:$N$33,2,0))</f>
        <v>12</v>
      </c>
      <c r="AD67" s="153">
        <f>VLOOKUP(AA67,WR!$B:$W,22,0)</f>
        <v>83.8</v>
      </c>
      <c r="AE67" s="65">
        <f>AD67-Settings!$AA$5</f>
        <v>-117.23939393939391</v>
      </c>
      <c r="AF67" s="129" t="str">
        <f>IF(ISERROR(VLOOKUP(AA67,ESPNData!$CS:$CX,6,0)),"",IF((VLOOKUP(AA67,ESPNData!$CS:$CX,6,0)="--"),"",VLOOKUP(AA67,ESPNData!$CS:$CX,6,0)))</f>
        <v/>
      </c>
      <c r="AG67" s="75">
        <f>IF(ISERROR(VLOOKUP(AA67,ESPNData!$CZ:$DE,6,0)),"",IF((VLOOKUP(AA67,ESPNData!$CZ:$DE,6,0)="--"),"",VLOOKUP(AA67,ESPNData!$CZ:$DE,6,0)))</f>
        <v>1</v>
      </c>
      <c r="AH67" s="69" t="str">
        <f>IF(ISERROR((VLOOKUP(AA67,Taken!$H:$I,2,0)-AF67)),"",(VLOOKUP(AA67,Taken!$H:$I,2,0)-AF67))</f>
        <v/>
      </c>
      <c r="AI67" s="69">
        <v>1</v>
      </c>
      <c r="AJ67" s="43" t="str">
        <f>IF(ISERROR((VLOOKUP(AA67,Taken!$H:$I,2,0)-AI67)),"",(VLOOKUP(AA67,Taken!$H:$I,2,0)-AI67))</f>
        <v/>
      </c>
      <c r="AK67" s="117"/>
      <c r="AL67" s="33"/>
      <c r="AM67" s="33"/>
      <c r="AN67" s="33"/>
      <c r="AO67" s="33"/>
      <c r="AP67" s="181"/>
      <c r="AQ67" s="33"/>
      <c r="AR67" s="111"/>
      <c r="AS67" s="33"/>
      <c r="AT67" s="33"/>
      <c r="AU67" s="181"/>
      <c r="AV67" s="33"/>
    </row>
    <row r="68" spans="1:48" ht="12.75" customHeight="1">
      <c r="A68" s="60">
        <f t="shared" si="8"/>
        <v>12</v>
      </c>
      <c r="B68" s="75" t="str">
        <f>IF(ISERROR(VLOOKUP(C68,Taken!$K:$K,1,0)),"",IF(ISERROR(VLOOKUP(C68,'Draft Board'!$AS:$AS,1,0)),"X","Y"))</f>
        <v/>
      </c>
      <c r="C68" s="75" t="str">
        <f>VLOOKUP(A68,TE!T:U,2,0)</f>
        <v>Zach Ertz</v>
      </c>
      <c r="D68" s="72" t="str">
        <f>VLOOKUP(C68,TE!$B:$C,2,0)</f>
        <v>PHI</v>
      </c>
      <c r="E68" s="72">
        <f>IF((D68="FA"),"N/A",VLOOKUP(D68,Settings!$M$2:$N$33,2,0))</f>
        <v>7</v>
      </c>
      <c r="F68" s="153">
        <f>VLOOKUP(C68,TE!$B:$T,18,0)</f>
        <v>128.19999999999999</v>
      </c>
      <c r="G68" s="65">
        <f>F68-Settings!$AA$6</f>
        <v>-37.663636363636385</v>
      </c>
      <c r="H68" s="129" t="str">
        <f>IF(ISERROR(VLOOKUP(C68,ESPNData!$CS:$CX,6,0)),"",IF((VLOOKUP(C68,ESPNData!$CS:$CX,6,0)="--"),"",VLOOKUP(C68,ESPNData!$CS:$CX,6,0)))</f>
        <v/>
      </c>
      <c r="I68" s="75">
        <f>IF(ISERROR(VLOOKUP(C68,ESPNData!$CZ:$DE,6,0)),"",IF((VLOOKUP(C68,ESPNData!$CZ:$DE,6,0)="--"),"",VLOOKUP(C68,ESPNData!$CZ:$DE,6,0)))</f>
        <v>1</v>
      </c>
      <c r="J68" s="69" t="str">
        <f>IF(ISERROR((VLOOKUP(C68,Taken!$K:$L,2,0)-H68)),"",(VLOOKUP(C68,Taken!$K:$L,2,0)-H68))</f>
        <v/>
      </c>
      <c r="K68" s="69">
        <f>MIN(K67,ROUND(((((G68-G$73)+Settings!$R$6)/(SUM(G68:G$73)-((G$73-Settings!$R$6)*((17+1)-A68))))*(Settings!$X$6)),0))</f>
        <v>3</v>
      </c>
      <c r="L68" s="43" t="str">
        <f>IF(ISERROR((VLOOKUP(C68,Taken!$K:$L,2,0)-K68)),"",(VLOOKUP(C68,Taken!$K:$L,2,0)-K68))</f>
        <v/>
      </c>
      <c r="M68" s="59">
        <f t="shared" ref="M68:M102" si="9">M67+1</f>
        <v>66</v>
      </c>
      <c r="N68" s="75" t="str">
        <f>IF(ISERROR(VLOOKUP(O68,Taken!$E:$E,1,0)),"",IF(ISERROR(VLOOKUP(O68,'Draft Board'!$AS:$AS,1,0)),"X","Y"))</f>
        <v/>
      </c>
      <c r="O68" s="75" t="str">
        <f>VLOOKUP(M68,RB!Z:AA,2,0)</f>
        <v>Jordan Todman</v>
      </c>
      <c r="P68" s="75" t="str">
        <f>VLOOKUP(O68,RB!$B:$C,2,0)</f>
        <v>JAC</v>
      </c>
      <c r="Q68" s="72">
        <f>IF((P68="FA"),"N/A",VLOOKUP(P68,Settings!$M$2:$N$33,2,0))</f>
        <v>11</v>
      </c>
      <c r="R68" s="153">
        <f>VLOOKUP(O68,RB!$B:$Y,24,0)</f>
        <v>51.1</v>
      </c>
      <c r="S68" s="65">
        <f>R68-Settings!$AA$4</f>
        <v>-154.09393939393937</v>
      </c>
      <c r="T68" s="129" t="str">
        <f>IF(ISERROR(VLOOKUP(O68,ESPNData!$CS:$CX,6,0)),"",IF((VLOOKUP(O68,ESPNData!$CS:$CX,6,0)="--"),"",VLOOKUP(O68,ESPNData!$CS:$CX,6,0)))</f>
        <v/>
      </c>
      <c r="U68" s="75" t="str">
        <f>IF(ISERROR(VLOOKUP(O68,ESPNData!$CZ:$DE,6,0)),"",IF((VLOOKUP(O68,ESPNData!$CZ:$DE,6,0)="--"),"",VLOOKUP(O68,ESPNData!$CZ:$DE,6,0)))</f>
        <v/>
      </c>
      <c r="V68" s="69" t="str">
        <f>IF(ISERROR((VLOOKUP(O68,Taken!$E:$F,2,0)-T68)),"",(VLOOKUP(O68,Taken!$E:$F,2,0)-T68))</f>
        <v/>
      </c>
      <c r="W68" s="69">
        <v>1</v>
      </c>
      <c r="X68" s="43" t="str">
        <f>IF(ISERROR((VLOOKUP(O68,Taken!$E:$F,2,0)-W68)),"",(VLOOKUP(O68,Taken!$E:$F,2,0)-W68))</f>
        <v/>
      </c>
      <c r="Y68" s="59">
        <f t="shared" ref="Y68:Y102" si="10">Y67+1</f>
        <v>66</v>
      </c>
      <c r="Z68" s="75" t="str">
        <f>IF(ISERROR(VLOOKUP(AA68,Taken!$H:$H,1,0)),"",IF(ISERROR(VLOOKUP(AA68,'Draft Board'!$AS:$AS,1,0)),"X","Y"))</f>
        <v/>
      </c>
      <c r="AA68" s="75" t="str">
        <f>VLOOKUP(Y68,WR!X:Y,2,0)</f>
        <v>Jeremy Kerley</v>
      </c>
      <c r="AB68" s="75" t="str">
        <f>VLOOKUP(AA68,WR!$B:$C,2,0)</f>
        <v>NYJ</v>
      </c>
      <c r="AC68" s="72">
        <f>IF((AB68="FA"),"N/A",VLOOKUP(AB68,Settings!$M$2:$N$33,2,0))</f>
        <v>11</v>
      </c>
      <c r="AD68" s="153">
        <f>VLOOKUP(AA68,WR!$B:$W,22,0)</f>
        <v>81.7</v>
      </c>
      <c r="AE68" s="65">
        <f>AD68-Settings!$AA$5</f>
        <v>-119.3393939393939</v>
      </c>
      <c r="AF68" s="129" t="str">
        <f>IF(ISERROR(VLOOKUP(AA68,ESPNData!$CS:$CX,6,0)),"",IF((VLOOKUP(AA68,ESPNData!$CS:$CX,6,0)="--"),"",VLOOKUP(AA68,ESPNData!$CS:$CX,6,0)))</f>
        <v/>
      </c>
      <c r="AG68" s="75" t="str">
        <f>IF(ISERROR(VLOOKUP(AA68,ESPNData!$CZ:$DE,6,0)),"",IF((VLOOKUP(AA68,ESPNData!$CZ:$DE,6,0)="--"),"",VLOOKUP(AA68,ESPNData!$CZ:$DE,6,0)))</f>
        <v/>
      </c>
      <c r="AH68" s="69" t="str">
        <f>IF(ISERROR((VLOOKUP(AA68,Taken!$H:$I,2,0)-AF68)),"",(VLOOKUP(AA68,Taken!$H:$I,2,0)-AF68))</f>
        <v/>
      </c>
      <c r="AI68" s="69">
        <v>1</v>
      </c>
      <c r="AJ68" s="43" t="str">
        <f>IF(ISERROR((VLOOKUP(AA68,Taken!$H:$I,2,0)-AI68)),"",(VLOOKUP(AA68,Taken!$H:$I,2,0)-AI68))</f>
        <v/>
      </c>
      <c r="AK68" s="117"/>
      <c r="AL68" s="33"/>
      <c r="AM68" s="33"/>
      <c r="AN68" s="33"/>
      <c r="AO68" s="33"/>
      <c r="AP68" s="181"/>
      <c r="AQ68" s="33"/>
      <c r="AR68" s="111"/>
      <c r="AS68" s="33"/>
      <c r="AT68" s="33"/>
      <c r="AU68" s="181"/>
      <c r="AV68" s="33"/>
    </row>
    <row r="69" spans="1:48" ht="12.75" customHeight="1">
      <c r="A69" s="60">
        <f t="shared" si="8"/>
        <v>13</v>
      </c>
      <c r="B69" s="75" t="str">
        <f>IF(ISERROR(VLOOKUP(C69,Taken!$K:$K,1,0)),"",IF(ISERROR(VLOOKUP(C69,'Draft Board'!$AS:$AS,1,0)),"X","Y"))</f>
        <v/>
      </c>
      <c r="C69" s="75" t="str">
        <f>VLOOKUP(A69,TE!T:U,2,0)</f>
        <v>Charles Clay</v>
      </c>
      <c r="D69" s="72" t="str">
        <f>VLOOKUP(C69,TE!$B:$C,2,0)</f>
        <v>MIA</v>
      </c>
      <c r="E69" s="72">
        <f>IF((D69="FA"),"N/A",VLOOKUP(D69,Settings!$M$2:$N$33,2,0))</f>
        <v>5</v>
      </c>
      <c r="F69" s="153">
        <f>VLOOKUP(C69,TE!$B:$T,18,0)</f>
        <v>126.4</v>
      </c>
      <c r="G69" s="65">
        <f>F69-Settings!$AA$6</f>
        <v>-39.463636363636368</v>
      </c>
      <c r="H69" s="129" t="str">
        <f>IF(ISERROR(VLOOKUP(C69,ESPNData!$CS:$CX,6,0)),"",IF((VLOOKUP(C69,ESPNData!$CS:$CX,6,0)="--"),"",VLOOKUP(C69,ESPNData!$CS:$CX,6,0)))</f>
        <v/>
      </c>
      <c r="I69" s="75">
        <f>IF(ISERROR(VLOOKUP(C69,ESPNData!$CZ:$DE,6,0)),"",IF((VLOOKUP(C69,ESPNData!$CZ:$DE,6,0)="--"),"",VLOOKUP(C69,ESPNData!$CZ:$DE,6,0)))</f>
        <v>1</v>
      </c>
      <c r="J69" s="69" t="str">
        <f>IF(ISERROR((VLOOKUP(C69,Taken!$K:$L,2,0)-H69)),"",(VLOOKUP(C69,Taken!$K:$L,2,0)-H69))</f>
        <v/>
      </c>
      <c r="K69" s="69">
        <f>MIN(K68,MAX(1,ROUND(((((G69-G$73)-Settings!$R$6)/(SUM(G69:G$73)-((G$73-Settings!$R$6)*((17+1)-A69))))*(Settings!$X$6-SUM(K$68:K68))),0)))</f>
        <v>2</v>
      </c>
      <c r="L69" s="43" t="str">
        <f>IF(ISERROR((VLOOKUP(C69,Taken!$K:$L,2,0)-K69)),"",(VLOOKUP(C69,Taken!$K:$L,2,0)-K69))</f>
        <v/>
      </c>
      <c r="M69" s="59">
        <f t="shared" si="9"/>
        <v>67</v>
      </c>
      <c r="N69" s="75" t="str">
        <f>IF(ISERROR(VLOOKUP(O69,Taken!$E:$E,1,0)),"",IF(ISERROR(VLOOKUP(O69,'Draft Board'!$AS:$AS,1,0)),"X","Y"))</f>
        <v/>
      </c>
      <c r="O69" s="75" t="str">
        <f>VLOOKUP(M69,RB!Z:AA,2,0)</f>
        <v>Stepfan Taylor</v>
      </c>
      <c r="P69" s="75" t="str">
        <f>VLOOKUP(O69,RB!$B:$C,2,0)</f>
        <v>ARI</v>
      </c>
      <c r="Q69" s="72">
        <f>IF((P69="FA"),"N/A",VLOOKUP(P69,Settings!$M$2:$N$33,2,0))</f>
        <v>4</v>
      </c>
      <c r="R69" s="153">
        <f>VLOOKUP(O69,RB!$B:$Y,24,0)</f>
        <v>51.1</v>
      </c>
      <c r="S69" s="65">
        <f>R69-Settings!$AA$4</f>
        <v>-154.09393939393937</v>
      </c>
      <c r="T69" s="129" t="str">
        <f>IF(ISERROR(VLOOKUP(O69,ESPNData!$CS:$CX,6,0)),"",IF((VLOOKUP(O69,ESPNData!$CS:$CX,6,0)="--"),"",VLOOKUP(O69,ESPNData!$CS:$CX,6,0)))</f>
        <v/>
      </c>
      <c r="U69" s="75" t="str">
        <f>IF(ISERROR(VLOOKUP(O69,ESPNData!$CZ:$DE,6,0)),"",IF((VLOOKUP(O69,ESPNData!$CZ:$DE,6,0)="--"),"",VLOOKUP(O69,ESPNData!$CZ:$DE,6,0)))</f>
        <v/>
      </c>
      <c r="V69" s="69" t="str">
        <f>IF(ISERROR((VLOOKUP(O69,Taken!$E:$F,2,0)-T69)),"",(VLOOKUP(O69,Taken!$E:$F,2,0)-T69))</f>
        <v/>
      </c>
      <c r="W69" s="69">
        <v>1</v>
      </c>
      <c r="X69" s="43" t="str">
        <f>IF(ISERROR((VLOOKUP(O69,Taken!$E:$F,2,0)-W69)),"",(VLOOKUP(O69,Taken!$E:$F,2,0)-W69))</f>
        <v/>
      </c>
      <c r="Y69" s="59">
        <f t="shared" si="10"/>
        <v>67</v>
      </c>
      <c r="Z69" s="75" t="str">
        <f>IF(ISERROR(VLOOKUP(AA69,Taken!$H:$H,1,0)),"",IF(ISERROR(VLOOKUP(AA69,'Draft Board'!$AS:$AS,1,0)),"X","Y"))</f>
        <v/>
      </c>
      <c r="AA69" s="75" t="str">
        <f>VLOOKUP(Y69,WR!X:Y,2,0)</f>
        <v>Mohamed Sanu</v>
      </c>
      <c r="AB69" s="75" t="str">
        <f>VLOOKUP(AA69,WR!$B:$C,2,0)</f>
        <v>CIN</v>
      </c>
      <c r="AC69" s="72">
        <f>IF((AB69="FA"),"N/A",VLOOKUP(AB69,Settings!$M$2:$N$33,2,0))</f>
        <v>4</v>
      </c>
      <c r="AD69" s="153">
        <f>VLOOKUP(AA69,WR!$B:$W,22,0)</f>
        <v>80.7</v>
      </c>
      <c r="AE69" s="65">
        <f>AD69-Settings!$AA$5</f>
        <v>-120.3393939393939</v>
      </c>
      <c r="AF69" s="129" t="str">
        <f>IF(ISERROR(VLOOKUP(AA69,ESPNData!$CS:$CX,6,0)),"",IF((VLOOKUP(AA69,ESPNData!$CS:$CX,6,0)="--"),"",VLOOKUP(AA69,ESPNData!$CS:$CX,6,0)))</f>
        <v/>
      </c>
      <c r="AG69" s="75" t="str">
        <f>IF(ISERROR(VLOOKUP(AA69,ESPNData!$CZ:$DE,6,0)),"",IF((VLOOKUP(AA69,ESPNData!$CZ:$DE,6,0)="--"),"",VLOOKUP(AA69,ESPNData!$CZ:$DE,6,0)))</f>
        <v/>
      </c>
      <c r="AH69" s="69" t="str">
        <f>IF(ISERROR((VLOOKUP(AA69,Taken!$H:$I,2,0)-AF69)),"",(VLOOKUP(AA69,Taken!$H:$I,2,0)-AF69))</f>
        <v/>
      </c>
      <c r="AI69" s="69">
        <v>1</v>
      </c>
      <c r="AJ69" s="43" t="str">
        <f>IF(ISERROR((VLOOKUP(AA69,Taken!$H:$I,2,0)-AI69)),"",(VLOOKUP(AA69,Taken!$H:$I,2,0)-AI69))</f>
        <v/>
      </c>
      <c r="AK69" s="117"/>
      <c r="AL69" s="33"/>
      <c r="AM69" s="33"/>
      <c r="AN69" s="33"/>
      <c r="AO69" s="33"/>
      <c r="AP69" s="181"/>
      <c r="AQ69" s="33"/>
      <c r="AR69" s="111"/>
      <c r="AS69" s="33"/>
      <c r="AT69" s="33"/>
      <c r="AU69" s="181"/>
      <c r="AV69" s="33"/>
    </row>
    <row r="70" spans="1:48" ht="12.75" customHeight="1">
      <c r="A70" s="60">
        <f t="shared" si="8"/>
        <v>14</v>
      </c>
      <c r="B70" s="75" t="str">
        <f>IF(ISERROR(VLOOKUP(C70,Taken!$K:$K,1,0)),"",IF(ISERROR(VLOOKUP(C70,'Draft Board'!$AS:$AS,1,0)),"X","Y"))</f>
        <v/>
      </c>
      <c r="C70" s="75" t="str">
        <f>VLOOKUP(A70,TE!T:U,2,0)</f>
        <v>Antonio Gates</v>
      </c>
      <c r="D70" s="72" t="str">
        <f>VLOOKUP(C70,TE!$B:$C,2,0)</f>
        <v>SD</v>
      </c>
      <c r="E70" s="72">
        <f>IF((D70="FA"),"N/A",VLOOKUP(D70,Settings!$M$2:$N$33,2,0))</f>
        <v>10</v>
      </c>
      <c r="F70" s="153">
        <f>VLOOKUP(C70,TE!$B:$T,18,0)</f>
        <v>125.9</v>
      </c>
      <c r="G70" s="65">
        <f>F70-Settings!$AA$6</f>
        <v>-39.963636363636368</v>
      </c>
      <c r="H70" s="129" t="str">
        <f>IF(ISERROR(VLOOKUP(C70,ESPNData!$CS:$CX,6,0)),"",IF((VLOOKUP(C70,ESPNData!$CS:$CX,6,0)="--"),"",VLOOKUP(C70,ESPNData!$CS:$CX,6,0)))</f>
        <v/>
      </c>
      <c r="I70" s="75">
        <f>IF(ISERROR(VLOOKUP(C70,ESPNData!$CZ:$DE,6,0)),"",IF((VLOOKUP(C70,ESPNData!$CZ:$DE,6,0)="--"),"",VLOOKUP(C70,ESPNData!$CZ:$DE,6,0)))</f>
        <v>1</v>
      </c>
      <c r="J70" s="69" t="str">
        <f>IF(ISERROR((VLOOKUP(C70,Taken!$K:$L,2,0)-H70)),"",(VLOOKUP(C70,Taken!$K:$L,2,0)-H70))</f>
        <v/>
      </c>
      <c r="K70" s="69">
        <f>MIN(K69,MAX(1,ROUND(((((G70-G$73)-Settings!$R$6)/(SUM(G70:G$73)-((G$73-Settings!$R$6)*((17+1)-A70))))*(Settings!$X$6-SUM(K$68:K69))),0)))</f>
        <v>2</v>
      </c>
      <c r="L70" s="43" t="str">
        <f>IF(ISERROR((VLOOKUP(C70,Taken!$K:$L,2,0)-K70)),"",(VLOOKUP(C70,Taken!$K:$L,2,0)-K70))</f>
        <v/>
      </c>
      <c r="M70" s="59">
        <f t="shared" si="9"/>
        <v>68</v>
      </c>
      <c r="N70" s="75" t="str">
        <f>IF(ISERROR(VLOOKUP(O70,Taken!$E:$E,1,0)),"",IF(ISERROR(VLOOKUP(O70,'Draft Board'!$AS:$AS,1,0)),"X","Y"))</f>
        <v/>
      </c>
      <c r="O70" s="75" t="str">
        <f>VLOOKUP(M70,RB!Z:AA,2,0)</f>
        <v>Jonathan Grimes</v>
      </c>
      <c r="P70" s="75" t="str">
        <f>VLOOKUP(O70,RB!$B:$C,2,0)</f>
        <v>HOU</v>
      </c>
      <c r="Q70" s="72">
        <f>IF((P70="FA"),"N/A",VLOOKUP(P70,Settings!$M$2:$N$33,2,0))</f>
        <v>10</v>
      </c>
      <c r="R70" s="153">
        <f>VLOOKUP(O70,RB!$B:$Y,24,0)</f>
        <v>49.9</v>
      </c>
      <c r="S70" s="65">
        <f>R70-Settings!$AA$4</f>
        <v>-155.29393939393935</v>
      </c>
      <c r="T70" s="129" t="str">
        <f>IF(ISERROR(VLOOKUP(O70,ESPNData!$CS:$CX,6,0)),"",IF((VLOOKUP(O70,ESPNData!$CS:$CX,6,0)="--"),"",VLOOKUP(O70,ESPNData!$CS:$CX,6,0)))</f>
        <v/>
      </c>
      <c r="U70" s="75" t="str">
        <f>IF(ISERROR(VLOOKUP(O70,ESPNData!$CZ:$DE,6,0)),"",IF((VLOOKUP(O70,ESPNData!$CZ:$DE,6,0)="--"),"",VLOOKUP(O70,ESPNData!$CZ:$DE,6,0)))</f>
        <v/>
      </c>
      <c r="V70" s="69" t="str">
        <f>IF(ISERROR((VLOOKUP(O70,Taken!$E:$F,2,0)-T70)),"",(VLOOKUP(O70,Taken!$E:$F,2,0)-T70))</f>
        <v/>
      </c>
      <c r="W70" s="69">
        <v>1</v>
      </c>
      <c r="X70" s="43" t="str">
        <f>IF(ISERROR((VLOOKUP(O70,Taken!$E:$F,2,0)-W70)),"",(VLOOKUP(O70,Taken!$E:$F,2,0)-W70))</f>
        <v/>
      </c>
      <c r="Y70" s="59">
        <f t="shared" si="10"/>
        <v>68</v>
      </c>
      <c r="Z70" s="75" t="str">
        <f>IF(ISERROR(VLOOKUP(AA70,Taken!$H:$H,1,0)),"",IF(ISERROR(VLOOKUP(AA70,'Draft Board'!$AS:$AS,1,0)),"X","Y"))</f>
        <v/>
      </c>
      <c r="AA70" s="75" t="str">
        <f>VLOOKUP(Y70,WR!X:Y,2,0)</f>
        <v>Markus Wheaton</v>
      </c>
      <c r="AB70" s="75" t="str">
        <f>VLOOKUP(AA70,WR!$B:$C,2,0)</f>
        <v>PIT</v>
      </c>
      <c r="AC70" s="72">
        <f>IF((AB70="FA"),"N/A",VLOOKUP(AB70,Settings!$M$2:$N$33,2,0))</f>
        <v>12</v>
      </c>
      <c r="AD70" s="153">
        <f>VLOOKUP(AA70,WR!$B:$W,22,0)</f>
        <v>78.5</v>
      </c>
      <c r="AE70" s="65">
        <f>AD70-Settings!$AA$5</f>
        <v>-122.5393939393939</v>
      </c>
      <c r="AF70" s="129">
        <f>IF(ISERROR(VLOOKUP(AA70,ESPNData!$CS:$CX,6,0)),"",IF((VLOOKUP(AA70,ESPNData!$CS:$CX,6,0)="--"),"",VLOOKUP(AA70,ESPNData!$CS:$CX,6,0)))</f>
        <v>1</v>
      </c>
      <c r="AG70" s="75">
        <f>IF(ISERROR(VLOOKUP(AA70,ESPNData!$CZ:$DE,6,0)),"",IF((VLOOKUP(AA70,ESPNData!$CZ:$DE,6,0)="--"),"",VLOOKUP(AA70,ESPNData!$CZ:$DE,6,0)))</f>
        <v>1</v>
      </c>
      <c r="AH70" s="69" t="str">
        <f>IF(ISERROR((VLOOKUP(AA70,Taken!$H:$I,2,0)-AF70)),"",(VLOOKUP(AA70,Taken!$H:$I,2,0)-AF70))</f>
        <v/>
      </c>
      <c r="AI70" s="69">
        <v>1</v>
      </c>
      <c r="AJ70" s="43" t="str">
        <f>IF(ISERROR((VLOOKUP(AA70,Taken!$H:$I,2,0)-AI70)),"",(VLOOKUP(AA70,Taken!$H:$I,2,0)-AI70))</f>
        <v/>
      </c>
      <c r="AK70" s="117"/>
      <c r="AL70" s="33"/>
      <c r="AM70" s="33"/>
      <c r="AN70" s="33"/>
      <c r="AO70" s="33"/>
      <c r="AP70" s="181"/>
      <c r="AQ70" s="33"/>
      <c r="AR70" s="111"/>
      <c r="AS70" s="33"/>
      <c r="AT70" s="33"/>
      <c r="AU70" s="181"/>
      <c r="AV70" s="33"/>
    </row>
    <row r="71" spans="1:48" ht="12.75" customHeight="1">
      <c r="A71" s="60">
        <f t="shared" si="8"/>
        <v>15</v>
      </c>
      <c r="B71" s="75" t="str">
        <f>IF(ISERROR(VLOOKUP(C71,Taken!$K:$K,1,0)),"",IF(ISERROR(VLOOKUP(C71,'Draft Board'!$AS:$AS,1,0)),"X","Y"))</f>
        <v/>
      </c>
      <c r="C71" s="75" t="str">
        <f>VLOOKUP(A71,TE!T:U,2,0)</f>
        <v>Heath Miller</v>
      </c>
      <c r="D71" s="72" t="str">
        <f>VLOOKUP(C71,TE!$B:$C,2,0)</f>
        <v>PIT</v>
      </c>
      <c r="E71" s="72">
        <f>IF((D71="FA"),"N/A",VLOOKUP(D71,Settings!$M$2:$N$33,2,0))</f>
        <v>12</v>
      </c>
      <c r="F71" s="153">
        <f>VLOOKUP(C71,TE!$B:$T,18,0)</f>
        <v>123.8</v>
      </c>
      <c r="G71" s="65">
        <f>F71-Settings!$AA$6</f>
        <v>-42.063636363636377</v>
      </c>
      <c r="H71" s="129" t="str">
        <f>IF(ISERROR(VLOOKUP(C71,ESPNData!$CS:$CX,6,0)),"",IF((VLOOKUP(C71,ESPNData!$CS:$CX,6,0)="--"),"",VLOOKUP(C71,ESPNData!$CS:$CX,6,0)))</f>
        <v/>
      </c>
      <c r="I71" s="75" t="str">
        <f>IF(ISERROR(VLOOKUP(C71,ESPNData!$CZ:$DE,6,0)),"",IF((VLOOKUP(C71,ESPNData!$CZ:$DE,6,0)="--"),"",VLOOKUP(C71,ESPNData!$CZ:$DE,6,0)))</f>
        <v/>
      </c>
      <c r="J71" s="69" t="str">
        <f>IF(ISERROR((VLOOKUP(C71,Taken!$K:$L,2,0)-H71)),"",(VLOOKUP(C71,Taken!$K:$L,2,0)-H71))</f>
        <v/>
      </c>
      <c r="K71" s="69">
        <f>MIN(K70,MAX(1,ROUND(((((G71-G$73)-Settings!$R$6)/(SUM(G71:G$73)-((G$73-Settings!$R$6)*((17+1)-A71))))*(Settings!$X$6-SUM(K$68:K70))),0)))</f>
        <v>2</v>
      </c>
      <c r="L71" s="43" t="str">
        <f>IF(ISERROR((VLOOKUP(C71,Taken!$K:$L,2,0)-K71)),"",(VLOOKUP(C71,Taken!$K:$L,2,0)-K71))</f>
        <v/>
      </c>
      <c r="M71" s="59">
        <f t="shared" si="9"/>
        <v>69</v>
      </c>
      <c r="N71" s="75" t="str">
        <f>IF(ISERROR(VLOOKUP(O71,Taken!$E:$E,1,0)),"",IF(ISERROR(VLOOKUP(O71,'Draft Board'!$AS:$AS,1,0)),"X","Y"))</f>
        <v/>
      </c>
      <c r="O71" s="75" t="str">
        <f>VLOOKUP(M71,RB!Z:AA,2,0)</f>
        <v>James White</v>
      </c>
      <c r="P71" s="75" t="str">
        <f>VLOOKUP(O71,RB!$B:$C,2,0)</f>
        <v>NE</v>
      </c>
      <c r="Q71" s="72">
        <f>IF((P71="FA"),"N/A",VLOOKUP(P71,Settings!$M$2:$N$33,2,0))</f>
        <v>10</v>
      </c>
      <c r="R71" s="153">
        <f>VLOOKUP(O71,RB!$B:$Y,24,0)</f>
        <v>49.7</v>
      </c>
      <c r="S71" s="65">
        <f>R71-Settings!$AA$4</f>
        <v>-155.49393939393934</v>
      </c>
      <c r="T71" s="129" t="str">
        <f>IF(ISERROR(VLOOKUP(O71,ESPNData!$CS:$CX,6,0)),"",IF((VLOOKUP(O71,ESPNData!$CS:$CX,6,0)="--"),"",VLOOKUP(O71,ESPNData!$CS:$CX,6,0)))</f>
        <v/>
      </c>
      <c r="U71" s="75" t="str">
        <f>IF(ISERROR(VLOOKUP(O71,ESPNData!$CZ:$DE,6,0)),"",IF((VLOOKUP(O71,ESPNData!$CZ:$DE,6,0)="--"),"",VLOOKUP(O71,ESPNData!$CZ:$DE,6,0)))</f>
        <v/>
      </c>
      <c r="V71" s="69" t="str">
        <f>IF(ISERROR((VLOOKUP(O71,Taken!$E:$F,2,0)-T71)),"",(VLOOKUP(O71,Taken!$E:$F,2,0)-T71))</f>
        <v/>
      </c>
      <c r="W71" s="69">
        <v>1</v>
      </c>
      <c r="X71" s="43" t="str">
        <f>IF(ISERROR((VLOOKUP(O71,Taken!$E:$F,2,0)-W71)),"",(VLOOKUP(O71,Taken!$E:$F,2,0)-W71))</f>
        <v/>
      </c>
      <c r="Y71" s="59">
        <f t="shared" si="10"/>
        <v>69</v>
      </c>
      <c r="Z71" s="75" t="str">
        <f>IF(ISERROR(VLOOKUP(AA71,Taken!$H:$H,1,0)),"",IF(ISERROR(VLOOKUP(AA71,'Draft Board'!$AS:$AS,1,0)),"X","Y"))</f>
        <v/>
      </c>
      <c r="AA71" s="75" t="str">
        <f>VLOOKUP(Y71,WR!X:Y,2,0)</f>
        <v>Andrew Hawkins</v>
      </c>
      <c r="AB71" s="75" t="str">
        <f>VLOOKUP(AA71,WR!$B:$C,2,0)</f>
        <v>CLE</v>
      </c>
      <c r="AC71" s="72">
        <f>IF((AB71="FA"),"N/A",VLOOKUP(AB71,Settings!$M$2:$N$33,2,0))</f>
        <v>4</v>
      </c>
      <c r="AD71" s="153">
        <f>VLOOKUP(AA71,WR!$B:$W,22,0)</f>
        <v>77.2</v>
      </c>
      <c r="AE71" s="65">
        <f>AD71-Settings!$AA$5</f>
        <v>-123.8393939393939</v>
      </c>
      <c r="AF71" s="129" t="str">
        <f>IF(ISERROR(VLOOKUP(AA71,ESPNData!$CS:$CX,6,0)),"",IF((VLOOKUP(AA71,ESPNData!$CS:$CX,6,0)="--"),"",VLOOKUP(AA71,ESPNData!$CS:$CX,6,0)))</f>
        <v/>
      </c>
      <c r="AG71" s="75">
        <f>IF(ISERROR(VLOOKUP(AA71,ESPNData!$CZ:$DE,6,0)),"",IF((VLOOKUP(AA71,ESPNData!$CZ:$DE,6,0)="--"),"",VLOOKUP(AA71,ESPNData!$CZ:$DE,6,0)))</f>
        <v>1</v>
      </c>
      <c r="AH71" s="69" t="str">
        <f>IF(ISERROR((VLOOKUP(AA71,Taken!$H:$I,2,0)-AF71)),"",(VLOOKUP(AA71,Taken!$H:$I,2,0)-AF71))</f>
        <v/>
      </c>
      <c r="AI71" s="69">
        <v>1</v>
      </c>
      <c r="AJ71" s="43" t="str">
        <f>IF(ISERROR((VLOOKUP(AA71,Taken!$H:$I,2,0)-AI71)),"",(VLOOKUP(AA71,Taken!$H:$I,2,0)-AI71))</f>
        <v/>
      </c>
      <c r="AK71" s="117"/>
      <c r="AL71" s="33"/>
      <c r="AM71" s="33"/>
      <c r="AN71" s="33"/>
      <c r="AO71" s="33"/>
      <c r="AP71" s="181"/>
      <c r="AQ71" s="33"/>
      <c r="AR71" s="111"/>
      <c r="AS71" s="33"/>
      <c r="AT71" s="33"/>
      <c r="AU71" s="181"/>
      <c r="AV71" s="33"/>
    </row>
    <row r="72" spans="1:48" ht="12.75" customHeight="1">
      <c r="A72" s="60">
        <f t="shared" si="8"/>
        <v>16</v>
      </c>
      <c r="B72" s="75" t="str">
        <f>IF(ISERROR(VLOOKUP(C72,Taken!$K:$K,1,0)),"",IF(ISERROR(VLOOKUP(C72,'Draft Board'!$AS:$AS,1,0)),"X","Y"))</f>
        <v/>
      </c>
      <c r="C72" s="75" t="str">
        <f>VLOOKUP(A72,TE!T:U,2,0)</f>
        <v>Delanie Walker</v>
      </c>
      <c r="D72" s="72" t="str">
        <f>VLOOKUP(C72,TE!$B:$C,2,0)</f>
        <v>TEN</v>
      </c>
      <c r="E72" s="72">
        <f>IF((D72="FA"),"N/A",VLOOKUP(D72,Settings!$M$2:$N$33,2,0))</f>
        <v>9</v>
      </c>
      <c r="F72" s="153">
        <f>VLOOKUP(C72,TE!$B:$T,18,0)</f>
        <v>121.9</v>
      </c>
      <c r="G72" s="65">
        <f>F72-Settings!$AA$6</f>
        <v>-43.963636363636368</v>
      </c>
      <c r="H72" s="129" t="str">
        <f>IF(ISERROR(VLOOKUP(C72,ESPNData!$CS:$CX,6,0)),"",IF((VLOOKUP(C72,ESPNData!$CS:$CX,6,0)="--"),"",VLOOKUP(C72,ESPNData!$CS:$CX,6,0)))</f>
        <v/>
      </c>
      <c r="I72" s="75">
        <f>IF(ISERROR(VLOOKUP(C72,ESPNData!$CZ:$DE,6,0)),"",IF((VLOOKUP(C72,ESPNData!$CZ:$DE,6,0)="--"),"",VLOOKUP(C72,ESPNData!$CZ:$DE,6,0)))</f>
        <v>1</v>
      </c>
      <c r="J72" s="69" t="str">
        <f>IF(ISERROR((VLOOKUP(C72,Taken!$K:$L,2,0)-H72)),"",(VLOOKUP(C72,Taken!$K:$L,2,0)-H72))</f>
        <v/>
      </c>
      <c r="K72" s="69">
        <f>MIN(K71,MAX(1,ROUND(((((G72-G$73)-Settings!$R$6)/(SUM(G72:G$73)-((G$73-Settings!$R$6)*((17+1)-A72))))*(Settings!$X$6-SUM(K$68:K71))),0)))</f>
        <v>2</v>
      </c>
      <c r="L72" s="43" t="str">
        <f>IF(ISERROR((VLOOKUP(C72,Taken!$K:$L,2,0)-K72)),"",(VLOOKUP(C72,Taken!$K:$L,2,0)-K72))</f>
        <v/>
      </c>
      <c r="M72" s="59">
        <f t="shared" si="9"/>
        <v>70</v>
      </c>
      <c r="N72" s="75" t="str">
        <f>IF(ISERROR(VLOOKUP(O72,Taken!$E:$E,1,0)),"",IF(ISERROR(VLOOKUP(O72,'Draft Board'!$AS:$AS,1,0)),"X","Y"))</f>
        <v/>
      </c>
      <c r="O72" s="75" t="str">
        <f>VLOOKUP(M72,RB!Z:AA,2,0)</f>
        <v>C.J. Anderson</v>
      </c>
      <c r="P72" s="75" t="str">
        <f>VLOOKUP(O72,RB!$B:$C,2,0)</f>
        <v>DEN</v>
      </c>
      <c r="Q72" s="72">
        <f>IF((P72="FA"),"N/A",VLOOKUP(P72,Settings!$M$2:$N$33,2,0))</f>
        <v>4</v>
      </c>
      <c r="R72" s="153">
        <f>VLOOKUP(O72,RB!$B:$Y,24,0)</f>
        <v>49.1</v>
      </c>
      <c r="S72" s="65">
        <f>R72-Settings!$AA$4</f>
        <v>-156.09393939393937</v>
      </c>
      <c r="T72" s="129">
        <f>IF(ISERROR(VLOOKUP(O72,ESPNData!$CS:$CX,6,0)),"",IF((VLOOKUP(O72,ESPNData!$CS:$CX,6,0)="--"),"",VLOOKUP(O72,ESPNData!$CS:$CX,6,0)))</f>
        <v>1</v>
      </c>
      <c r="U72" s="75" t="str">
        <f>IF(ISERROR(VLOOKUP(O72,ESPNData!$CZ:$DE,6,0)),"",IF((VLOOKUP(O72,ESPNData!$CZ:$DE,6,0)="--"),"",VLOOKUP(O72,ESPNData!$CZ:$DE,6,0)))</f>
        <v/>
      </c>
      <c r="V72" s="69" t="str">
        <f>IF(ISERROR((VLOOKUP(O72,Taken!$E:$F,2,0)-T72)),"",(VLOOKUP(O72,Taken!$E:$F,2,0)-T72))</f>
        <v/>
      </c>
      <c r="W72" s="69">
        <v>1</v>
      </c>
      <c r="X72" s="43" t="str">
        <f>IF(ISERROR((VLOOKUP(O72,Taken!$E:$F,2,0)-W72)),"",(VLOOKUP(O72,Taken!$E:$F,2,0)-W72))</f>
        <v/>
      </c>
      <c r="Y72" s="59">
        <f t="shared" si="10"/>
        <v>70</v>
      </c>
      <c r="Z72" s="75" t="str">
        <f>IF(ISERROR(VLOOKUP(AA72,Taken!$H:$H,1,0)),"",IF(ISERROR(VLOOKUP(AA72,'Draft Board'!$AS:$AS,1,0)),"X","Y"))</f>
        <v/>
      </c>
      <c r="AA72" s="75" t="str">
        <f>VLOOKUP(Y72,WR!X:Y,2,0)</f>
        <v>Marqise Lee</v>
      </c>
      <c r="AB72" s="75" t="str">
        <f>VLOOKUP(AA72,WR!$B:$C,2,0)</f>
        <v>JAC</v>
      </c>
      <c r="AC72" s="72">
        <f>IF((AB72="FA"),"N/A",VLOOKUP(AB72,Settings!$M$2:$N$33,2,0))</f>
        <v>11</v>
      </c>
      <c r="AD72" s="153">
        <f>VLOOKUP(AA72,WR!$B:$W,22,0)</f>
        <v>76.099999999999994</v>
      </c>
      <c r="AE72" s="65">
        <f>AD72-Settings!$AA$5</f>
        <v>-124.93939393939391</v>
      </c>
      <c r="AF72" s="129" t="str">
        <f>IF(ISERROR(VLOOKUP(AA72,ESPNData!$CS:$CX,6,0)),"",IF((VLOOKUP(AA72,ESPNData!$CS:$CX,6,0)="--"),"",VLOOKUP(AA72,ESPNData!$CS:$CX,6,0)))</f>
        <v/>
      </c>
      <c r="AG72" s="75" t="str">
        <f>IF(ISERROR(VLOOKUP(AA72,ESPNData!$CZ:$DE,6,0)),"",IF((VLOOKUP(AA72,ESPNData!$CZ:$DE,6,0)="--"),"",VLOOKUP(AA72,ESPNData!$CZ:$DE,6,0)))</f>
        <v/>
      </c>
      <c r="AH72" s="69" t="str">
        <f>IF(ISERROR((VLOOKUP(AA72,Taken!$H:$I,2,0)-AF72)),"",(VLOOKUP(AA72,Taken!$H:$I,2,0)-AF72))</f>
        <v/>
      </c>
      <c r="AI72" s="69">
        <v>1</v>
      </c>
      <c r="AJ72" s="43" t="str">
        <f>IF(ISERROR((VLOOKUP(AA72,Taken!$H:$I,2,0)-AI72)),"",(VLOOKUP(AA72,Taken!$H:$I,2,0)-AI72))</f>
        <v/>
      </c>
      <c r="AK72" s="117"/>
      <c r="AL72" s="33"/>
      <c r="AM72" s="33"/>
      <c r="AN72" s="33"/>
      <c r="AO72" s="33"/>
      <c r="AP72" s="181"/>
      <c r="AQ72" s="33"/>
      <c r="AR72" s="111"/>
      <c r="AS72" s="33"/>
      <c r="AT72" s="33"/>
      <c r="AU72" s="181"/>
      <c r="AV72" s="33"/>
    </row>
    <row r="73" spans="1:48" ht="12.75" customHeight="1">
      <c r="A73" s="60">
        <f t="shared" si="8"/>
        <v>17</v>
      </c>
      <c r="B73" s="75" t="str">
        <f>IF(ISERROR(VLOOKUP(C73,Taken!$K:$K,1,0)),"",IF(ISERROR(VLOOKUP(C73,'Draft Board'!$AS:$AS,1,0)),"X","Y"))</f>
        <v/>
      </c>
      <c r="C73" s="75" t="str">
        <f>VLOOKUP(A73,TE!T:U,2,0)</f>
        <v>Ladarius Green</v>
      </c>
      <c r="D73" s="72" t="str">
        <f>VLOOKUP(C73,TE!$B:$C,2,0)</f>
        <v>SD</v>
      </c>
      <c r="E73" s="72">
        <f>IF((D73="FA"),"N/A",VLOOKUP(D73,Settings!$M$2:$N$33,2,0))</f>
        <v>10</v>
      </c>
      <c r="F73" s="153">
        <f>VLOOKUP(C73,TE!$B:$T,18,0)</f>
        <v>114.8</v>
      </c>
      <c r="G73" s="65">
        <f>F73-Settings!$AA$6</f>
        <v>-51.063636363636377</v>
      </c>
      <c r="H73" s="129" t="str">
        <f>IF(ISERROR(VLOOKUP(C73,ESPNData!$CS:$CX,6,0)),"",IF((VLOOKUP(C73,ESPNData!$CS:$CX,6,0)="--"),"",VLOOKUP(C73,ESPNData!$CS:$CX,6,0)))</f>
        <v/>
      </c>
      <c r="I73" s="75" t="str">
        <f>IF(ISERROR(VLOOKUP(C73,ESPNData!$CZ:$DE,6,0)),"",IF((VLOOKUP(C73,ESPNData!$CZ:$DE,6,0)="--"),"",VLOOKUP(C73,ESPNData!$CZ:$DE,6,0)))</f>
        <v/>
      </c>
      <c r="J73" s="69" t="str">
        <f>IF(ISERROR((VLOOKUP(C73,Taken!$K:$L,2,0)-H73)),"",(VLOOKUP(C73,Taken!$K:$L,2,0)-H73))</f>
        <v/>
      </c>
      <c r="K73" s="69">
        <f>MIN(K72,MAX(1,ROUND(((((G73-G$73)-Settings!$R$6)/(SUM(G73:G$73)-((G$73-Settings!$R$6)*((17+1)-A73))))*(Settings!$X$6-SUM(K$68:K72))),0)))</f>
        <v>1</v>
      </c>
      <c r="L73" s="43" t="str">
        <f>IF(ISERROR((VLOOKUP(C73,Taken!$K:$L,2,0)-K73)),"",(VLOOKUP(C73,Taken!$K:$L,2,0)-K73))</f>
        <v/>
      </c>
      <c r="M73" s="59">
        <f t="shared" si="9"/>
        <v>71</v>
      </c>
      <c r="N73" s="75" t="str">
        <f>IF(ISERROR(VLOOKUP(O73,Taken!$E:$E,1,0)),"",IF(ISERROR(VLOOKUP(O73,'Draft Board'!$AS:$AS,1,0)),"X","Y"))</f>
        <v/>
      </c>
      <c r="O73" s="75" t="str">
        <f>VLOOKUP(M73,RB!Z:AA,2,0)</f>
        <v>Ahmad Bradshaw</v>
      </c>
      <c r="P73" s="75" t="str">
        <f>VLOOKUP(O73,RB!$B:$C,2,0)</f>
        <v>IND</v>
      </c>
      <c r="Q73" s="72">
        <f>IF((P73="FA"),"N/A",VLOOKUP(P73,Settings!$M$2:$N$33,2,0))</f>
        <v>10</v>
      </c>
      <c r="R73" s="153">
        <f>VLOOKUP(O73,RB!$B:$Y,24,0)</f>
        <v>47.9</v>
      </c>
      <c r="S73" s="65">
        <f>R73-Settings!$AA$4</f>
        <v>-157.29393939393935</v>
      </c>
      <c r="T73" s="129">
        <f>IF(ISERROR(VLOOKUP(O73,ESPNData!$CS:$CX,6,0)),"",IF((VLOOKUP(O73,ESPNData!$CS:$CX,6,0)="--"),"",VLOOKUP(O73,ESPNData!$CS:$CX,6,0)))</f>
        <v>1</v>
      </c>
      <c r="U73" s="75" t="str">
        <f>IF(ISERROR(VLOOKUP(O73,ESPNData!$CZ:$DE,6,0)),"",IF((VLOOKUP(O73,ESPNData!$CZ:$DE,6,0)="--"),"",VLOOKUP(O73,ESPNData!$CZ:$DE,6,0)))</f>
        <v/>
      </c>
      <c r="V73" s="69" t="str">
        <f>IF(ISERROR((VLOOKUP(O73,Taken!$E:$F,2,0)-T73)),"",(VLOOKUP(O73,Taken!$E:$F,2,0)-T73))</f>
        <v/>
      </c>
      <c r="W73" s="69">
        <v>1</v>
      </c>
      <c r="X73" s="43" t="str">
        <f>IF(ISERROR((VLOOKUP(O73,Taken!$E:$F,2,0)-W73)),"",(VLOOKUP(O73,Taken!$E:$F,2,0)-W73))</f>
        <v/>
      </c>
      <c r="Y73" s="59">
        <f t="shared" si="10"/>
        <v>71</v>
      </c>
      <c r="Z73" s="75" t="str">
        <f>IF(ISERROR(VLOOKUP(AA73,Taken!$H:$H,1,0)),"",IF(ISERROR(VLOOKUP(AA73,'Draft Board'!$AS:$AS,1,0)),"X","Y"))</f>
        <v/>
      </c>
      <c r="AA73" s="75" t="str">
        <f>VLOOKUP(Y73,WR!X:Y,2,0)</f>
        <v>Eddie Royal</v>
      </c>
      <c r="AB73" s="75" t="str">
        <f>VLOOKUP(AA73,WR!$B:$C,2,0)</f>
        <v>SD</v>
      </c>
      <c r="AC73" s="72">
        <f>IF((AB73="FA"),"N/A",VLOOKUP(AB73,Settings!$M$2:$N$33,2,0))</f>
        <v>10</v>
      </c>
      <c r="AD73" s="153">
        <f>VLOOKUP(AA73,WR!$B:$W,22,0)</f>
        <v>76</v>
      </c>
      <c r="AE73" s="65">
        <f>AD73-Settings!$AA$5</f>
        <v>-125.0393939393939</v>
      </c>
      <c r="AF73" s="129" t="str">
        <f>IF(ISERROR(VLOOKUP(AA73,ESPNData!$CS:$CX,6,0)),"",IF((VLOOKUP(AA73,ESPNData!$CS:$CX,6,0)="--"),"",VLOOKUP(AA73,ESPNData!$CS:$CX,6,0)))</f>
        <v/>
      </c>
      <c r="AG73" s="75" t="str">
        <f>IF(ISERROR(VLOOKUP(AA73,ESPNData!$CZ:$DE,6,0)),"",IF((VLOOKUP(AA73,ESPNData!$CZ:$DE,6,0)="--"),"",VLOOKUP(AA73,ESPNData!$CZ:$DE,6,0)))</f>
        <v/>
      </c>
      <c r="AH73" s="69" t="str">
        <f>IF(ISERROR((VLOOKUP(AA73,Taken!$H:$I,2,0)-AF73)),"",(VLOOKUP(AA73,Taken!$H:$I,2,0)-AF73))</f>
        <v/>
      </c>
      <c r="AI73" s="69">
        <v>1</v>
      </c>
      <c r="AJ73" s="43" t="str">
        <f>IF(ISERROR((VLOOKUP(AA73,Taken!$H:$I,2,0)-AI73)),"",(VLOOKUP(AA73,Taken!$H:$I,2,0)-AI73))</f>
        <v/>
      </c>
      <c r="AK73" s="117"/>
      <c r="AL73" s="33"/>
      <c r="AM73" s="33"/>
      <c r="AN73" s="33"/>
      <c r="AO73" s="33"/>
      <c r="AP73" s="181"/>
      <c r="AQ73" s="33"/>
      <c r="AR73" s="111"/>
      <c r="AS73" s="33"/>
      <c r="AT73" s="33"/>
      <c r="AU73" s="181"/>
      <c r="AV73" s="33"/>
    </row>
    <row r="74" spans="1:48" ht="12.75" customHeight="1">
      <c r="A74" s="114">
        <f t="shared" si="8"/>
        <v>18</v>
      </c>
      <c r="B74" s="75" t="str">
        <f>IF(ISERROR(VLOOKUP(C74,Taken!$K:$K,1,0)),"",IF(ISERROR(VLOOKUP(C74,'Draft Board'!$AS:$AS,1,0)),"X","Y"))</f>
        <v/>
      </c>
      <c r="C74" s="75" t="str">
        <f>VLOOKUP(A74,TE!T:U,2,0)</f>
        <v>Jared Cook</v>
      </c>
      <c r="D74" s="72" t="str">
        <f>VLOOKUP(C74,TE!$B:$C,2,0)</f>
        <v>STL</v>
      </c>
      <c r="E74" s="72">
        <f>IF((D74="FA"),"N/A",VLOOKUP(D74,Settings!$M$2:$N$33,2,0))</f>
        <v>4</v>
      </c>
      <c r="F74" s="153">
        <f>VLOOKUP(C74,TE!$B:$T,18,0)</f>
        <v>106.7</v>
      </c>
      <c r="G74" s="65">
        <f>F74-Settings!$AA$6</f>
        <v>-59.163636363636371</v>
      </c>
      <c r="H74" s="129" t="str">
        <f>IF(ISERROR(VLOOKUP(C74,ESPNData!$CS:$CX,6,0)),"",IF((VLOOKUP(C74,ESPNData!$CS:$CX,6,0)="--"),"",VLOOKUP(C74,ESPNData!$CS:$CX,6,0)))</f>
        <v/>
      </c>
      <c r="I74" s="75" t="str">
        <f>IF(ISERROR(VLOOKUP(C74,ESPNData!$CZ:$DE,6,0)),"",IF((VLOOKUP(C74,ESPNData!$CZ:$DE,6,0)="--"),"",VLOOKUP(C74,ESPNData!$CZ:$DE,6,0)))</f>
        <v/>
      </c>
      <c r="J74" s="69" t="str">
        <f>IF(ISERROR((VLOOKUP(C74,Taken!$K:$L,2,0)-H74)),"",(VLOOKUP(C74,Taken!$K:$L,2,0)-H74))</f>
        <v/>
      </c>
      <c r="K74" s="69">
        <v>1</v>
      </c>
      <c r="L74" s="43" t="str">
        <f>IF(ISERROR((VLOOKUP(C74,Taken!$K:$L,2,0)-K74)),"",(VLOOKUP(C74,Taken!$K:$L,2,0)-K74))</f>
        <v/>
      </c>
      <c r="M74" s="59">
        <f t="shared" si="9"/>
        <v>72</v>
      </c>
      <c r="N74" s="75" t="str">
        <f>IF(ISERROR(VLOOKUP(O74,Taken!$E:$E,1,0)),"",IF(ISERROR(VLOOKUP(O74,'Draft Board'!$AS:$AS,1,0)),"X","Y"))</f>
        <v/>
      </c>
      <c r="O74" s="75" t="str">
        <f>VLOOKUP(M74,RB!Z:AA,2,0)</f>
        <v>Latavius Murray</v>
      </c>
      <c r="P74" s="75" t="str">
        <f>VLOOKUP(O74,RB!$B:$C,2,0)</f>
        <v>OAK</v>
      </c>
      <c r="Q74" s="72">
        <f>IF((P74="FA"),"N/A",VLOOKUP(P74,Settings!$M$2:$N$33,2,0))</f>
        <v>5</v>
      </c>
      <c r="R74" s="153">
        <f>VLOOKUP(O74,RB!$B:$Y,24,0)</f>
        <v>41.8</v>
      </c>
      <c r="S74" s="65">
        <f>R74-Settings!$AA$4</f>
        <v>-163.39393939393938</v>
      </c>
      <c r="T74" s="129" t="str">
        <f>IF(ISERROR(VLOOKUP(O74,ESPNData!$CS:$CX,6,0)),"",IF((VLOOKUP(O74,ESPNData!$CS:$CX,6,0)="--"),"",VLOOKUP(O74,ESPNData!$CS:$CX,6,0)))</f>
        <v/>
      </c>
      <c r="U74" s="75" t="str">
        <f>IF(ISERROR(VLOOKUP(O74,ESPNData!$CZ:$DE,6,0)),"",IF((VLOOKUP(O74,ESPNData!$CZ:$DE,6,0)="--"),"",VLOOKUP(O74,ESPNData!$CZ:$DE,6,0)))</f>
        <v/>
      </c>
      <c r="V74" s="69" t="str">
        <f>IF(ISERROR((VLOOKUP(O74,Taken!$E:$F,2,0)-T74)),"",(VLOOKUP(O74,Taken!$E:$F,2,0)-T74))</f>
        <v/>
      </c>
      <c r="W74" s="69">
        <v>1</v>
      </c>
      <c r="X74" s="43" t="str">
        <f>IF(ISERROR((VLOOKUP(O74,Taken!$E:$F,2,0)-W74)),"",(VLOOKUP(O74,Taken!$E:$F,2,0)-W74))</f>
        <v/>
      </c>
      <c r="Y74" s="59">
        <f t="shared" si="10"/>
        <v>72</v>
      </c>
      <c r="Z74" s="75" t="str">
        <f>IF(ISERROR(VLOOKUP(AA74,Taken!$H:$H,1,0)),"",IF(ISERROR(VLOOKUP(AA74,'Draft Board'!$AS:$AS,1,0)),"X","Y"))</f>
        <v/>
      </c>
      <c r="AA74" s="75" t="str">
        <f>VLOOKUP(Y74,WR!X:Y,2,0)</f>
        <v>Kenny Britt</v>
      </c>
      <c r="AB74" s="75" t="str">
        <f>VLOOKUP(AA74,WR!$B:$C,2,0)</f>
        <v>STL</v>
      </c>
      <c r="AC74" s="72">
        <f>IF((AB74="FA"),"N/A",VLOOKUP(AB74,Settings!$M$2:$N$33,2,0))</f>
        <v>4</v>
      </c>
      <c r="AD74" s="153">
        <f>VLOOKUP(AA74,WR!$B:$W,22,0)</f>
        <v>72.5</v>
      </c>
      <c r="AE74" s="65">
        <f>AD74-Settings!$AA$5</f>
        <v>-128.5393939393939</v>
      </c>
      <c r="AF74" s="129" t="str">
        <f>IF(ISERROR(VLOOKUP(AA74,ESPNData!$CS:$CX,6,0)),"",IF((VLOOKUP(AA74,ESPNData!$CS:$CX,6,0)="--"),"",VLOOKUP(AA74,ESPNData!$CS:$CX,6,0)))</f>
        <v/>
      </c>
      <c r="AG74" s="75" t="str">
        <f>IF(ISERROR(VLOOKUP(AA74,ESPNData!$CZ:$DE,6,0)),"",IF((VLOOKUP(AA74,ESPNData!$CZ:$DE,6,0)="--"),"",VLOOKUP(AA74,ESPNData!$CZ:$DE,6,0)))</f>
        <v/>
      </c>
      <c r="AH74" s="69" t="str">
        <f>IF(ISERROR((VLOOKUP(AA74,Taken!$H:$I,2,0)-AF74)),"",(VLOOKUP(AA74,Taken!$H:$I,2,0)-AF74))</f>
        <v/>
      </c>
      <c r="AI74" s="69">
        <v>1</v>
      </c>
      <c r="AJ74" s="43" t="str">
        <f>IF(ISERROR((VLOOKUP(AA74,Taken!$H:$I,2,0)-AI74)),"",(VLOOKUP(AA74,Taken!$H:$I,2,0)-AI74))</f>
        <v/>
      </c>
      <c r="AK74" s="117"/>
      <c r="AL74" s="33"/>
      <c r="AM74" s="33"/>
      <c r="AN74" s="33"/>
      <c r="AO74" s="33"/>
      <c r="AP74" s="181"/>
      <c r="AQ74" s="33"/>
      <c r="AR74" s="111"/>
      <c r="AS74" s="33"/>
      <c r="AT74" s="33"/>
      <c r="AU74" s="181"/>
      <c r="AV74" s="33"/>
    </row>
    <row r="75" spans="1:48" ht="12.75" customHeight="1">
      <c r="A75" s="114">
        <f t="shared" si="8"/>
        <v>19</v>
      </c>
      <c r="B75" s="75" t="str">
        <f>IF(ISERROR(VLOOKUP(C75,Taken!$K:$K,1,0)),"",IF(ISERROR(VLOOKUP(C75,'Draft Board'!$AS:$AS,1,0)),"X","Y"))</f>
        <v/>
      </c>
      <c r="C75" s="75" t="str">
        <f>VLOOKUP(A75,TE!T:U,2,0)</f>
        <v>Dwayne Allen</v>
      </c>
      <c r="D75" s="72" t="str">
        <f>VLOOKUP(C75,TE!$B:$C,2,0)</f>
        <v>IND</v>
      </c>
      <c r="E75" s="72">
        <f>IF((D75="FA"),"N/A",VLOOKUP(D75,Settings!$M$2:$N$33,2,0))</f>
        <v>10</v>
      </c>
      <c r="F75" s="153">
        <f>VLOOKUP(C75,TE!$B:$T,18,0)</f>
        <v>104</v>
      </c>
      <c r="G75" s="65">
        <f>F75-Settings!$AA$6</f>
        <v>-61.863636363636374</v>
      </c>
      <c r="H75" s="129" t="str">
        <f>IF(ISERROR(VLOOKUP(C75,ESPNData!$CS:$CX,6,0)),"",IF((VLOOKUP(C75,ESPNData!$CS:$CX,6,0)="--"),"",VLOOKUP(C75,ESPNData!$CS:$CX,6,0)))</f>
        <v/>
      </c>
      <c r="I75" s="75" t="str">
        <f>IF(ISERROR(VLOOKUP(C75,ESPNData!$CZ:$DE,6,0)),"",IF((VLOOKUP(C75,ESPNData!$CZ:$DE,6,0)="--"),"",VLOOKUP(C75,ESPNData!$CZ:$DE,6,0)))</f>
        <v/>
      </c>
      <c r="J75" s="69" t="str">
        <f>IF(ISERROR((VLOOKUP(C75,Taken!$K:$L,2,0)-H75)),"",(VLOOKUP(C75,Taken!$K:$L,2,0)-H75))</f>
        <v/>
      </c>
      <c r="K75" s="69">
        <v>1</v>
      </c>
      <c r="L75" s="43" t="str">
        <f>IF(ISERROR((VLOOKUP(C75,Taken!$K:$L,2,0)-K75)),"",(VLOOKUP(C75,Taken!$K:$L,2,0)-K75))</f>
        <v/>
      </c>
      <c r="M75" s="114">
        <f t="shared" si="9"/>
        <v>73</v>
      </c>
      <c r="N75" s="75" t="str">
        <f>IF(ISERROR(VLOOKUP(O75,Taken!$E:$E,1,0)),"",IF(ISERROR(VLOOKUP(O75,'Draft Board'!$AS:$AS,1,0)),"X","Y"))</f>
        <v/>
      </c>
      <c r="O75" s="75" t="str">
        <f>VLOOKUP(M75,RB!Z:AA,2,0)</f>
        <v>Ka'Deem Carey</v>
      </c>
      <c r="P75" s="75" t="str">
        <f>VLOOKUP(O75,RB!$B:$C,2,0)</f>
        <v>CHI</v>
      </c>
      <c r="Q75" s="72">
        <f>IF((P75="FA"),"N/A",VLOOKUP(P75,Settings!$M$2:$N$33,2,0))</f>
        <v>9</v>
      </c>
      <c r="R75" s="153">
        <f>VLOOKUP(O75,RB!$B:$Y,24,0)</f>
        <v>41.8</v>
      </c>
      <c r="S75" s="65">
        <f>R75-Settings!$AA$4</f>
        <v>-163.39393939393938</v>
      </c>
      <c r="T75" s="129" t="str">
        <f>IF(ISERROR(VLOOKUP(O75,ESPNData!$CS:$CX,6,0)),"",IF((VLOOKUP(O75,ESPNData!$CS:$CX,6,0)="--"),"",VLOOKUP(O75,ESPNData!$CS:$CX,6,0)))</f>
        <v/>
      </c>
      <c r="U75" s="75" t="str">
        <f>IF(ISERROR(VLOOKUP(O75,ESPNData!$CZ:$DE,6,0)),"",IF((VLOOKUP(O75,ESPNData!$CZ:$DE,6,0)="--"),"",VLOOKUP(O75,ESPNData!$CZ:$DE,6,0)))</f>
        <v/>
      </c>
      <c r="V75" s="69" t="str">
        <f>IF(ISERROR((VLOOKUP(O75,Taken!$E:$F,2,0)-T75)),"",(VLOOKUP(O75,Taken!$E:$F,2,0)-T75))</f>
        <v/>
      </c>
      <c r="W75" s="69">
        <v>1</v>
      </c>
      <c r="X75" s="43" t="str">
        <f>IF(ISERROR((VLOOKUP(O75,Taken!$E:$F,2,0)-W75)),"",(VLOOKUP(O75,Taken!$E:$F,2,0)-W75))</f>
        <v/>
      </c>
      <c r="Y75" s="59">
        <f t="shared" si="10"/>
        <v>73</v>
      </c>
      <c r="Z75" s="75" t="str">
        <f>IF(ISERROR(VLOOKUP(AA75,Taken!$H:$H,1,0)),"",IF(ISERROR(VLOOKUP(AA75,'Draft Board'!$AS:$AS,1,0)),"X","Y"))</f>
        <v/>
      </c>
      <c r="AA75" s="75" t="str">
        <f>VLOOKUP(Y75,WR!X:Y,2,0)</f>
        <v>Jordan Matthews</v>
      </c>
      <c r="AB75" s="75" t="str">
        <f>VLOOKUP(AA75,WR!$B:$C,2,0)</f>
        <v>PHI</v>
      </c>
      <c r="AC75" s="72">
        <f>IF((AB75="FA"),"N/A",VLOOKUP(AB75,Settings!$M$2:$N$33,2,0))</f>
        <v>7</v>
      </c>
      <c r="AD75" s="153">
        <f>VLOOKUP(AA75,WR!$B:$W,22,0)</f>
        <v>72.099999999999994</v>
      </c>
      <c r="AE75" s="65">
        <f>AD75-Settings!$AA$5</f>
        <v>-128.93939393939391</v>
      </c>
      <c r="AF75" s="129" t="str">
        <f>IF(ISERROR(VLOOKUP(AA75,ESPNData!$CS:$CX,6,0)),"",IF((VLOOKUP(AA75,ESPNData!$CS:$CX,6,0)="--"),"",VLOOKUP(AA75,ESPNData!$CS:$CX,6,0)))</f>
        <v/>
      </c>
      <c r="AG75" s="75" t="str">
        <f>IF(ISERROR(VLOOKUP(AA75,ESPNData!$CZ:$DE,6,0)),"",IF((VLOOKUP(AA75,ESPNData!$CZ:$DE,6,0)="--"),"",VLOOKUP(AA75,ESPNData!$CZ:$DE,6,0)))</f>
        <v/>
      </c>
      <c r="AH75" s="69" t="str">
        <f>IF(ISERROR((VLOOKUP(AA75,Taken!$H:$I,2,0)-AF75)),"",(VLOOKUP(AA75,Taken!$H:$I,2,0)-AF75))</f>
        <v/>
      </c>
      <c r="AI75" s="69">
        <v>1</v>
      </c>
      <c r="AJ75" s="43" t="str">
        <f>IF(ISERROR((VLOOKUP(AA75,Taken!$H:$I,2,0)-AI75)),"",(VLOOKUP(AA75,Taken!$H:$I,2,0)-AI75))</f>
        <v/>
      </c>
      <c r="AK75" s="117"/>
      <c r="AL75" s="33"/>
      <c r="AM75" s="33"/>
      <c r="AN75" s="33"/>
      <c r="AO75" s="33"/>
      <c r="AP75" s="181"/>
      <c r="AQ75" s="33"/>
      <c r="AR75" s="111"/>
      <c r="AS75" s="33"/>
      <c r="AT75" s="33"/>
      <c r="AU75" s="181"/>
      <c r="AV75" s="33"/>
    </row>
    <row r="76" spans="1:48" ht="12.75" customHeight="1">
      <c r="A76" s="114">
        <f t="shared" si="8"/>
        <v>20</v>
      </c>
      <c r="B76" s="75" t="str">
        <f>IF(ISERROR(VLOOKUP(C76,Taken!$K:$K,1,0)),"",IF(ISERROR(VLOOKUP(C76,'Draft Board'!$AS:$AS,1,0)),"X","Y"))</f>
        <v/>
      </c>
      <c r="C76" s="75" t="str">
        <f>VLOOKUP(A76,TE!T:U,2,0)</f>
        <v>Eric Ebron</v>
      </c>
      <c r="D76" s="72" t="str">
        <f>VLOOKUP(C76,TE!$B:$C,2,0)</f>
        <v>DET</v>
      </c>
      <c r="E76" s="72">
        <f>IF((D76="FA"),"N/A",VLOOKUP(D76,Settings!$M$2:$N$33,2,0))</f>
        <v>9</v>
      </c>
      <c r="F76" s="153">
        <f>VLOOKUP(C76,TE!$B:$T,18,0)</f>
        <v>97.7</v>
      </c>
      <c r="G76" s="65">
        <f>F76-Settings!$AA$6</f>
        <v>-68.163636363636371</v>
      </c>
      <c r="H76" s="129" t="str">
        <f>IF(ISERROR(VLOOKUP(C76,ESPNData!$CS:$CX,6,0)),"",IF((VLOOKUP(C76,ESPNData!$CS:$CX,6,0)="--"),"",VLOOKUP(C76,ESPNData!$CS:$CX,6,0)))</f>
        <v/>
      </c>
      <c r="I76" s="75" t="str">
        <f>IF(ISERROR(VLOOKUP(C76,ESPNData!$CZ:$DE,6,0)),"",IF((VLOOKUP(C76,ESPNData!$CZ:$DE,6,0)="--"),"",VLOOKUP(C76,ESPNData!$CZ:$DE,6,0)))</f>
        <v/>
      </c>
      <c r="J76" s="69" t="str">
        <f>IF(ISERROR((VLOOKUP(C76,Taken!$K:$L,2,0)-H76)),"",(VLOOKUP(C76,Taken!$K:$L,2,0)-H76))</f>
        <v/>
      </c>
      <c r="K76" s="69">
        <v>1</v>
      </c>
      <c r="L76" s="43" t="str">
        <f>IF(ISERROR((VLOOKUP(C76,Taken!$K:$L,2,0)-K76)),"",(VLOOKUP(C76,Taken!$K:$L,2,0)-K76))</f>
        <v/>
      </c>
      <c r="M76" s="114">
        <f t="shared" si="9"/>
        <v>74</v>
      </c>
      <c r="N76" s="75" t="str">
        <f>IF(ISERROR(VLOOKUP(O76,Taken!$E:$E,1,0)),"",IF(ISERROR(VLOOKUP(O76,'Draft Board'!$AS:$AS,1,0)),"X","Y"))</f>
        <v/>
      </c>
      <c r="O76" s="75" t="str">
        <f>VLOOKUP(M76,RB!Z:AA,2,0)</f>
        <v>Jerick McKinnon</v>
      </c>
      <c r="P76" s="75" t="str">
        <f>VLOOKUP(O76,RB!$B:$C,2,0)</f>
        <v>MIN</v>
      </c>
      <c r="Q76" s="72">
        <f>IF((P76="FA"),"N/A",VLOOKUP(P76,Settings!$M$2:$N$33,2,0))</f>
        <v>10</v>
      </c>
      <c r="R76" s="153">
        <f>VLOOKUP(O76,RB!$B:$Y,24,0)</f>
        <v>41.4</v>
      </c>
      <c r="S76" s="65">
        <f>R76-Settings!$AA$4</f>
        <v>-163.79393939393935</v>
      </c>
      <c r="T76" s="129" t="str">
        <f>IF(ISERROR(VLOOKUP(O76,ESPNData!$CS:$CX,6,0)),"",IF((VLOOKUP(O76,ESPNData!$CS:$CX,6,0)="--"),"",VLOOKUP(O76,ESPNData!$CS:$CX,6,0)))</f>
        <v/>
      </c>
      <c r="U76" s="75" t="str">
        <f>IF(ISERROR(VLOOKUP(O76,ESPNData!$CZ:$DE,6,0)),"",IF((VLOOKUP(O76,ESPNData!$CZ:$DE,6,0)="--"),"",VLOOKUP(O76,ESPNData!$CZ:$DE,6,0)))</f>
        <v/>
      </c>
      <c r="V76" s="69" t="str">
        <f>IF(ISERROR((VLOOKUP(O76,Taken!$E:$F,2,0)-T76)),"",(VLOOKUP(O76,Taken!$E:$F,2,0)-T76))</f>
        <v/>
      </c>
      <c r="W76" s="69">
        <v>1</v>
      </c>
      <c r="X76" s="43" t="str">
        <f>IF(ISERROR((VLOOKUP(O76,Taken!$E:$F,2,0)-W76)),"",(VLOOKUP(O76,Taken!$E:$F,2,0)-W76))</f>
        <v/>
      </c>
      <c r="Y76" s="114">
        <f t="shared" si="10"/>
        <v>74</v>
      </c>
      <c r="Z76" s="75" t="str">
        <f>IF(ISERROR(VLOOKUP(AA76,Taken!$H:$H,1,0)),"",IF(ISERROR(VLOOKUP(AA76,'Draft Board'!$AS:$AS,1,0)),"X","Y"))</f>
        <v/>
      </c>
      <c r="AA76" s="75" t="str">
        <f>VLOOKUP(Y76,WR!X:Y,2,0)</f>
        <v>Chris Givens</v>
      </c>
      <c r="AB76" s="75" t="str">
        <f>VLOOKUP(AA76,WR!$B:$C,2,0)</f>
        <v>STL</v>
      </c>
      <c r="AC76" s="72">
        <f>IF((AB76="FA"),"N/A",VLOOKUP(AB76,Settings!$M$2:$N$33,2,0))</f>
        <v>4</v>
      </c>
      <c r="AD76" s="153">
        <f>VLOOKUP(AA76,WR!$B:$W,22,0)</f>
        <v>71.400000000000006</v>
      </c>
      <c r="AE76" s="65">
        <f>AD76-Settings!$AA$5</f>
        <v>-129.6393939393939</v>
      </c>
      <c r="AF76" s="129" t="str">
        <f>IF(ISERROR(VLOOKUP(AA76,ESPNData!$CS:$CX,6,0)),"",IF((VLOOKUP(AA76,ESPNData!$CS:$CX,6,0)="--"),"",VLOOKUP(AA76,ESPNData!$CS:$CX,6,0)))</f>
        <v/>
      </c>
      <c r="AG76" s="75" t="str">
        <f>IF(ISERROR(VLOOKUP(AA76,ESPNData!$CZ:$DE,6,0)),"",IF((VLOOKUP(AA76,ESPNData!$CZ:$DE,6,0)="--"),"",VLOOKUP(AA76,ESPNData!$CZ:$DE,6,0)))</f>
        <v/>
      </c>
      <c r="AH76" s="69" t="str">
        <f>IF(ISERROR((VLOOKUP(AA76,Taken!$H:$I,2,0)-AF76)),"",(VLOOKUP(AA76,Taken!$H:$I,2,0)-AF76))</f>
        <v/>
      </c>
      <c r="AI76" s="69">
        <v>1</v>
      </c>
      <c r="AJ76" s="43" t="str">
        <f>IF(ISERROR((VLOOKUP(AA76,Taken!$H:$I,2,0)-AI76)),"",(VLOOKUP(AA76,Taken!$H:$I,2,0)-AI76))</f>
        <v/>
      </c>
      <c r="AK76" s="117"/>
      <c r="AL76" s="33"/>
      <c r="AM76" s="33"/>
      <c r="AN76" s="33"/>
      <c r="AO76" s="33"/>
      <c r="AP76" s="181"/>
      <c r="AQ76" s="33"/>
      <c r="AR76" s="111"/>
      <c r="AS76" s="33"/>
      <c r="AT76" s="33"/>
      <c r="AU76" s="181"/>
      <c r="AV76" s="33"/>
    </row>
    <row r="77" spans="1:48" ht="12.75" customHeight="1">
      <c r="A77" s="114">
        <f t="shared" si="8"/>
        <v>21</v>
      </c>
      <c r="B77" s="75" t="str">
        <f>IF(ISERROR(VLOOKUP(C77,Taken!$K:$K,1,0)),"",IF(ISERROR(VLOOKUP(C77,'Draft Board'!$AS:$AS,1,0)),"X","Y"))</f>
        <v/>
      </c>
      <c r="C77" s="75" t="str">
        <f>VLOOKUP(A77,TE!T:U,2,0)</f>
        <v>Tyler Eifert</v>
      </c>
      <c r="D77" s="72" t="str">
        <f>VLOOKUP(C77,TE!$B:$C,2,0)</f>
        <v>CIN</v>
      </c>
      <c r="E77" s="72">
        <f>IF((D77="FA"),"N/A",VLOOKUP(D77,Settings!$M$2:$N$33,2,0))</f>
        <v>4</v>
      </c>
      <c r="F77" s="153">
        <f>VLOOKUP(C77,TE!$B:$T,18,0)</f>
        <v>95.6</v>
      </c>
      <c r="G77" s="65">
        <f>F77-Settings!$AA$6</f>
        <v>-70.26363636363638</v>
      </c>
      <c r="H77" s="129" t="str">
        <f>IF(ISERROR(VLOOKUP(C77,ESPNData!$CS:$CX,6,0)),"",IF((VLOOKUP(C77,ESPNData!$CS:$CX,6,0)="--"),"",VLOOKUP(C77,ESPNData!$CS:$CX,6,0)))</f>
        <v/>
      </c>
      <c r="I77" s="75" t="str">
        <f>IF(ISERROR(VLOOKUP(C77,ESPNData!$CZ:$DE,6,0)),"",IF((VLOOKUP(C77,ESPNData!$CZ:$DE,6,0)="--"),"",VLOOKUP(C77,ESPNData!$CZ:$DE,6,0)))</f>
        <v/>
      </c>
      <c r="J77" s="69" t="str">
        <f>IF(ISERROR((VLOOKUP(C77,Taken!$K:$L,2,0)-H77)),"",(VLOOKUP(C77,Taken!$K:$L,2,0)-H77))</f>
        <v/>
      </c>
      <c r="K77" s="69">
        <v>1</v>
      </c>
      <c r="L77" s="43" t="str">
        <f>IF(ISERROR((VLOOKUP(C77,Taken!$K:$L,2,0)-K77)),"",(VLOOKUP(C77,Taken!$K:$L,2,0)-K77))</f>
        <v/>
      </c>
      <c r="M77" s="114">
        <f t="shared" si="9"/>
        <v>75</v>
      </c>
      <c r="N77" s="75" t="str">
        <f>IF(ISERROR(VLOOKUP(O77,Taken!$E:$E,1,0)),"",IF(ISERROR(VLOOKUP(O77,'Draft Board'!$AS:$AS,1,0)),"X","Y"))</f>
        <v/>
      </c>
      <c r="O77" s="75" t="str">
        <f>VLOOKUP(M77,RB!Z:AA,2,0)</f>
        <v>Bryce Brown</v>
      </c>
      <c r="P77" s="75" t="str">
        <f>VLOOKUP(O77,RB!$B:$C,2,0)</f>
        <v>BUF</v>
      </c>
      <c r="Q77" s="72">
        <f>IF((P77="FA"),"N/A",VLOOKUP(P77,Settings!$M$2:$N$33,2,0))</f>
        <v>9</v>
      </c>
      <c r="R77" s="153">
        <f>VLOOKUP(O77,RB!$B:$Y,24,0)</f>
        <v>39.6</v>
      </c>
      <c r="S77" s="65">
        <f>R77-Settings!$AA$4</f>
        <v>-165.59393939393937</v>
      </c>
      <c r="T77" s="129" t="str">
        <f>IF(ISERROR(VLOOKUP(O77,ESPNData!$CS:$CX,6,0)),"",IF((VLOOKUP(O77,ESPNData!$CS:$CX,6,0)="--"),"",VLOOKUP(O77,ESPNData!$CS:$CX,6,0)))</f>
        <v/>
      </c>
      <c r="U77" s="75" t="str">
        <f>IF(ISERROR(VLOOKUP(O77,ESPNData!$CZ:$DE,6,0)),"",IF((VLOOKUP(O77,ESPNData!$CZ:$DE,6,0)="--"),"",VLOOKUP(O77,ESPNData!$CZ:$DE,6,0)))</f>
        <v/>
      </c>
      <c r="V77" s="69" t="str">
        <f>IF(ISERROR((VLOOKUP(O77,Taken!$E:$F,2,0)-T77)),"",(VLOOKUP(O77,Taken!$E:$F,2,0)-T77))</f>
        <v/>
      </c>
      <c r="W77" s="69">
        <v>1</v>
      </c>
      <c r="X77" s="43" t="str">
        <f>IF(ISERROR((VLOOKUP(O77,Taken!$E:$F,2,0)-W77)),"",(VLOOKUP(O77,Taken!$E:$F,2,0)-W77))</f>
        <v/>
      </c>
      <c r="Y77" s="114">
        <f t="shared" si="10"/>
        <v>75</v>
      </c>
      <c r="Z77" s="75" t="str">
        <f>IF(ISERROR(VLOOKUP(AA77,Taken!$H:$H,1,0)),"",IF(ISERROR(VLOOKUP(AA77,'Draft Board'!$AS:$AS,1,0)),"X","Y"))</f>
        <v/>
      </c>
      <c r="AA77" s="75" t="str">
        <f>VLOOKUP(Y77,WR!X:Y,2,0)</f>
        <v>Robert Woods</v>
      </c>
      <c r="AB77" s="75" t="str">
        <f>VLOOKUP(AA77,WR!$B:$C,2,0)</f>
        <v>BUF</v>
      </c>
      <c r="AC77" s="72">
        <f>IF((AB77="FA"),"N/A",VLOOKUP(AB77,Settings!$M$2:$N$33,2,0))</f>
        <v>9</v>
      </c>
      <c r="AD77" s="153">
        <f>VLOOKUP(AA77,WR!$B:$W,22,0)</f>
        <v>71.3</v>
      </c>
      <c r="AE77" s="65">
        <f>AD77-Settings!$AA$5</f>
        <v>-129.73939393939389</v>
      </c>
      <c r="AF77" s="129" t="str">
        <f>IF(ISERROR(VLOOKUP(AA77,ESPNData!$CS:$CX,6,0)),"",IF((VLOOKUP(AA77,ESPNData!$CS:$CX,6,0)="--"),"",VLOOKUP(AA77,ESPNData!$CS:$CX,6,0)))</f>
        <v/>
      </c>
      <c r="AG77" s="75" t="str">
        <f>IF(ISERROR(VLOOKUP(AA77,ESPNData!$CZ:$DE,6,0)),"",IF((VLOOKUP(AA77,ESPNData!$CZ:$DE,6,0)="--"),"",VLOOKUP(AA77,ESPNData!$CZ:$DE,6,0)))</f>
        <v/>
      </c>
      <c r="AH77" s="69" t="str">
        <f>IF(ISERROR((VLOOKUP(AA77,Taken!$H:$I,2,0)-AF77)),"",(VLOOKUP(AA77,Taken!$H:$I,2,0)-AF77))</f>
        <v/>
      </c>
      <c r="AI77" s="69">
        <v>1</v>
      </c>
      <c r="AJ77" s="43" t="str">
        <f>IF(ISERROR((VLOOKUP(AA77,Taken!$H:$I,2,0)-AI77)),"",(VLOOKUP(AA77,Taken!$H:$I,2,0)-AI77))</f>
        <v/>
      </c>
      <c r="AK77" s="117"/>
      <c r="AL77" s="33"/>
      <c r="AM77" s="33"/>
      <c r="AN77" s="33"/>
      <c r="AO77" s="33"/>
      <c r="AP77" s="181"/>
      <c r="AQ77" s="33"/>
      <c r="AR77" s="111"/>
      <c r="AS77" s="33"/>
      <c r="AT77" s="33"/>
      <c r="AU77" s="181"/>
      <c r="AV77" s="33"/>
    </row>
    <row r="78" spans="1:48" ht="12.75" customHeight="1">
      <c r="A78" s="114">
        <f t="shared" si="8"/>
        <v>22</v>
      </c>
      <c r="B78" s="75" t="str">
        <f>IF(ISERROR(VLOOKUP(C78,Taken!$K:$K,1,0)),"",IF(ISERROR(VLOOKUP(C78,'Draft Board'!$AS:$AS,1,0)),"X","Y"))</f>
        <v/>
      </c>
      <c r="C78" s="75" t="str">
        <f>VLOOKUP(A78,TE!T:U,2,0)</f>
        <v>Garrett Graham</v>
      </c>
      <c r="D78" s="72" t="str">
        <f>VLOOKUP(C78,TE!$B:$C,2,0)</f>
        <v>HOU</v>
      </c>
      <c r="E78" s="72">
        <f>IF((D78="FA"),"N/A",VLOOKUP(D78,Settings!$M$2:$N$33,2,0))</f>
        <v>10</v>
      </c>
      <c r="F78" s="153">
        <f>VLOOKUP(C78,TE!$B:$T,18,0)</f>
        <v>94.5</v>
      </c>
      <c r="G78" s="65">
        <f>F78-Settings!$AA$6</f>
        <v>-71.363636363636374</v>
      </c>
      <c r="H78" s="129" t="str">
        <f>IF(ISERROR(VLOOKUP(C78,ESPNData!$CS:$CX,6,0)),"",IF((VLOOKUP(C78,ESPNData!$CS:$CX,6,0)="--"),"",VLOOKUP(C78,ESPNData!$CS:$CX,6,0)))</f>
        <v/>
      </c>
      <c r="I78" s="75" t="str">
        <f>IF(ISERROR(VLOOKUP(C78,ESPNData!$CZ:$DE,6,0)),"",IF((VLOOKUP(C78,ESPNData!$CZ:$DE,6,0)="--"),"",VLOOKUP(C78,ESPNData!$CZ:$DE,6,0)))</f>
        <v/>
      </c>
      <c r="J78" s="69" t="str">
        <f>IF(ISERROR((VLOOKUP(C78,Taken!$K:$L,2,0)-H78)),"",(VLOOKUP(C78,Taken!$K:$L,2,0)-H78))</f>
        <v/>
      </c>
      <c r="K78" s="69">
        <v>1</v>
      </c>
      <c r="L78" s="43" t="str">
        <f>IF(ISERROR((VLOOKUP(C78,Taken!$K:$L,2,0)-K78)),"",(VLOOKUP(C78,Taken!$K:$L,2,0)-K78))</f>
        <v/>
      </c>
      <c r="M78" s="114">
        <f t="shared" si="9"/>
        <v>76</v>
      </c>
      <c r="N78" s="75" t="str">
        <f>IF(ISERROR(VLOOKUP(O78,Taken!$E:$E,1,0)),"",IF(ISERROR(VLOOKUP(O78,'Draft Board'!$AS:$AS,1,0)),"X","Y"))</f>
        <v/>
      </c>
      <c r="O78" s="75" t="str">
        <f>VLOOKUP(M78,RB!Z:AA,2,0)</f>
        <v>Bobby Rainey</v>
      </c>
      <c r="P78" s="75" t="str">
        <f>VLOOKUP(O78,RB!$B:$C,2,0)</f>
        <v>TB</v>
      </c>
      <c r="Q78" s="72">
        <f>IF((P78="FA"),"N/A",VLOOKUP(P78,Settings!$M$2:$N$33,2,0))</f>
        <v>7</v>
      </c>
      <c r="R78" s="153">
        <f>VLOOKUP(O78,RB!$B:$Y,24,0)</f>
        <v>35.799999999999997</v>
      </c>
      <c r="S78" s="65">
        <f>R78-Settings!$AA$4</f>
        <v>-169.39393939393938</v>
      </c>
      <c r="T78" s="129" t="str">
        <f>IF(ISERROR(VLOOKUP(O78,ESPNData!$CS:$CX,6,0)),"",IF((VLOOKUP(O78,ESPNData!$CS:$CX,6,0)="--"),"",VLOOKUP(O78,ESPNData!$CS:$CX,6,0)))</f>
        <v/>
      </c>
      <c r="U78" s="75" t="str">
        <f>IF(ISERROR(VLOOKUP(O78,ESPNData!$CZ:$DE,6,0)),"",IF((VLOOKUP(O78,ESPNData!$CZ:$DE,6,0)="--"),"",VLOOKUP(O78,ESPNData!$CZ:$DE,6,0)))</f>
        <v/>
      </c>
      <c r="V78" s="69" t="str">
        <f>IF(ISERROR((VLOOKUP(O78,Taken!$E:$F,2,0)-T78)),"",(VLOOKUP(O78,Taken!$E:$F,2,0)-T78))</f>
        <v/>
      </c>
      <c r="W78" s="69">
        <v>1</v>
      </c>
      <c r="X78" s="43" t="str">
        <f>IF(ISERROR((VLOOKUP(O78,Taken!$E:$F,2,0)-W78)),"",(VLOOKUP(O78,Taken!$E:$F,2,0)-W78))</f>
        <v/>
      </c>
      <c r="Y78" s="114">
        <f t="shared" si="10"/>
        <v>76</v>
      </c>
      <c r="Z78" s="75" t="str">
        <f>IF(ISERROR(VLOOKUP(AA78,Taken!$H:$H,1,0)),"",IF(ISERROR(VLOOKUP(AA78,'Draft Board'!$AS:$AS,1,0)),"X","Y"))</f>
        <v/>
      </c>
      <c r="AA78" s="75" t="str">
        <f>VLOOKUP(Y78,WR!X:Y,2,0)</f>
        <v>Malcom Floyd</v>
      </c>
      <c r="AB78" s="75" t="str">
        <f>VLOOKUP(AA78,WR!$B:$C,2,0)</f>
        <v>SD</v>
      </c>
      <c r="AC78" s="72">
        <f>IF((AB78="FA"),"N/A",VLOOKUP(AB78,Settings!$M$2:$N$33,2,0))</f>
        <v>10</v>
      </c>
      <c r="AD78" s="153">
        <f>VLOOKUP(AA78,WR!$B:$W,22,0)</f>
        <v>70</v>
      </c>
      <c r="AE78" s="65">
        <f>AD78-Settings!$AA$5</f>
        <v>-131.0393939393939</v>
      </c>
      <c r="AF78" s="129" t="str">
        <f>IF(ISERROR(VLOOKUP(AA78,ESPNData!$CS:$CX,6,0)),"",IF((VLOOKUP(AA78,ESPNData!$CS:$CX,6,0)="--"),"",VLOOKUP(AA78,ESPNData!$CS:$CX,6,0)))</f>
        <v/>
      </c>
      <c r="AG78" s="75" t="str">
        <f>IF(ISERROR(VLOOKUP(AA78,ESPNData!$CZ:$DE,6,0)),"",IF((VLOOKUP(AA78,ESPNData!$CZ:$DE,6,0)="--"),"",VLOOKUP(AA78,ESPNData!$CZ:$DE,6,0)))</f>
        <v/>
      </c>
      <c r="AH78" s="69" t="str">
        <f>IF(ISERROR((VLOOKUP(AA78,Taken!$H:$I,2,0)-AF78)),"",(VLOOKUP(AA78,Taken!$H:$I,2,0)-AF78))</f>
        <v/>
      </c>
      <c r="AI78" s="69">
        <v>1</v>
      </c>
      <c r="AJ78" s="43" t="str">
        <f>IF(ISERROR((VLOOKUP(AA78,Taken!$H:$I,2,0)-AI78)),"",(VLOOKUP(AA78,Taken!$H:$I,2,0)-AI78))</f>
        <v/>
      </c>
      <c r="AK78" s="117"/>
      <c r="AL78" s="33"/>
      <c r="AM78" s="33"/>
      <c r="AN78" s="33"/>
      <c r="AO78" s="33"/>
      <c r="AP78" s="181"/>
      <c r="AQ78" s="33"/>
      <c r="AR78" s="111"/>
      <c r="AS78" s="33"/>
      <c r="AT78" s="33"/>
      <c r="AU78" s="181"/>
      <c r="AV78" s="33"/>
    </row>
    <row r="79" spans="1:48" ht="12.75" customHeight="1">
      <c r="A79" s="114">
        <f t="shared" si="8"/>
        <v>23</v>
      </c>
      <c r="B79" s="75" t="str">
        <f>IF(ISERROR(VLOOKUP(C79,Taken!$K:$K,1,0)),"",IF(ISERROR(VLOOKUP(C79,'Draft Board'!$AS:$AS,1,0)),"X","Y"))</f>
        <v/>
      </c>
      <c r="C79" s="75" t="str">
        <f>VLOOKUP(A79,TE!T:U,2,0)</f>
        <v>Scott Chandler</v>
      </c>
      <c r="D79" s="72" t="str">
        <f>VLOOKUP(C79,TE!$B:$C,2,0)</f>
        <v>BUF</v>
      </c>
      <c r="E79" s="72">
        <f>IF((D79="FA"),"N/A",VLOOKUP(D79,Settings!$M$2:$N$33,2,0))</f>
        <v>9</v>
      </c>
      <c r="F79" s="153">
        <f>VLOOKUP(C79,TE!$B:$T,18,0)</f>
        <v>92.1</v>
      </c>
      <c r="G79" s="65">
        <f>F79-Settings!$AA$6</f>
        <v>-73.76363636363638</v>
      </c>
      <c r="H79" s="129" t="str">
        <f>IF(ISERROR(VLOOKUP(C79,ESPNData!$CS:$CX,6,0)),"",IF((VLOOKUP(C79,ESPNData!$CS:$CX,6,0)="--"),"",VLOOKUP(C79,ESPNData!$CS:$CX,6,0)))</f>
        <v/>
      </c>
      <c r="I79" s="75" t="str">
        <f>IF(ISERROR(VLOOKUP(C79,ESPNData!$CZ:$DE,6,0)),"",IF((VLOOKUP(C79,ESPNData!$CZ:$DE,6,0)="--"),"",VLOOKUP(C79,ESPNData!$CZ:$DE,6,0)))</f>
        <v/>
      </c>
      <c r="J79" s="69" t="str">
        <f>IF(ISERROR((VLOOKUP(C79,Taken!$K:$L,2,0)-H79)),"",(VLOOKUP(C79,Taken!$K:$L,2,0)-H79))</f>
        <v/>
      </c>
      <c r="K79" s="69">
        <v>1</v>
      </c>
      <c r="L79" s="43" t="str">
        <f>IF(ISERROR((VLOOKUP(C79,Taken!$K:$L,2,0)-K79)),"",(VLOOKUP(C79,Taken!$K:$L,2,0)-K79))</f>
        <v/>
      </c>
      <c r="M79" s="114">
        <f t="shared" si="9"/>
        <v>77</v>
      </c>
      <c r="N79" s="75" t="str">
        <f>IF(ISERROR(VLOOKUP(O79,Taken!$E:$E,1,0)),"",IF(ISERROR(VLOOKUP(O79,'Draft Board'!$AS:$AS,1,0)),"X","Y"))</f>
        <v/>
      </c>
      <c r="O79" s="75" t="str">
        <f>VLOOKUP(M79,RB!Z:AA,2,0)</f>
        <v>Travaris Cadet</v>
      </c>
      <c r="P79" s="75" t="str">
        <f>VLOOKUP(O79,RB!$B:$C,2,0)</f>
        <v>NO</v>
      </c>
      <c r="Q79" s="72">
        <f>IF((P79="FA"),"N/A",VLOOKUP(P79,Settings!$M$2:$N$33,2,0))</f>
        <v>6</v>
      </c>
      <c r="R79" s="153">
        <f>VLOOKUP(O79,RB!$B:$Y,24,0)</f>
        <v>35.799999999999997</v>
      </c>
      <c r="S79" s="65">
        <f>R79-Settings!$AA$4</f>
        <v>-169.39393939393938</v>
      </c>
      <c r="T79" s="129" t="str">
        <f>IF(ISERROR(VLOOKUP(O79,ESPNData!$CS:$CX,6,0)),"",IF((VLOOKUP(O79,ESPNData!$CS:$CX,6,0)="--"),"",VLOOKUP(O79,ESPNData!$CS:$CX,6,0)))</f>
        <v/>
      </c>
      <c r="U79" s="75" t="str">
        <f>IF(ISERROR(VLOOKUP(O79,ESPNData!$CZ:$DE,6,0)),"",IF((VLOOKUP(O79,ESPNData!$CZ:$DE,6,0)="--"),"",VLOOKUP(O79,ESPNData!$CZ:$DE,6,0)))</f>
        <v/>
      </c>
      <c r="V79" s="69" t="str">
        <f>IF(ISERROR((VLOOKUP(O79,Taken!$E:$F,2,0)-T79)),"",(VLOOKUP(O79,Taken!$E:$F,2,0)-T79))</f>
        <v/>
      </c>
      <c r="W79" s="69">
        <v>1</v>
      </c>
      <c r="X79" s="43" t="str">
        <f>IF(ISERROR((VLOOKUP(O79,Taken!$E:$F,2,0)-W79)),"",(VLOOKUP(O79,Taken!$E:$F,2,0)-W79))</f>
        <v/>
      </c>
      <c r="Y79" s="114">
        <f t="shared" si="10"/>
        <v>77</v>
      </c>
      <c r="Z79" s="75" t="str">
        <f>IF(ISERROR(VLOOKUP(AA79,Taken!$H:$H,1,0)),"",IF(ISERROR(VLOOKUP(AA79,'Draft Board'!$AS:$AS,1,0)),"X","Y"))</f>
        <v/>
      </c>
      <c r="AA79" s="75" t="str">
        <f>VLOOKUP(Y79,WR!X:Y,2,0)</f>
        <v>Marvin Jones</v>
      </c>
      <c r="AB79" s="75" t="str">
        <f>VLOOKUP(AA79,WR!$B:$C,2,0)</f>
        <v>CIN</v>
      </c>
      <c r="AC79" s="72">
        <f>IF((AB79="FA"),"N/A",VLOOKUP(AB79,Settings!$M$2:$N$33,2,0))</f>
        <v>4</v>
      </c>
      <c r="AD79" s="153">
        <f>VLOOKUP(AA79,WR!$B:$W,22,0)</f>
        <v>69.599999999999994</v>
      </c>
      <c r="AE79" s="65">
        <f>AD79-Settings!$AA$5</f>
        <v>-131.43939393939391</v>
      </c>
      <c r="AF79" s="129" t="str">
        <f>IF(ISERROR(VLOOKUP(AA79,ESPNData!$CS:$CX,6,0)),"",IF((VLOOKUP(AA79,ESPNData!$CS:$CX,6,0)="--"),"",VLOOKUP(AA79,ESPNData!$CS:$CX,6,0)))</f>
        <v/>
      </c>
      <c r="AG79" s="75" t="str">
        <f>IF(ISERROR(VLOOKUP(AA79,ESPNData!$CZ:$DE,6,0)),"",IF((VLOOKUP(AA79,ESPNData!$CZ:$DE,6,0)="--"),"",VLOOKUP(AA79,ESPNData!$CZ:$DE,6,0)))</f>
        <v/>
      </c>
      <c r="AH79" s="69" t="str">
        <f>IF(ISERROR((VLOOKUP(AA79,Taken!$H:$I,2,0)-AF79)),"",(VLOOKUP(AA79,Taken!$H:$I,2,0)-AF79))</f>
        <v/>
      </c>
      <c r="AI79" s="69">
        <v>1</v>
      </c>
      <c r="AJ79" s="43" t="str">
        <f>IF(ISERROR((VLOOKUP(AA79,Taken!$H:$I,2,0)-AI79)),"",(VLOOKUP(AA79,Taken!$H:$I,2,0)-AI79))</f>
        <v/>
      </c>
      <c r="AK79" s="117"/>
      <c r="AL79" s="33"/>
      <c r="AM79" s="33"/>
      <c r="AN79" s="33"/>
      <c r="AO79" s="33"/>
      <c r="AP79" s="181"/>
      <c r="AQ79" s="33"/>
      <c r="AR79" s="111"/>
      <c r="AS79" s="33"/>
      <c r="AT79" s="33"/>
      <c r="AU79" s="181"/>
      <c r="AV79" s="33"/>
    </row>
    <row r="80" spans="1:48" ht="12.75" customHeight="1">
      <c r="A80" s="114">
        <f t="shared" si="8"/>
        <v>24</v>
      </c>
      <c r="B80" s="75" t="str">
        <f>IF(ISERROR(VLOOKUP(C80,Taken!$K:$K,1,0)),"",IF(ISERROR(VLOOKUP(C80,'Draft Board'!$AS:$AS,1,0)),"X","Y"))</f>
        <v/>
      </c>
      <c r="C80" s="75" t="str">
        <f>VLOOKUP(A80,TE!T:U,2,0)</f>
        <v>Marcedes Lewis</v>
      </c>
      <c r="D80" s="72" t="str">
        <f>VLOOKUP(C80,TE!$B:$C,2,0)</f>
        <v>JAC</v>
      </c>
      <c r="E80" s="72">
        <f>IF((D80="FA"),"N/A",VLOOKUP(D80,Settings!$M$2:$N$33,2,0))</f>
        <v>11</v>
      </c>
      <c r="F80" s="153">
        <f>VLOOKUP(C80,TE!$B:$T,18,0)</f>
        <v>86.5</v>
      </c>
      <c r="G80" s="65">
        <f>F80-Settings!$AA$6</f>
        <v>-79.363636363636374</v>
      </c>
      <c r="H80" s="129" t="str">
        <f>IF(ISERROR(VLOOKUP(C80,ESPNData!$CS:$CX,6,0)),"",IF((VLOOKUP(C80,ESPNData!$CS:$CX,6,0)="--"),"",VLOOKUP(C80,ESPNData!$CS:$CX,6,0)))</f>
        <v/>
      </c>
      <c r="I80" s="75" t="str">
        <f>IF(ISERROR(VLOOKUP(C80,ESPNData!$CZ:$DE,6,0)),"",IF((VLOOKUP(C80,ESPNData!$CZ:$DE,6,0)="--"),"",VLOOKUP(C80,ESPNData!$CZ:$DE,6,0)))</f>
        <v/>
      </c>
      <c r="J80" s="69" t="str">
        <f>IF(ISERROR((VLOOKUP(C80,Taken!$K:$L,2,0)-H80)),"",(VLOOKUP(C80,Taken!$K:$L,2,0)-H80))</f>
        <v/>
      </c>
      <c r="K80" s="69">
        <v>1</v>
      </c>
      <c r="L80" s="43" t="str">
        <f>IF(ISERROR((VLOOKUP(C80,Taken!$K:$L,2,0)-K80)),"",(VLOOKUP(C80,Taken!$K:$L,2,0)-K80))</f>
        <v/>
      </c>
      <c r="M80" s="114">
        <f t="shared" si="9"/>
        <v>78</v>
      </c>
      <c r="N80" s="75" t="str">
        <f>IF(ISERROR(VLOOKUP(O80,Taken!$E:$E,1,0)),"",IF(ISERROR(VLOOKUP(O80,'Draft Board'!$AS:$AS,1,0)),"X","Y"))</f>
        <v/>
      </c>
      <c r="O80" s="75" t="str">
        <f>VLOOKUP(M80,RB!Z:AA,2,0)</f>
        <v>Brandon Bolden</v>
      </c>
      <c r="P80" s="75" t="str">
        <f>VLOOKUP(O80,RB!$B:$C,2,0)</f>
        <v>NE</v>
      </c>
      <c r="Q80" s="72">
        <f>IF((P80="FA"),"N/A",VLOOKUP(P80,Settings!$M$2:$N$33,2,0))</f>
        <v>10</v>
      </c>
      <c r="R80" s="153">
        <f>VLOOKUP(O80,RB!$B:$Y,24,0)</f>
        <v>34.299999999999997</v>
      </c>
      <c r="S80" s="65">
        <f>R80-Settings!$AA$4</f>
        <v>-170.89393939393938</v>
      </c>
      <c r="T80" s="129" t="str">
        <f>IF(ISERROR(VLOOKUP(O80,ESPNData!$CS:$CX,6,0)),"",IF((VLOOKUP(O80,ESPNData!$CS:$CX,6,0)="--"),"",VLOOKUP(O80,ESPNData!$CS:$CX,6,0)))</f>
        <v/>
      </c>
      <c r="U80" s="75" t="str">
        <f>IF(ISERROR(VLOOKUP(O80,ESPNData!$CZ:$DE,6,0)),"",IF((VLOOKUP(O80,ESPNData!$CZ:$DE,6,0)="--"),"",VLOOKUP(O80,ESPNData!$CZ:$DE,6,0)))</f>
        <v/>
      </c>
      <c r="V80" s="69" t="str">
        <f>IF(ISERROR((VLOOKUP(O80,Taken!$E:$F,2,0)-T80)),"",(VLOOKUP(O80,Taken!$E:$F,2,0)-T80))</f>
        <v/>
      </c>
      <c r="W80" s="69">
        <v>1</v>
      </c>
      <c r="X80" s="43" t="str">
        <f>IF(ISERROR((VLOOKUP(O80,Taken!$E:$F,2,0)-W80)),"",(VLOOKUP(O80,Taken!$E:$F,2,0)-W80))</f>
        <v/>
      </c>
      <c r="Y80" s="114">
        <f t="shared" si="10"/>
        <v>78</v>
      </c>
      <c r="Z80" s="75" t="str">
        <f>IF(ISERROR(VLOOKUP(AA80,Taken!$H:$H,1,0)),"",IF(ISERROR(VLOOKUP(AA80,'Draft Board'!$AS:$AS,1,0)),"X","Y"))</f>
        <v/>
      </c>
      <c r="AA80" s="75" t="str">
        <f>VLOOKUP(Y80,WR!X:Y,2,0)</f>
        <v>Jason Avant</v>
      </c>
      <c r="AB80" s="75" t="str">
        <f>VLOOKUP(AA80,WR!$B:$C,2,0)</f>
        <v>CAR</v>
      </c>
      <c r="AC80" s="72">
        <f>IF((AB80="FA"),"N/A",VLOOKUP(AB80,Settings!$M$2:$N$33,2,0))</f>
        <v>12</v>
      </c>
      <c r="AD80" s="153">
        <f>VLOOKUP(AA80,WR!$B:$W,22,0)</f>
        <v>69.400000000000006</v>
      </c>
      <c r="AE80" s="65">
        <f>AD80-Settings!$AA$5</f>
        <v>-131.6393939393939</v>
      </c>
      <c r="AF80" s="129" t="str">
        <f>IF(ISERROR(VLOOKUP(AA80,ESPNData!$CS:$CX,6,0)),"",IF((VLOOKUP(AA80,ESPNData!$CS:$CX,6,0)="--"),"",VLOOKUP(AA80,ESPNData!$CS:$CX,6,0)))</f>
        <v/>
      </c>
      <c r="AG80" s="75" t="str">
        <f>IF(ISERROR(VLOOKUP(AA80,ESPNData!$CZ:$DE,6,0)),"",IF((VLOOKUP(AA80,ESPNData!$CZ:$DE,6,0)="--"),"",VLOOKUP(AA80,ESPNData!$CZ:$DE,6,0)))</f>
        <v/>
      </c>
      <c r="AH80" s="69" t="str">
        <f>IF(ISERROR((VLOOKUP(AA80,Taken!$H:$I,2,0)-AF80)),"",(VLOOKUP(AA80,Taken!$H:$I,2,0)-AF80))</f>
        <v/>
      </c>
      <c r="AI80" s="69">
        <v>1</v>
      </c>
      <c r="AJ80" s="43" t="str">
        <f>IF(ISERROR((VLOOKUP(AA80,Taken!$H:$I,2,0)-AI80)),"",(VLOOKUP(AA80,Taken!$H:$I,2,0)-AI80))</f>
        <v/>
      </c>
      <c r="AK80" s="117"/>
      <c r="AL80" s="33"/>
      <c r="AM80" s="33"/>
      <c r="AN80" s="33"/>
      <c r="AO80" s="33"/>
      <c r="AP80" s="181"/>
      <c r="AQ80" s="33"/>
      <c r="AR80" s="111"/>
      <c r="AS80" s="33"/>
      <c r="AT80" s="33"/>
      <c r="AU80" s="181"/>
      <c r="AV80" s="33"/>
    </row>
    <row r="81" spans="1:48" ht="12.75" customHeight="1">
      <c r="A81" s="114">
        <f t="shared" si="8"/>
        <v>25</v>
      </c>
      <c r="B81" s="75" t="str">
        <f>IF(ISERROR(VLOOKUP(C81,Taken!$K:$K,1,0)),"",IF(ISERROR(VLOOKUP(C81,'Draft Board'!$AS:$AS,1,0)),"X","Y"))</f>
        <v/>
      </c>
      <c r="C81" s="75" t="str">
        <f>VLOOKUP(A81,TE!T:U,2,0)</f>
        <v>Coby Fleener</v>
      </c>
      <c r="D81" s="72" t="str">
        <f>VLOOKUP(C81,TE!$B:$C,2,0)</f>
        <v>IND</v>
      </c>
      <c r="E81" s="72">
        <f>IF((D81="FA"),"N/A",VLOOKUP(D81,Settings!$M$2:$N$33,2,0))</f>
        <v>10</v>
      </c>
      <c r="F81" s="153">
        <f>VLOOKUP(C81,TE!$B:$T,18,0)</f>
        <v>84.2</v>
      </c>
      <c r="G81" s="65">
        <f>F81-Settings!$AA$6</f>
        <v>-81.663636363636371</v>
      </c>
      <c r="H81" s="129" t="str">
        <f>IF(ISERROR(VLOOKUP(C81,ESPNData!$CS:$CX,6,0)),"",IF((VLOOKUP(C81,ESPNData!$CS:$CX,6,0)="--"),"",VLOOKUP(C81,ESPNData!$CS:$CX,6,0)))</f>
        <v/>
      </c>
      <c r="I81" s="75" t="str">
        <f>IF(ISERROR(VLOOKUP(C81,ESPNData!$CZ:$DE,6,0)),"",IF((VLOOKUP(C81,ESPNData!$CZ:$DE,6,0)="--"),"",VLOOKUP(C81,ESPNData!$CZ:$DE,6,0)))</f>
        <v/>
      </c>
      <c r="J81" s="69" t="str">
        <f>IF(ISERROR((VLOOKUP(C81,Taken!$K:$L,2,0)-H81)),"",(VLOOKUP(C81,Taken!$K:$L,2,0)-H81))</f>
        <v/>
      </c>
      <c r="K81" s="69">
        <v>1</v>
      </c>
      <c r="L81" s="43" t="str">
        <f>IF(ISERROR((VLOOKUP(C81,Taken!$K:$L,2,0)-K81)),"",(VLOOKUP(C81,Taken!$K:$L,2,0)-K81))</f>
        <v/>
      </c>
      <c r="M81" s="114">
        <f t="shared" si="9"/>
        <v>79</v>
      </c>
      <c r="N81" s="75" t="str">
        <f>IF(ISERROR(VLOOKUP(O81,Taken!$E:$E,1,0)),"",IF(ISERROR(VLOOKUP(O81,'Draft Board'!$AS:$AS,1,0)),"X","Y"))</f>
        <v/>
      </c>
      <c r="O81" s="75" t="str">
        <f>VLOOKUP(M81,RB!Z:AA,2,0)</f>
        <v>Mikel Leshoure</v>
      </c>
      <c r="P81" s="75" t="str">
        <f>VLOOKUP(O81,RB!$B:$C,2,0)</f>
        <v>DET</v>
      </c>
      <c r="Q81" s="72">
        <f>IF((P81="FA"),"N/A",VLOOKUP(P81,Settings!$M$2:$N$33,2,0))</f>
        <v>9</v>
      </c>
      <c r="R81" s="153">
        <f>VLOOKUP(O81,RB!$B:$Y,24,0)</f>
        <v>33.6</v>
      </c>
      <c r="S81" s="65">
        <f>R81-Settings!$AA$4</f>
        <v>-171.59393939393937</v>
      </c>
      <c r="T81" s="129" t="str">
        <f>IF(ISERROR(VLOOKUP(O81,ESPNData!$CS:$CX,6,0)),"",IF((VLOOKUP(O81,ESPNData!$CS:$CX,6,0)="--"),"",VLOOKUP(O81,ESPNData!$CS:$CX,6,0)))</f>
        <v/>
      </c>
      <c r="U81" s="75" t="str">
        <f>IF(ISERROR(VLOOKUP(O81,ESPNData!$CZ:$DE,6,0)),"",IF((VLOOKUP(O81,ESPNData!$CZ:$DE,6,0)="--"),"",VLOOKUP(O81,ESPNData!$CZ:$DE,6,0)))</f>
        <v/>
      </c>
      <c r="V81" s="69" t="str">
        <f>IF(ISERROR((VLOOKUP(O81,Taken!$E:$F,2,0)-T81)),"",(VLOOKUP(O81,Taken!$E:$F,2,0)-T81))</f>
        <v/>
      </c>
      <c r="W81" s="69">
        <v>1</v>
      </c>
      <c r="X81" s="43" t="str">
        <f>IF(ISERROR((VLOOKUP(O81,Taken!$E:$F,2,0)-W81)),"",(VLOOKUP(O81,Taken!$E:$F,2,0)-W81))</f>
        <v/>
      </c>
      <c r="Y81" s="114">
        <f t="shared" si="10"/>
        <v>79</v>
      </c>
      <c r="Z81" s="75" t="str">
        <f>IF(ISERROR(VLOOKUP(AA81,Taken!$H:$H,1,0)),"",IF(ISERROR(VLOOKUP(AA81,'Draft Board'!$AS:$AS,1,0)),"X","Y"))</f>
        <v/>
      </c>
      <c r="AA81" s="75" t="str">
        <f>VLOOKUP(Y81,WR!X:Y,2,0)</f>
        <v>Odell Beckham</v>
      </c>
      <c r="AB81" s="75" t="str">
        <f>VLOOKUP(AA81,WR!$B:$C,2,0)</f>
        <v>NYG</v>
      </c>
      <c r="AC81" s="72">
        <f>IF((AB81="FA"),"N/A",VLOOKUP(AB81,Settings!$M$2:$N$33,2,0))</f>
        <v>8</v>
      </c>
      <c r="AD81" s="153">
        <f>VLOOKUP(AA81,WR!$B:$W,22,0)</f>
        <v>68.8</v>
      </c>
      <c r="AE81" s="65">
        <f>AD81-Settings!$AA$5</f>
        <v>-132.23939393939389</v>
      </c>
      <c r="AF81" s="129" t="str">
        <f>IF(ISERROR(VLOOKUP(AA81,ESPNData!$CS:$CX,6,0)),"",IF((VLOOKUP(AA81,ESPNData!$CS:$CX,6,0)="--"),"",VLOOKUP(AA81,ESPNData!$CS:$CX,6,0)))</f>
        <v/>
      </c>
      <c r="AG81" s="75" t="str">
        <f>IF(ISERROR(VLOOKUP(AA81,ESPNData!$CZ:$DE,6,0)),"",IF((VLOOKUP(AA81,ESPNData!$CZ:$DE,6,0)="--"),"",VLOOKUP(AA81,ESPNData!$CZ:$DE,6,0)))</f>
        <v/>
      </c>
      <c r="AH81" s="69" t="str">
        <f>IF(ISERROR((VLOOKUP(AA81,Taken!$H:$I,2,0)-AF81)),"",(VLOOKUP(AA81,Taken!$H:$I,2,0)-AF81))</f>
        <v/>
      </c>
      <c r="AI81" s="69">
        <v>1</v>
      </c>
      <c r="AJ81" s="43" t="str">
        <f>IF(ISERROR((VLOOKUP(AA81,Taken!$H:$I,2,0)-AI81)),"",(VLOOKUP(AA81,Taken!$H:$I,2,0)-AI81))</f>
        <v/>
      </c>
      <c r="AK81" s="117"/>
      <c r="AL81" s="33"/>
      <c r="AM81" s="33"/>
      <c r="AN81" s="33"/>
      <c r="AO81" s="33"/>
      <c r="AP81" s="181"/>
      <c r="AQ81" s="33"/>
      <c r="AR81" s="111"/>
      <c r="AS81" s="33"/>
      <c r="AT81" s="33"/>
      <c r="AU81" s="181"/>
      <c r="AV81" s="33"/>
    </row>
    <row r="82" spans="1:48" ht="12.75" customHeight="1">
      <c r="A82" s="114">
        <f t="shared" si="8"/>
        <v>26</v>
      </c>
      <c r="B82" s="75" t="str">
        <f>IF(ISERROR(VLOOKUP(C82,Taken!$K:$K,1,0)),"",IF(ISERROR(VLOOKUP(C82,'Draft Board'!$AS:$AS,1,0)),"X","Y"))</f>
        <v/>
      </c>
      <c r="C82" s="75" t="str">
        <f>VLOOKUP(A82,TE!T:U,2,0)</f>
        <v>Mychal Rivera</v>
      </c>
      <c r="D82" s="72" t="str">
        <f>VLOOKUP(C82,TE!$B:$C,2,0)</f>
        <v>OAK</v>
      </c>
      <c r="E82" s="72">
        <f>IF((D82="FA"),"N/A",VLOOKUP(D82,Settings!$M$2:$N$33,2,0))</f>
        <v>5</v>
      </c>
      <c r="F82" s="153">
        <f>VLOOKUP(C82,TE!$B:$T,18,0)</f>
        <v>84</v>
      </c>
      <c r="G82" s="65">
        <f>F82-Settings!$AA$6</f>
        <v>-81.863636363636374</v>
      </c>
      <c r="H82" s="129" t="str">
        <f>IF(ISERROR(VLOOKUP(C82,ESPNData!$CS:$CX,6,0)),"",IF((VLOOKUP(C82,ESPNData!$CS:$CX,6,0)="--"),"",VLOOKUP(C82,ESPNData!$CS:$CX,6,0)))</f>
        <v/>
      </c>
      <c r="I82" s="75" t="str">
        <f>IF(ISERROR(VLOOKUP(C82,ESPNData!$CZ:$DE,6,0)),"",IF((VLOOKUP(C82,ESPNData!$CZ:$DE,6,0)="--"),"",VLOOKUP(C82,ESPNData!$CZ:$DE,6,0)))</f>
        <v/>
      </c>
      <c r="J82" s="69" t="str">
        <f>IF(ISERROR((VLOOKUP(C82,Taken!$K:$L,2,0)-H82)),"",(VLOOKUP(C82,Taken!$K:$L,2,0)-H82))</f>
        <v/>
      </c>
      <c r="K82" s="69">
        <v>1</v>
      </c>
      <c r="L82" s="43" t="str">
        <f>IF(ISERROR((VLOOKUP(C82,Taken!$K:$L,2,0)-K82)),"",(VLOOKUP(C82,Taken!$K:$L,2,0)-K82))</f>
        <v/>
      </c>
      <c r="M82" s="114">
        <f t="shared" si="9"/>
        <v>80</v>
      </c>
      <c r="N82" s="75" t="str">
        <f>IF(ISERROR(VLOOKUP(O82,Taken!$E:$E,1,0)),"",IF(ISERROR(VLOOKUP(O82,'Draft Board'!$AS:$AS,1,0)),"X","Y"))</f>
        <v/>
      </c>
      <c r="O82" s="75" t="str">
        <f>VLOOKUP(M82,RB!Z:AA,2,0)</f>
        <v>Chris Polk</v>
      </c>
      <c r="P82" s="75" t="str">
        <f>VLOOKUP(O82,RB!$B:$C,2,0)</f>
        <v>PHI</v>
      </c>
      <c r="Q82" s="72">
        <f>IF((P82="FA"),"N/A",VLOOKUP(P82,Settings!$M$2:$N$33,2,0))</f>
        <v>7</v>
      </c>
      <c r="R82" s="153">
        <f>VLOOKUP(O82,RB!$B:$Y,24,0)</f>
        <v>33.4</v>
      </c>
      <c r="S82" s="65">
        <f>R82-Settings!$AA$4</f>
        <v>-171.79393939393935</v>
      </c>
      <c r="T82" s="129" t="str">
        <f>IF(ISERROR(VLOOKUP(O82,ESPNData!$CS:$CX,6,0)),"",IF((VLOOKUP(O82,ESPNData!$CS:$CX,6,0)="--"),"",VLOOKUP(O82,ESPNData!$CS:$CX,6,0)))</f>
        <v/>
      </c>
      <c r="U82" s="75" t="str">
        <f>IF(ISERROR(VLOOKUP(O82,ESPNData!$CZ:$DE,6,0)),"",IF((VLOOKUP(O82,ESPNData!$CZ:$DE,6,0)="--"),"",VLOOKUP(O82,ESPNData!$CZ:$DE,6,0)))</f>
        <v/>
      </c>
      <c r="V82" s="69" t="str">
        <f>IF(ISERROR((VLOOKUP(O82,Taken!$E:$F,2,0)-T82)),"",(VLOOKUP(O82,Taken!$E:$F,2,0)-T82))</f>
        <v/>
      </c>
      <c r="W82" s="69">
        <v>1</v>
      </c>
      <c r="X82" s="43" t="str">
        <f>IF(ISERROR((VLOOKUP(O82,Taken!$E:$F,2,0)-W82)),"",(VLOOKUP(O82,Taken!$E:$F,2,0)-W82))</f>
        <v/>
      </c>
      <c r="Y82" s="114">
        <f t="shared" si="10"/>
        <v>80</v>
      </c>
      <c r="Z82" s="75" t="str">
        <f>IF(ISERROR(VLOOKUP(AA82,Taken!$H:$H,1,0)),"",IF(ISERROR(VLOOKUP(AA82,'Draft Board'!$AS:$AS,1,0)),"X","Y"))</f>
        <v/>
      </c>
      <c r="AA82" s="75" t="str">
        <f>VLOOKUP(Y82,WR!X:Y,2,0)</f>
        <v>Lance Moore</v>
      </c>
      <c r="AB82" s="75" t="str">
        <f>VLOOKUP(AA82,WR!$B:$C,2,0)</f>
        <v>PIT</v>
      </c>
      <c r="AC82" s="72">
        <f>IF((AB82="FA"),"N/A",VLOOKUP(AB82,Settings!$M$2:$N$33,2,0))</f>
        <v>12</v>
      </c>
      <c r="AD82" s="153">
        <f>VLOOKUP(AA82,WR!$B:$W,22,0)</f>
        <v>67.7</v>
      </c>
      <c r="AE82" s="65">
        <f>AD82-Settings!$AA$5</f>
        <v>-133.33939393939391</v>
      </c>
      <c r="AF82" s="129" t="str">
        <f>IF(ISERROR(VLOOKUP(AA82,ESPNData!$CS:$CX,6,0)),"",IF((VLOOKUP(AA82,ESPNData!$CS:$CX,6,0)="--"),"",VLOOKUP(AA82,ESPNData!$CS:$CX,6,0)))</f>
        <v/>
      </c>
      <c r="AG82" s="75" t="str">
        <f>IF(ISERROR(VLOOKUP(AA82,ESPNData!$CZ:$DE,6,0)),"",IF((VLOOKUP(AA82,ESPNData!$CZ:$DE,6,0)="--"),"",VLOOKUP(AA82,ESPNData!$CZ:$DE,6,0)))</f>
        <v/>
      </c>
      <c r="AH82" s="69" t="str">
        <f>IF(ISERROR((VLOOKUP(AA82,Taken!$H:$I,2,0)-AF82)),"",(VLOOKUP(AA82,Taken!$H:$I,2,0)-AF82))</f>
        <v/>
      </c>
      <c r="AI82" s="69">
        <v>1</v>
      </c>
      <c r="AJ82" s="43" t="str">
        <f>IF(ISERROR((VLOOKUP(AA82,Taken!$H:$I,2,0)-AI82)),"",(VLOOKUP(AA82,Taken!$H:$I,2,0)-AI82))</f>
        <v/>
      </c>
      <c r="AK82" s="117"/>
      <c r="AL82" s="33"/>
      <c r="AM82" s="33"/>
      <c r="AN82" s="33"/>
      <c r="AO82" s="33"/>
      <c r="AP82" s="181"/>
      <c r="AQ82" s="33"/>
      <c r="AR82" s="111"/>
      <c r="AS82" s="33"/>
      <c r="AT82" s="33"/>
      <c r="AU82" s="181"/>
      <c r="AV82" s="33"/>
    </row>
    <row r="83" spans="1:48" ht="12.75" customHeight="1">
      <c r="A83" s="114">
        <f t="shared" si="8"/>
        <v>27</v>
      </c>
      <c r="B83" s="75" t="str">
        <f>IF(ISERROR(VLOOKUP(C83,Taken!$K:$K,1,0)),"",IF(ISERROR(VLOOKUP(C83,'Draft Board'!$AS:$AS,1,0)),"X","Y"))</f>
        <v/>
      </c>
      <c r="C83" s="75" t="str">
        <f>VLOOKUP(A83,TE!T:U,2,0)</f>
        <v>Travis Kelce</v>
      </c>
      <c r="D83" s="72" t="str">
        <f>VLOOKUP(C83,TE!$B:$C,2,0)</f>
        <v>KC</v>
      </c>
      <c r="E83" s="72">
        <f>IF((D83="FA"),"N/A",VLOOKUP(D83,Settings!$M$2:$N$33,2,0))</f>
        <v>6</v>
      </c>
      <c r="F83" s="153">
        <f>VLOOKUP(C83,TE!$B:$T,18,0)</f>
        <v>78.599999999999994</v>
      </c>
      <c r="G83" s="65">
        <f>F83-Settings!$AA$6</f>
        <v>-87.26363636363638</v>
      </c>
      <c r="H83" s="129" t="str">
        <f>IF(ISERROR(VLOOKUP(C83,ESPNData!$CS:$CX,6,0)),"",IF((VLOOKUP(C83,ESPNData!$CS:$CX,6,0)="--"),"",VLOOKUP(C83,ESPNData!$CS:$CX,6,0)))</f>
        <v/>
      </c>
      <c r="I83" s="75" t="str">
        <f>IF(ISERROR(VLOOKUP(C83,ESPNData!$CZ:$DE,6,0)),"",IF((VLOOKUP(C83,ESPNData!$CZ:$DE,6,0)="--"),"",VLOOKUP(C83,ESPNData!$CZ:$DE,6,0)))</f>
        <v/>
      </c>
      <c r="J83" s="69" t="str">
        <f>IF(ISERROR((VLOOKUP(C83,Taken!$K:$L,2,0)-H83)),"",(VLOOKUP(C83,Taken!$K:$L,2,0)-H83))</f>
        <v/>
      </c>
      <c r="K83" s="69">
        <v>1</v>
      </c>
      <c r="L83" s="43" t="str">
        <f>IF(ISERROR((VLOOKUP(C83,Taken!$K:$L,2,0)-K83)),"",(VLOOKUP(C83,Taken!$K:$L,2,0)-K83))</f>
        <v/>
      </c>
      <c r="M83" s="114">
        <f t="shared" si="9"/>
        <v>81</v>
      </c>
      <c r="N83" s="75" t="str">
        <f>IF(ISERROR(VLOOKUP(O83,Taken!$E:$E,1,0)),"",IF(ISERROR(VLOOKUP(O83,'Draft Board'!$AS:$AS,1,0)),"X","Y"))</f>
        <v/>
      </c>
      <c r="O83" s="75" t="str">
        <f>VLOOKUP(M83,RB!Z:AA,2,0)</f>
        <v>Jonathan Dwyer</v>
      </c>
      <c r="P83" s="75" t="str">
        <f>VLOOKUP(O83,RB!$B:$C,2,0)</f>
        <v>ARI</v>
      </c>
      <c r="Q83" s="72">
        <f>IF((P83="FA"),"N/A",VLOOKUP(P83,Settings!$M$2:$N$33,2,0))</f>
        <v>4</v>
      </c>
      <c r="R83" s="153">
        <f>VLOOKUP(O83,RB!$B:$Y,24,0)</f>
        <v>31.2</v>
      </c>
      <c r="S83" s="65">
        <f>R83-Settings!$AA$4</f>
        <v>-173.99393939393937</v>
      </c>
      <c r="T83" s="129" t="str">
        <f>IF(ISERROR(VLOOKUP(O83,ESPNData!$CS:$CX,6,0)),"",IF((VLOOKUP(O83,ESPNData!$CS:$CX,6,0)="--"),"",VLOOKUP(O83,ESPNData!$CS:$CX,6,0)))</f>
        <v/>
      </c>
      <c r="U83" s="75" t="str">
        <f>IF(ISERROR(VLOOKUP(O83,ESPNData!$CZ:$DE,6,0)),"",IF((VLOOKUP(O83,ESPNData!$CZ:$DE,6,0)="--"),"",VLOOKUP(O83,ESPNData!$CZ:$DE,6,0)))</f>
        <v/>
      </c>
      <c r="V83" s="69" t="str">
        <f>IF(ISERROR((VLOOKUP(O83,Taken!$E:$F,2,0)-T83)),"",(VLOOKUP(O83,Taken!$E:$F,2,0)-T83))</f>
        <v/>
      </c>
      <c r="W83" s="69">
        <v>1</v>
      </c>
      <c r="X83" s="43" t="str">
        <f>IF(ISERROR((VLOOKUP(O83,Taken!$E:$F,2,0)-W83)),"",(VLOOKUP(O83,Taken!$E:$F,2,0)-W83))</f>
        <v/>
      </c>
      <c r="Y83" s="114">
        <f t="shared" si="10"/>
        <v>81</v>
      </c>
      <c r="Z83" s="75" t="str">
        <f>IF(ISERROR(VLOOKUP(AA83,Taken!$H:$H,1,0)),"",IF(ISERROR(VLOOKUP(AA83,'Draft Board'!$AS:$AS,1,0)),"X","Y"))</f>
        <v/>
      </c>
      <c r="AA83" s="75" t="str">
        <f>VLOOKUP(Y83,WR!X:Y,2,0)</f>
        <v>Steve Johnson</v>
      </c>
      <c r="AB83" s="75" t="str">
        <f>VLOOKUP(AA83,WR!$B:$C,2,0)</f>
        <v>SF</v>
      </c>
      <c r="AC83" s="72">
        <f>IF((AB83="FA"),"N/A",VLOOKUP(AB83,Settings!$M$2:$N$33,2,0))</f>
        <v>8</v>
      </c>
      <c r="AD83" s="153">
        <f>VLOOKUP(AA83,WR!$B:$W,22,0)</f>
        <v>67.599999999999994</v>
      </c>
      <c r="AE83" s="65">
        <f>AD83-Settings!$AA$5</f>
        <v>-133.43939393939391</v>
      </c>
      <c r="AF83" s="129" t="str">
        <f>IF(ISERROR(VLOOKUP(AA83,ESPNData!$CS:$CX,6,0)),"",IF((VLOOKUP(AA83,ESPNData!$CS:$CX,6,0)="--"),"",VLOOKUP(AA83,ESPNData!$CS:$CX,6,0)))</f>
        <v/>
      </c>
      <c r="AG83" s="75">
        <f>IF(ISERROR(VLOOKUP(AA83,ESPNData!$CZ:$DE,6,0)),"",IF((VLOOKUP(AA83,ESPNData!$CZ:$DE,6,0)="--"),"",VLOOKUP(AA83,ESPNData!$CZ:$DE,6,0)))</f>
        <v>1</v>
      </c>
      <c r="AH83" s="69" t="str">
        <f>IF(ISERROR((VLOOKUP(AA83,Taken!$H:$I,2,0)-AF83)),"",(VLOOKUP(AA83,Taken!$H:$I,2,0)-AF83))</f>
        <v/>
      </c>
      <c r="AI83" s="69">
        <v>1</v>
      </c>
      <c r="AJ83" s="43" t="str">
        <f>IF(ISERROR((VLOOKUP(AA83,Taken!$H:$I,2,0)-AI83)),"",(VLOOKUP(AA83,Taken!$H:$I,2,0)-AI83))</f>
        <v/>
      </c>
      <c r="AK83" s="117"/>
      <c r="AL83" s="33"/>
      <c r="AM83" s="33"/>
      <c r="AN83" s="33"/>
      <c r="AO83" s="33"/>
      <c r="AP83" s="181"/>
      <c r="AQ83" s="33"/>
      <c r="AR83" s="111"/>
      <c r="AS83" s="33"/>
      <c r="AT83" s="33"/>
      <c r="AU83" s="181"/>
      <c r="AV83" s="33"/>
    </row>
    <row r="84" spans="1:48" ht="12.75" customHeight="1">
      <c r="A84" s="114">
        <f t="shared" si="8"/>
        <v>28</v>
      </c>
      <c r="B84" s="75" t="str">
        <f>IF(ISERROR(VLOOKUP(C84,Taken!$K:$K,1,0)),"",IF(ISERROR(VLOOKUP(C84,'Draft Board'!$AS:$AS,1,0)),"X","Y"))</f>
        <v/>
      </c>
      <c r="C84" s="75" t="str">
        <f>VLOOKUP(A84,TE!T:U,2,0)</f>
        <v>Brent Celek</v>
      </c>
      <c r="D84" s="72" t="str">
        <f>VLOOKUP(C84,TE!$B:$C,2,0)</f>
        <v>PHI</v>
      </c>
      <c r="E84" s="72">
        <f>IF((D84="FA"),"N/A",VLOOKUP(D84,Settings!$M$2:$N$33,2,0))</f>
        <v>7</v>
      </c>
      <c r="F84" s="153">
        <f>VLOOKUP(C84,TE!$B:$T,18,0)</f>
        <v>76</v>
      </c>
      <c r="G84" s="65">
        <f>F84-Settings!$AA$6</f>
        <v>-89.863636363636374</v>
      </c>
      <c r="H84" s="129" t="str">
        <f>IF(ISERROR(VLOOKUP(C84,ESPNData!$CS:$CX,6,0)),"",IF((VLOOKUP(C84,ESPNData!$CS:$CX,6,0)="--"),"",VLOOKUP(C84,ESPNData!$CS:$CX,6,0)))</f>
        <v/>
      </c>
      <c r="I84" s="75" t="str">
        <f>IF(ISERROR(VLOOKUP(C84,ESPNData!$CZ:$DE,6,0)),"",IF((VLOOKUP(C84,ESPNData!$CZ:$DE,6,0)="--"),"",VLOOKUP(C84,ESPNData!$CZ:$DE,6,0)))</f>
        <v/>
      </c>
      <c r="J84" s="69" t="str">
        <f>IF(ISERROR((VLOOKUP(C84,Taken!$K:$L,2,0)-H84)),"",(VLOOKUP(C84,Taken!$K:$L,2,0)-H84))</f>
        <v/>
      </c>
      <c r="K84" s="69">
        <v>1</v>
      </c>
      <c r="L84" s="43" t="str">
        <f>IF(ISERROR((VLOOKUP(C84,Taken!$K:$L,2,0)-K84)),"",(VLOOKUP(C84,Taken!$K:$L,2,0)-K84))</f>
        <v/>
      </c>
      <c r="M84" s="114">
        <f t="shared" si="9"/>
        <v>82</v>
      </c>
      <c r="N84" s="75" t="str">
        <f>IF(ISERROR(VLOOKUP(O84,Taken!$E:$E,1,0)),"",IF(ISERROR(VLOOKUP(O84,'Draft Board'!$AS:$AS,1,0)),"X","Y"))</f>
        <v/>
      </c>
      <c r="O84" s="75" t="str">
        <f>VLOOKUP(M84,RB!Z:AA,2,0)</f>
        <v>De'Anthony Thomas</v>
      </c>
      <c r="P84" s="75" t="str">
        <f>VLOOKUP(O84,RB!$B:$C,2,0)</f>
        <v>KC</v>
      </c>
      <c r="Q84" s="72">
        <f>IF((P84="FA"),"N/A",VLOOKUP(P84,Settings!$M$2:$N$33,2,0))</f>
        <v>6</v>
      </c>
      <c r="R84" s="153">
        <f>VLOOKUP(O84,RB!$B:$Y,24,0)</f>
        <v>30.8</v>
      </c>
      <c r="S84" s="65">
        <f>R84-Settings!$AA$4</f>
        <v>-174.39393939393935</v>
      </c>
      <c r="T84" s="129" t="str">
        <f>IF(ISERROR(VLOOKUP(O84,ESPNData!$CS:$CX,6,0)),"",IF((VLOOKUP(O84,ESPNData!$CS:$CX,6,0)="--"),"",VLOOKUP(O84,ESPNData!$CS:$CX,6,0)))</f>
        <v/>
      </c>
      <c r="U84" s="75" t="str">
        <f>IF(ISERROR(VLOOKUP(O84,ESPNData!$CZ:$DE,6,0)),"",IF((VLOOKUP(O84,ESPNData!$CZ:$DE,6,0)="--"),"",VLOOKUP(O84,ESPNData!$CZ:$DE,6,0)))</f>
        <v/>
      </c>
      <c r="V84" s="69" t="str">
        <f>IF(ISERROR((VLOOKUP(O84,Taken!$E:$F,2,0)-T84)),"",(VLOOKUP(O84,Taken!$E:$F,2,0)-T84))</f>
        <v/>
      </c>
      <c r="W84" s="69">
        <v>1</v>
      </c>
      <c r="X84" s="43" t="str">
        <f>IF(ISERROR((VLOOKUP(O84,Taken!$E:$F,2,0)-W84)),"",(VLOOKUP(O84,Taken!$E:$F,2,0)-W84))</f>
        <v/>
      </c>
      <c r="Y84" s="114">
        <f t="shared" si="10"/>
        <v>82</v>
      </c>
      <c r="Z84" s="75" t="str">
        <f>IF(ISERROR(VLOOKUP(AA84,Taken!$H:$H,1,0)),"",IF(ISERROR(VLOOKUP(AA84,'Draft Board'!$AS:$AS,1,0)),"X","Y"))</f>
        <v/>
      </c>
      <c r="AA84" s="75" t="str">
        <f>VLOOKUP(Y84,WR!X:Y,2,0)</f>
        <v>Aaron Dobson</v>
      </c>
      <c r="AB84" s="75" t="str">
        <f>VLOOKUP(AA84,WR!$B:$C,2,0)</f>
        <v>NE</v>
      </c>
      <c r="AC84" s="72">
        <f>IF((AB84="FA"),"N/A",VLOOKUP(AB84,Settings!$M$2:$N$33,2,0))</f>
        <v>10</v>
      </c>
      <c r="AD84" s="153">
        <f>VLOOKUP(AA84,WR!$B:$W,22,0)</f>
        <v>66.7</v>
      </c>
      <c r="AE84" s="65">
        <f>AD84-Settings!$AA$5</f>
        <v>-134.33939393939391</v>
      </c>
      <c r="AF84" s="129" t="str">
        <f>IF(ISERROR(VLOOKUP(AA84,ESPNData!$CS:$CX,6,0)),"",IF((VLOOKUP(AA84,ESPNData!$CS:$CX,6,0)="--"),"",VLOOKUP(AA84,ESPNData!$CS:$CX,6,0)))</f>
        <v/>
      </c>
      <c r="AG84" s="75" t="str">
        <f>IF(ISERROR(VLOOKUP(AA84,ESPNData!$CZ:$DE,6,0)),"",IF((VLOOKUP(AA84,ESPNData!$CZ:$DE,6,0)="--"),"",VLOOKUP(AA84,ESPNData!$CZ:$DE,6,0)))</f>
        <v/>
      </c>
      <c r="AH84" s="69" t="str">
        <f>IF(ISERROR((VLOOKUP(AA84,Taken!$H:$I,2,0)-AF84)),"",(VLOOKUP(AA84,Taken!$H:$I,2,0)-AF84))</f>
        <v/>
      </c>
      <c r="AI84" s="69">
        <v>1</v>
      </c>
      <c r="AJ84" s="43" t="str">
        <f>IF(ISERROR((VLOOKUP(AA84,Taken!$H:$I,2,0)-AI84)),"",(VLOOKUP(AA84,Taken!$H:$I,2,0)-AI84))</f>
        <v/>
      </c>
      <c r="AK84" s="117"/>
      <c r="AL84" s="33"/>
      <c r="AM84" s="33"/>
      <c r="AN84" s="33"/>
      <c r="AO84" s="33"/>
      <c r="AP84" s="181"/>
      <c r="AQ84" s="33"/>
      <c r="AR84" s="111"/>
      <c r="AS84" s="33"/>
      <c r="AT84" s="33"/>
      <c r="AU84" s="181"/>
      <c r="AV84" s="33"/>
    </row>
    <row r="85" spans="1:48" ht="12.75" customHeight="1">
      <c r="A85" s="114">
        <f t="shared" si="8"/>
        <v>29</v>
      </c>
      <c r="B85" s="75" t="str">
        <f>IF(ISERROR(VLOOKUP(C85,Taken!$K:$K,1,0)),"",IF(ISERROR(VLOOKUP(C85,'Draft Board'!$AS:$AS,1,0)),"X","Y"))</f>
        <v/>
      </c>
      <c r="C85" s="75" t="str">
        <f>VLOOKUP(A85,TE!T:U,2,0)</f>
        <v>Zach Miller</v>
      </c>
      <c r="D85" s="72" t="str">
        <f>VLOOKUP(C85,TE!$B:$C,2,0)</f>
        <v>SEA</v>
      </c>
      <c r="E85" s="72">
        <f>IF((D85="FA"),"N/A",VLOOKUP(D85,Settings!$M$2:$N$33,2,0))</f>
        <v>4</v>
      </c>
      <c r="F85" s="153">
        <f>VLOOKUP(C85,TE!$B:$T,18,0)</f>
        <v>73.900000000000006</v>
      </c>
      <c r="G85" s="65">
        <f>F85-Settings!$AA$6</f>
        <v>-91.963636363636368</v>
      </c>
      <c r="H85" s="129" t="str">
        <f>IF(ISERROR(VLOOKUP(C85,ESPNData!$CS:$CX,6,0)),"",IF((VLOOKUP(C85,ESPNData!$CS:$CX,6,0)="--"),"",VLOOKUP(C85,ESPNData!$CS:$CX,6,0)))</f>
        <v/>
      </c>
      <c r="I85" s="75" t="str">
        <f>IF(ISERROR(VLOOKUP(C85,ESPNData!$CZ:$DE,6,0)),"",IF((VLOOKUP(C85,ESPNData!$CZ:$DE,6,0)="--"),"",VLOOKUP(C85,ESPNData!$CZ:$DE,6,0)))</f>
        <v/>
      </c>
      <c r="J85" s="69" t="str">
        <f>IF(ISERROR((VLOOKUP(C85,Taken!$K:$L,2,0)-H85)),"",(VLOOKUP(C85,Taken!$K:$L,2,0)-H85))</f>
        <v/>
      </c>
      <c r="K85" s="69">
        <v>1</v>
      </c>
      <c r="L85" s="43" t="str">
        <f>IF(ISERROR((VLOOKUP(C85,Taken!$K:$L,2,0)-K85)),"",(VLOOKUP(C85,Taken!$K:$L,2,0)-K85))</f>
        <v/>
      </c>
      <c r="M85" s="114">
        <f t="shared" si="9"/>
        <v>83</v>
      </c>
      <c r="N85" s="75" t="str">
        <f>IF(ISERROR(VLOOKUP(O85,Taken!$E:$E,1,0)),"",IF(ISERROR(VLOOKUP(O85,'Draft Board'!$AS:$AS,1,0)),"X","Y"))</f>
        <v/>
      </c>
      <c r="O85" s="75" t="str">
        <f>VLOOKUP(M85,RB!Z:AA,2,0)</f>
        <v>BenJarvus Green-Ellis</v>
      </c>
      <c r="P85" s="75" t="str">
        <f>VLOOKUP(O85,RB!$B:$C,2,0)</f>
        <v>CIN</v>
      </c>
      <c r="Q85" s="72">
        <f>IF((P85="FA"),"N/A",VLOOKUP(P85,Settings!$M$2:$N$33,2,0))</f>
        <v>4</v>
      </c>
      <c r="R85" s="153">
        <f>VLOOKUP(O85,RB!$B:$Y,24,0)</f>
        <v>30.4</v>
      </c>
      <c r="S85" s="65">
        <f>R85-Settings!$AA$4</f>
        <v>-174.79393939393935</v>
      </c>
      <c r="T85" s="129" t="str">
        <f>IF(ISERROR(VLOOKUP(O85,ESPNData!$CS:$CX,6,0)),"",IF((VLOOKUP(O85,ESPNData!$CS:$CX,6,0)="--"),"",VLOOKUP(O85,ESPNData!$CS:$CX,6,0)))</f>
        <v/>
      </c>
      <c r="U85" s="75" t="str">
        <f>IF(ISERROR(VLOOKUP(O85,ESPNData!$CZ:$DE,6,0)),"",IF((VLOOKUP(O85,ESPNData!$CZ:$DE,6,0)="--"),"",VLOOKUP(O85,ESPNData!$CZ:$DE,6,0)))</f>
        <v/>
      </c>
      <c r="V85" s="69" t="str">
        <f>IF(ISERROR((VLOOKUP(O85,Taken!$E:$F,2,0)-T85)),"",(VLOOKUP(O85,Taken!$E:$F,2,0)-T85))</f>
        <v/>
      </c>
      <c r="W85" s="69">
        <v>1</v>
      </c>
      <c r="X85" s="43" t="str">
        <f>IF(ISERROR((VLOOKUP(O85,Taken!$E:$F,2,0)-W85)),"",(VLOOKUP(O85,Taken!$E:$F,2,0)-W85))</f>
        <v/>
      </c>
      <c r="Y85" s="114">
        <f t="shared" si="10"/>
        <v>83</v>
      </c>
      <c r="Z85" s="75" t="str">
        <f>IF(ISERROR(VLOOKUP(AA85,Taken!$H:$H,1,0)),"",IF(ISERROR(VLOOKUP(AA85,'Draft Board'!$AS:$AS,1,0)),"X","Y"))</f>
        <v/>
      </c>
      <c r="AA85" s="75" t="str">
        <f>VLOOKUP(Y85,WR!X:Y,2,0)</f>
        <v>Denarius Moore</v>
      </c>
      <c r="AB85" s="75" t="str">
        <f>VLOOKUP(AA85,WR!$B:$C,2,0)</f>
        <v>OAK</v>
      </c>
      <c r="AC85" s="72">
        <f>IF((AB85="FA"),"N/A",VLOOKUP(AB85,Settings!$M$2:$N$33,2,0))</f>
        <v>5</v>
      </c>
      <c r="AD85" s="153">
        <f>VLOOKUP(AA85,WR!$B:$W,22,0)</f>
        <v>64</v>
      </c>
      <c r="AE85" s="65">
        <f>AD85-Settings!$AA$5</f>
        <v>-137.0393939393939</v>
      </c>
      <c r="AF85" s="129" t="str">
        <f>IF(ISERROR(VLOOKUP(AA85,ESPNData!$CS:$CX,6,0)),"",IF((VLOOKUP(AA85,ESPNData!$CS:$CX,6,0)="--"),"",VLOOKUP(AA85,ESPNData!$CS:$CX,6,0)))</f>
        <v/>
      </c>
      <c r="AG85" s="75" t="str">
        <f>IF(ISERROR(VLOOKUP(AA85,ESPNData!$CZ:$DE,6,0)),"",IF((VLOOKUP(AA85,ESPNData!$CZ:$DE,6,0)="--"),"",VLOOKUP(AA85,ESPNData!$CZ:$DE,6,0)))</f>
        <v/>
      </c>
      <c r="AH85" s="69" t="str">
        <f>IF(ISERROR((VLOOKUP(AA85,Taken!$H:$I,2,0)-AF85)),"",(VLOOKUP(AA85,Taken!$H:$I,2,0)-AF85))</f>
        <v/>
      </c>
      <c r="AI85" s="69">
        <v>1</v>
      </c>
      <c r="AJ85" s="43" t="str">
        <f>IF(ISERROR((VLOOKUP(AA85,Taken!$H:$I,2,0)-AI85)),"",(VLOOKUP(AA85,Taken!$H:$I,2,0)-AI85))</f>
        <v/>
      </c>
      <c r="AK85" s="117"/>
      <c r="AL85" s="33"/>
      <c r="AM85" s="33"/>
      <c r="AN85" s="33"/>
      <c r="AO85" s="33"/>
      <c r="AP85" s="181"/>
      <c r="AQ85" s="33"/>
      <c r="AR85" s="111"/>
      <c r="AS85" s="33"/>
      <c r="AT85" s="33"/>
      <c r="AU85" s="181"/>
      <c r="AV85" s="33"/>
    </row>
    <row r="86" spans="1:48" ht="12.75" customHeight="1">
      <c r="A86" s="154">
        <f t="shared" si="8"/>
        <v>30</v>
      </c>
      <c r="B86" s="173" t="str">
        <f>IF(ISERROR(VLOOKUP(C86,Taken!$K:$K,1,0)),"",IF(ISERROR(VLOOKUP(C86,'Draft Board'!$AS:$AS,1,0)),"X","Y"))</f>
        <v/>
      </c>
      <c r="C86" s="75" t="str">
        <f>VLOOKUP(A86,TE!T:U,2,0)</f>
        <v>Jermaine Gresham</v>
      </c>
      <c r="D86" s="50" t="str">
        <f>VLOOKUP(C86,TE!$B:$C,2,0)</f>
        <v>CIN</v>
      </c>
      <c r="E86" s="50">
        <f>IF((D86="FA"),"N/A",VLOOKUP(D86,Settings!$M$2:$N$33,2,0))</f>
        <v>4</v>
      </c>
      <c r="F86" s="30">
        <f>VLOOKUP(C86,TE!$B:$T,18,0)</f>
        <v>73.3</v>
      </c>
      <c r="G86" s="152">
        <f>F86-Settings!$AA$6</f>
        <v>-92.563636363636377</v>
      </c>
      <c r="H86" s="201" t="str">
        <f>IF(ISERROR(VLOOKUP(C86,ESPNData!$CS:$CX,6,0)),"",IF((VLOOKUP(C86,ESPNData!$CS:$CX,6,0)="--"),"",VLOOKUP(C86,ESPNData!$CS:$CX,6,0)))</f>
        <v/>
      </c>
      <c r="I86" s="173" t="str">
        <f>IF(ISERROR(VLOOKUP(C86,ESPNData!$CZ:$DE,6,0)),"",IF((VLOOKUP(C86,ESPNData!$CZ:$DE,6,0)="--"),"",VLOOKUP(C86,ESPNData!$CZ:$DE,6,0)))</f>
        <v/>
      </c>
      <c r="J86" s="157" t="str">
        <f>IF(ISERROR((VLOOKUP(C86,Taken!$K:$L,2,0)-H86)),"",(VLOOKUP(C86,Taken!$K:$L,2,0)-H86))</f>
        <v/>
      </c>
      <c r="K86" s="157">
        <v>1</v>
      </c>
      <c r="L86" s="149" t="str">
        <f>IF(ISERROR((VLOOKUP(C86,Taken!$K:$L,2,0)-K86)),"",(VLOOKUP(C86,Taken!$K:$L,2,0)-K86))</f>
        <v/>
      </c>
      <c r="M86" s="114">
        <f t="shared" si="9"/>
        <v>84</v>
      </c>
      <c r="N86" s="75" t="str">
        <f>IF(ISERROR(VLOOKUP(O86,Taken!$E:$E,1,0)),"",IF(ISERROR(VLOOKUP(O86,'Draft Board'!$AS:$AS,1,0)),"X","Y"))</f>
        <v/>
      </c>
      <c r="O86" s="75" t="str">
        <f>VLOOKUP(M86,RB!Z:AA,2,0)</f>
        <v>Denard Robinson</v>
      </c>
      <c r="P86" s="75" t="str">
        <f>VLOOKUP(O86,RB!$B:$C,2,0)</f>
        <v>JAC</v>
      </c>
      <c r="Q86" s="72">
        <f>IF((P86="FA"),"N/A",VLOOKUP(P86,Settings!$M$2:$N$33,2,0))</f>
        <v>11</v>
      </c>
      <c r="R86" s="153">
        <f>VLOOKUP(O86,RB!$B:$Y,24,0)</f>
        <v>30.4</v>
      </c>
      <c r="S86" s="65">
        <f>R86-Settings!$AA$4</f>
        <v>-174.79393939393935</v>
      </c>
      <c r="T86" s="129" t="str">
        <f>IF(ISERROR(VLOOKUP(O86,ESPNData!$CS:$CX,6,0)),"",IF((VLOOKUP(O86,ESPNData!$CS:$CX,6,0)="--"),"",VLOOKUP(O86,ESPNData!$CS:$CX,6,0)))</f>
        <v/>
      </c>
      <c r="U86" s="75" t="str">
        <f>IF(ISERROR(VLOOKUP(O86,ESPNData!$CZ:$DE,6,0)),"",IF((VLOOKUP(O86,ESPNData!$CZ:$DE,6,0)="--"),"",VLOOKUP(O86,ESPNData!$CZ:$DE,6,0)))</f>
        <v/>
      </c>
      <c r="V86" s="69" t="str">
        <f>IF(ISERROR((VLOOKUP(O86,Taken!$E:$F,2,0)-T86)),"",(VLOOKUP(O86,Taken!$E:$F,2,0)-T86))</f>
        <v/>
      </c>
      <c r="W86" s="69">
        <v>1</v>
      </c>
      <c r="X86" s="43" t="str">
        <f>IF(ISERROR((VLOOKUP(O86,Taken!$E:$F,2,0)-W86)),"",(VLOOKUP(O86,Taken!$E:$F,2,0)-W86))</f>
        <v/>
      </c>
      <c r="Y86" s="114">
        <f t="shared" si="10"/>
        <v>84</v>
      </c>
      <c r="Z86" s="75" t="str">
        <f>IF(ISERROR(VLOOKUP(AA86,Taken!$H:$H,1,0)),"",IF(ISERROR(VLOOKUP(AA86,'Draft Board'!$AS:$AS,1,0)),"X","Y"))</f>
        <v/>
      </c>
      <c r="AA86" s="75" t="str">
        <f>VLOOKUP(Y86,WR!X:Y,2,0)</f>
        <v>Andre Holmes</v>
      </c>
      <c r="AB86" s="75" t="str">
        <f>VLOOKUP(AA86,WR!$B:$C,2,0)</f>
        <v>OAK</v>
      </c>
      <c r="AC86" s="72">
        <f>IF((AB86="FA"),"N/A",VLOOKUP(AB86,Settings!$M$2:$N$33,2,0))</f>
        <v>5</v>
      </c>
      <c r="AD86" s="153">
        <f>VLOOKUP(AA86,WR!$B:$W,22,0)</f>
        <v>63.2</v>
      </c>
      <c r="AE86" s="65">
        <f>AD86-Settings!$AA$5</f>
        <v>-137.83939393939391</v>
      </c>
      <c r="AF86" s="129" t="str">
        <f>IF(ISERROR(VLOOKUP(AA86,ESPNData!$CS:$CX,6,0)),"",IF((VLOOKUP(AA86,ESPNData!$CS:$CX,6,0)="--"),"",VLOOKUP(AA86,ESPNData!$CS:$CX,6,0)))</f>
        <v/>
      </c>
      <c r="AG86" s="75" t="str">
        <f>IF(ISERROR(VLOOKUP(AA86,ESPNData!$CZ:$DE,6,0)),"",IF((VLOOKUP(AA86,ESPNData!$CZ:$DE,6,0)="--"),"",VLOOKUP(AA86,ESPNData!$CZ:$DE,6,0)))</f>
        <v/>
      </c>
      <c r="AH86" s="69" t="str">
        <f>IF(ISERROR((VLOOKUP(AA86,Taken!$H:$I,2,0)-AF86)),"",(VLOOKUP(AA86,Taken!$H:$I,2,0)-AF86))</f>
        <v/>
      </c>
      <c r="AI86" s="69">
        <v>1</v>
      </c>
      <c r="AJ86" s="43" t="str">
        <f>IF(ISERROR((VLOOKUP(AA86,Taken!$H:$I,2,0)-AI86)),"",(VLOOKUP(AA86,Taken!$H:$I,2,0)-AI86))</f>
        <v/>
      </c>
      <c r="AK86" s="117"/>
      <c r="AL86" s="33"/>
      <c r="AM86" s="33"/>
      <c r="AN86" s="33"/>
      <c r="AO86" s="33"/>
      <c r="AP86" s="181"/>
      <c r="AQ86" s="33"/>
      <c r="AR86" s="111"/>
      <c r="AS86" s="33"/>
      <c r="AT86" s="33"/>
      <c r="AU86" s="181"/>
      <c r="AV86" s="33"/>
    </row>
    <row r="87" spans="1:48" ht="12.75" customHeight="1">
      <c r="A87" s="53"/>
      <c r="B87" s="91"/>
      <c r="C87" s="67"/>
      <c r="D87" s="188"/>
      <c r="E87" s="188"/>
      <c r="F87" s="53"/>
      <c r="G87" s="91"/>
      <c r="H87" s="99"/>
      <c r="I87" s="91"/>
      <c r="J87" s="91"/>
      <c r="K87" s="53"/>
      <c r="L87" s="139"/>
      <c r="M87" s="114">
        <f t="shared" si="9"/>
        <v>85</v>
      </c>
      <c r="N87" s="75" t="str">
        <f>IF(ISERROR(VLOOKUP(O87,Taken!$E:$E,1,0)),"",IF(ISERROR(VLOOKUP(O87,'Draft Board'!$AS:$AS,1,0)),"X","Y"))</f>
        <v/>
      </c>
      <c r="O87" s="75" t="str">
        <f>VLOOKUP(M87,RB!Z:AA,2,0)</f>
        <v>Ronnie Brown</v>
      </c>
      <c r="P87" s="75" t="str">
        <f>VLOOKUP(O87,RB!$B:$C,2,0)</f>
        <v>SD</v>
      </c>
      <c r="Q87" s="72">
        <f>IF((P87="FA"),"N/A",VLOOKUP(P87,Settings!$M$2:$N$33,2,0))</f>
        <v>10</v>
      </c>
      <c r="R87" s="153">
        <f>VLOOKUP(O87,RB!$B:$Y,24,0)</f>
        <v>29.9</v>
      </c>
      <c r="S87" s="65">
        <f>R87-Settings!$AA$4</f>
        <v>-175.29393939393935</v>
      </c>
      <c r="T87" s="129" t="str">
        <f>IF(ISERROR(VLOOKUP(O87,ESPNData!$CS:$CX,6,0)),"",IF((VLOOKUP(O87,ESPNData!$CS:$CX,6,0)="--"),"",VLOOKUP(O87,ESPNData!$CS:$CX,6,0)))</f>
        <v/>
      </c>
      <c r="U87" s="75" t="str">
        <f>IF(ISERROR(VLOOKUP(O87,ESPNData!$CZ:$DE,6,0)),"",IF((VLOOKUP(O87,ESPNData!$CZ:$DE,6,0)="--"),"",VLOOKUP(O87,ESPNData!$CZ:$DE,6,0)))</f>
        <v/>
      </c>
      <c r="V87" s="69" t="str">
        <f>IF(ISERROR((VLOOKUP(O87,Taken!$E:$F,2,0)-T87)),"",(VLOOKUP(O87,Taken!$E:$F,2,0)-T87))</f>
        <v/>
      </c>
      <c r="W87" s="69">
        <v>1</v>
      </c>
      <c r="X87" s="43" t="str">
        <f>IF(ISERROR((VLOOKUP(O87,Taken!$E:$F,2,0)-W87)),"",(VLOOKUP(O87,Taken!$E:$F,2,0)-W87))</f>
        <v/>
      </c>
      <c r="Y87" s="114">
        <f t="shared" si="10"/>
        <v>85</v>
      </c>
      <c r="Z87" s="75" t="str">
        <f>IF(ISERROR(VLOOKUP(AA87,Taken!$H:$H,1,0)),"",IF(ISERROR(VLOOKUP(AA87,'Draft Board'!$AS:$AS,1,0)),"X","Y"))</f>
        <v/>
      </c>
      <c r="AA87" s="75" t="str">
        <f>VLOOKUP(Y87,WR!X:Y,2,0)</f>
        <v>Cole Beasley</v>
      </c>
      <c r="AB87" s="75" t="str">
        <f>VLOOKUP(AA87,WR!$B:$C,2,0)</f>
        <v>DAL</v>
      </c>
      <c r="AC87" s="72">
        <f>IF((AB87="FA"),"N/A",VLOOKUP(AB87,Settings!$M$2:$N$33,2,0))</f>
        <v>11</v>
      </c>
      <c r="AD87" s="153">
        <f>VLOOKUP(AA87,WR!$B:$W,22,0)</f>
        <v>60.5</v>
      </c>
      <c r="AE87" s="65">
        <f>AD87-Settings!$AA$5</f>
        <v>-140.5393939393939</v>
      </c>
      <c r="AF87" s="129" t="str">
        <f>IF(ISERROR(VLOOKUP(AA87,ESPNData!$CS:$CX,6,0)),"",IF((VLOOKUP(AA87,ESPNData!$CS:$CX,6,0)="--"),"",VLOOKUP(AA87,ESPNData!$CS:$CX,6,0)))</f>
        <v/>
      </c>
      <c r="AG87" s="75" t="str">
        <f>IF(ISERROR(VLOOKUP(AA87,ESPNData!$CZ:$DE,6,0)),"",IF((VLOOKUP(AA87,ESPNData!$CZ:$DE,6,0)="--"),"",VLOOKUP(AA87,ESPNData!$CZ:$DE,6,0)))</f>
        <v/>
      </c>
      <c r="AH87" s="69" t="str">
        <f>IF(ISERROR((VLOOKUP(AA87,Taken!$H:$I,2,0)-AF87)),"",(VLOOKUP(AA87,Taken!$H:$I,2,0)-AF87))</f>
        <v/>
      </c>
      <c r="AI87" s="69">
        <v>1</v>
      </c>
      <c r="AJ87" s="43" t="str">
        <f>IF(ISERROR((VLOOKUP(AA87,Taken!$H:$I,2,0)-AI87)),"",(VLOOKUP(AA87,Taken!$H:$I,2,0)-AI87))</f>
        <v/>
      </c>
      <c r="AK87" s="117"/>
      <c r="AL87" s="33"/>
      <c r="AM87" s="33"/>
      <c r="AN87" s="33"/>
      <c r="AO87" s="33"/>
      <c r="AP87" s="181"/>
      <c r="AQ87" s="33"/>
      <c r="AR87" s="111"/>
      <c r="AS87" s="33"/>
      <c r="AT87" s="33"/>
      <c r="AU87" s="181"/>
      <c r="AV87" s="33"/>
    </row>
    <row r="88" spans="1:48" ht="12.75" customHeight="1">
      <c r="A88" s="181"/>
      <c r="B88" s="33"/>
      <c r="C88" s="128" t="s">
        <v>17</v>
      </c>
      <c r="D88" s="109"/>
      <c r="E88" s="109"/>
      <c r="F88" s="181"/>
      <c r="G88" s="33"/>
      <c r="H88" s="111"/>
      <c r="I88" s="33"/>
      <c r="J88" s="33"/>
      <c r="K88" s="181"/>
      <c r="L88" s="31"/>
      <c r="M88" s="114">
        <f t="shared" si="9"/>
        <v>86</v>
      </c>
      <c r="N88" s="75" t="str">
        <f>IF(ISERROR(VLOOKUP(O88,Taken!$E:$E,1,0)),"",IF(ISERROR(VLOOKUP(O88,'Draft Board'!$AS:$AS,1,0)),"X","Y"))</f>
        <v/>
      </c>
      <c r="O88" s="75" t="str">
        <f>VLOOKUP(M88,RB!Z:AA,2,0)</f>
        <v>Peyton Hillis</v>
      </c>
      <c r="P88" s="75" t="str">
        <f>VLOOKUP(O88,RB!$B:$C,2,0)</f>
        <v>NYG</v>
      </c>
      <c r="Q88" s="72">
        <f>IF((P88="FA"),"N/A",VLOOKUP(P88,Settings!$M$2:$N$33,2,0))</f>
        <v>8</v>
      </c>
      <c r="R88" s="153">
        <f>VLOOKUP(O88,RB!$B:$Y,24,0)</f>
        <v>28.8</v>
      </c>
      <c r="S88" s="65">
        <f>R88-Settings!$AA$4</f>
        <v>-176.39393939393935</v>
      </c>
      <c r="T88" s="129" t="str">
        <f>IF(ISERROR(VLOOKUP(O88,ESPNData!$CS:$CX,6,0)),"",IF((VLOOKUP(O88,ESPNData!$CS:$CX,6,0)="--"),"",VLOOKUP(O88,ESPNData!$CS:$CX,6,0)))</f>
        <v/>
      </c>
      <c r="U88" s="75" t="str">
        <f>IF(ISERROR(VLOOKUP(O88,ESPNData!$CZ:$DE,6,0)),"",IF((VLOOKUP(O88,ESPNData!$CZ:$DE,6,0)="--"),"",VLOOKUP(O88,ESPNData!$CZ:$DE,6,0)))</f>
        <v/>
      </c>
      <c r="V88" s="69" t="str">
        <f>IF(ISERROR((VLOOKUP(O88,Taken!$E:$F,2,0)-T88)),"",(VLOOKUP(O88,Taken!$E:$F,2,0)-T88))</f>
        <v/>
      </c>
      <c r="W88" s="69">
        <v>1</v>
      </c>
      <c r="X88" s="43" t="str">
        <f>IF(ISERROR((VLOOKUP(O88,Taken!$E:$F,2,0)-W88)),"",(VLOOKUP(O88,Taken!$E:$F,2,0)-W88))</f>
        <v/>
      </c>
      <c r="Y88" s="114">
        <f t="shared" si="10"/>
        <v>86</v>
      </c>
      <c r="Z88" s="75" t="str">
        <f>IF(ISERROR(VLOOKUP(AA88,Taken!$H:$H,1,0)),"",IF(ISERROR(VLOOKUP(AA88,'Draft Board'!$AS:$AS,1,0)),"X","Y"))</f>
        <v/>
      </c>
      <c r="AA88" s="75" t="str">
        <f>VLOOKUP(Y88,WR!X:Y,2,0)</f>
        <v>Kenbrell Thompkins</v>
      </c>
      <c r="AB88" s="75" t="str">
        <f>VLOOKUP(AA88,WR!$B:$C,2,0)</f>
        <v>NE</v>
      </c>
      <c r="AC88" s="72">
        <f>IF((AB88="FA"),"N/A",VLOOKUP(AB88,Settings!$M$2:$N$33,2,0))</f>
        <v>10</v>
      </c>
      <c r="AD88" s="153">
        <f>VLOOKUP(AA88,WR!$B:$W,22,0)</f>
        <v>58.6</v>
      </c>
      <c r="AE88" s="65">
        <f>AD88-Settings!$AA$5</f>
        <v>-142.43939393939391</v>
      </c>
      <c r="AF88" s="129" t="str">
        <f>IF(ISERROR(VLOOKUP(AA88,ESPNData!$CS:$CX,6,0)),"",IF((VLOOKUP(AA88,ESPNData!$CS:$CX,6,0)="--"),"",VLOOKUP(AA88,ESPNData!$CS:$CX,6,0)))</f>
        <v/>
      </c>
      <c r="AG88" s="75" t="str">
        <f>IF(ISERROR(VLOOKUP(AA88,ESPNData!$CZ:$DE,6,0)),"",IF((VLOOKUP(AA88,ESPNData!$CZ:$DE,6,0)="--"),"",VLOOKUP(AA88,ESPNData!$CZ:$DE,6,0)))</f>
        <v/>
      </c>
      <c r="AH88" s="69" t="str">
        <f>IF(ISERROR((VLOOKUP(AA88,Taken!$H:$I,2,0)-AF88)),"",(VLOOKUP(AA88,Taken!$H:$I,2,0)-AF88))</f>
        <v/>
      </c>
      <c r="AI88" s="69">
        <v>1</v>
      </c>
      <c r="AJ88" s="43" t="str">
        <f>IF(ISERROR((VLOOKUP(AA88,Taken!$H:$I,2,0)-AI88)),"",(VLOOKUP(AA88,Taken!$H:$I,2,0)-AI88))</f>
        <v/>
      </c>
      <c r="AK88" s="117"/>
      <c r="AL88" s="33"/>
      <c r="AM88" s="33"/>
      <c r="AN88" s="33"/>
      <c r="AO88" s="33"/>
      <c r="AP88" s="181"/>
      <c r="AQ88" s="33"/>
      <c r="AR88" s="111"/>
      <c r="AS88" s="33"/>
      <c r="AT88" s="33"/>
      <c r="AU88" s="181"/>
      <c r="AV88" s="33"/>
    </row>
    <row r="89" spans="1:48" ht="12.75" customHeight="1">
      <c r="A89" s="181"/>
      <c r="B89" s="33"/>
      <c r="C89" t="s">
        <v>18</v>
      </c>
      <c r="D89" s="33">
        <f>SUM(H3:H32,H57:H86,T3:T102,AF3:AF102,AR3:AR32,AR35:AR64)</f>
        <v>1989</v>
      </c>
      <c r="E89" s="109"/>
      <c r="F89" s="181"/>
      <c r="G89" s="33"/>
      <c r="H89" s="111"/>
      <c r="I89" s="33"/>
      <c r="J89" s="33"/>
      <c r="K89" s="181"/>
      <c r="L89" s="31"/>
      <c r="M89" s="114">
        <f t="shared" si="9"/>
        <v>87</v>
      </c>
      <c r="N89" s="75" t="str">
        <f>IF(ISERROR(VLOOKUP(O89,Taken!$E:$E,1,0)),"",IF(ISERROR(VLOOKUP(O89,'Draft Board'!$AS:$AS,1,0)),"X","Y"))</f>
        <v/>
      </c>
      <c r="O89" s="75" t="str">
        <f>VLOOKUP(M89,RB!Z:AA,2,0)</f>
        <v>Daniel Thomas</v>
      </c>
      <c r="P89" s="75" t="str">
        <f>VLOOKUP(O89,RB!$B:$C,2,0)</f>
        <v>MIA</v>
      </c>
      <c r="Q89" s="72">
        <f>IF((P89="FA"),"N/A",VLOOKUP(P89,Settings!$M$2:$N$33,2,0))</f>
        <v>5</v>
      </c>
      <c r="R89" s="153">
        <f>VLOOKUP(O89,RB!$B:$Y,24,0)</f>
        <v>28.7</v>
      </c>
      <c r="S89" s="65">
        <f>R89-Settings!$AA$4</f>
        <v>-176.49393939393937</v>
      </c>
      <c r="T89" s="129" t="str">
        <f>IF(ISERROR(VLOOKUP(O89,ESPNData!$CS:$CX,6,0)),"",IF((VLOOKUP(O89,ESPNData!$CS:$CX,6,0)="--"),"",VLOOKUP(O89,ESPNData!$CS:$CX,6,0)))</f>
        <v/>
      </c>
      <c r="U89" s="75" t="str">
        <f>IF(ISERROR(VLOOKUP(O89,ESPNData!$CZ:$DE,6,0)),"",IF((VLOOKUP(O89,ESPNData!$CZ:$DE,6,0)="--"),"",VLOOKUP(O89,ESPNData!$CZ:$DE,6,0)))</f>
        <v/>
      </c>
      <c r="V89" s="69" t="str">
        <f>IF(ISERROR((VLOOKUP(O89,Taken!$E:$F,2,0)-T89)),"",(VLOOKUP(O89,Taken!$E:$F,2,0)-T89))</f>
        <v/>
      </c>
      <c r="W89" s="69">
        <v>1</v>
      </c>
      <c r="X89" s="43" t="str">
        <f>IF(ISERROR((VLOOKUP(O89,Taken!$E:$F,2,0)-W89)),"",(VLOOKUP(O89,Taken!$E:$F,2,0)-W89))</f>
        <v/>
      </c>
      <c r="Y89" s="114">
        <f t="shared" si="10"/>
        <v>87</v>
      </c>
      <c r="Z89" s="75" t="str">
        <f>IF(ISERROR(VLOOKUP(AA89,Taken!$H:$H,1,0)),"",IF(ISERROR(VLOOKUP(AA89,'Draft Board'!$AS:$AS,1,0)),"X","Y"))</f>
        <v/>
      </c>
      <c r="AA89" s="75" t="str">
        <f>VLOOKUP(Y89,WR!X:Y,2,0)</f>
        <v>Santana Moss</v>
      </c>
      <c r="AB89" s="75" t="str">
        <f>VLOOKUP(AA89,WR!$B:$C,2,0)</f>
        <v>WSH</v>
      </c>
      <c r="AC89" s="72">
        <f>IF((AB89="FA"),"N/A",VLOOKUP(AB89,Settings!$M$2:$N$33,2,0))</f>
        <v>10</v>
      </c>
      <c r="AD89" s="153">
        <f>VLOOKUP(AA89,WR!$B:$W,22,0)</f>
        <v>57.2</v>
      </c>
      <c r="AE89" s="65">
        <f>AD89-Settings!$AA$5</f>
        <v>-143.83939393939391</v>
      </c>
      <c r="AF89" s="129" t="str">
        <f>IF(ISERROR(VLOOKUP(AA89,ESPNData!$CS:$CX,6,0)),"",IF((VLOOKUP(AA89,ESPNData!$CS:$CX,6,0)="--"),"",VLOOKUP(AA89,ESPNData!$CS:$CX,6,0)))</f>
        <v/>
      </c>
      <c r="AG89" s="75" t="str">
        <f>IF(ISERROR(VLOOKUP(AA89,ESPNData!$CZ:$DE,6,0)),"",IF((VLOOKUP(AA89,ESPNData!$CZ:$DE,6,0)="--"),"",VLOOKUP(AA89,ESPNData!$CZ:$DE,6,0)))</f>
        <v/>
      </c>
      <c r="AH89" s="69" t="str">
        <f>IF(ISERROR((VLOOKUP(AA89,Taken!$H:$I,2,0)-AF89)),"",(VLOOKUP(AA89,Taken!$H:$I,2,0)-AF89))</f>
        <v/>
      </c>
      <c r="AI89" s="69">
        <v>1</v>
      </c>
      <c r="AJ89" s="43" t="str">
        <f>IF(ISERROR((VLOOKUP(AA89,Taken!$H:$I,2,0)-AI89)),"",(VLOOKUP(AA89,Taken!$H:$I,2,0)-AI89))</f>
        <v/>
      </c>
      <c r="AK89" s="117"/>
      <c r="AL89" s="33"/>
      <c r="AM89" s="33"/>
      <c r="AN89" s="33"/>
      <c r="AO89" s="33"/>
      <c r="AP89" s="181"/>
      <c r="AQ89" s="33"/>
      <c r="AR89" s="111"/>
      <c r="AS89" s="33"/>
      <c r="AT89" s="33"/>
      <c r="AU89" s="181"/>
      <c r="AV89" s="33"/>
    </row>
    <row r="90" spans="1:48" ht="12.75" customHeight="1">
      <c r="A90" s="181"/>
      <c r="B90" s="33"/>
      <c r="C90" t="s">
        <v>19</v>
      </c>
      <c r="D90" s="33">
        <f>COUNT(H3:H32,H57:H86,T3:T102,AF3:AF102,AR3:AR32,AR35:AR64)</f>
        <v>149</v>
      </c>
      <c r="E90" s="109"/>
      <c r="F90" s="181"/>
      <c r="G90" s="33"/>
      <c r="H90" s="111">
        <f>((((37+61)+61)+17)+11)+11</f>
        <v>198</v>
      </c>
      <c r="I90" s="33"/>
      <c r="J90" s="33"/>
      <c r="K90" s="181"/>
      <c r="L90" s="31"/>
      <c r="M90" s="114">
        <f t="shared" si="9"/>
        <v>88</v>
      </c>
      <c r="N90" s="75" t="str">
        <f>IF(ISERROR(VLOOKUP(O90,Taken!$E:$E,1,0)),"",IF(ISERROR(VLOOKUP(O90,'Draft Board'!$AS:$AS,1,0)),"X","Y"))</f>
        <v/>
      </c>
      <c r="O90" s="75" t="str">
        <f>VLOOKUP(M90,RB!Z:AA,2,0)</f>
        <v>Marcus Lattimore</v>
      </c>
      <c r="P90" s="75" t="str">
        <f>VLOOKUP(O90,RB!$B:$C,2,0)</f>
        <v>SF</v>
      </c>
      <c r="Q90" s="72">
        <f>IF((P90="FA"),"N/A",VLOOKUP(P90,Settings!$M$2:$N$33,2,0))</f>
        <v>8</v>
      </c>
      <c r="R90" s="153">
        <f>VLOOKUP(O90,RB!$B:$Y,24,0)</f>
        <v>27.3</v>
      </c>
      <c r="S90" s="65">
        <f>R90-Settings!$AA$4</f>
        <v>-177.89393939393935</v>
      </c>
      <c r="T90" s="129" t="str">
        <f>IF(ISERROR(VLOOKUP(O90,ESPNData!$CS:$CX,6,0)),"",IF((VLOOKUP(O90,ESPNData!$CS:$CX,6,0)="--"),"",VLOOKUP(O90,ESPNData!$CS:$CX,6,0)))</f>
        <v/>
      </c>
      <c r="U90" s="75" t="str">
        <f>IF(ISERROR(VLOOKUP(O90,ESPNData!$CZ:$DE,6,0)),"",IF((VLOOKUP(O90,ESPNData!$CZ:$DE,6,0)="--"),"",VLOOKUP(O90,ESPNData!$CZ:$DE,6,0)))</f>
        <v/>
      </c>
      <c r="V90" s="69" t="str">
        <f>IF(ISERROR((VLOOKUP(O90,Taken!$E:$F,2,0)-T90)),"",(VLOOKUP(O90,Taken!$E:$F,2,0)-T90))</f>
        <v/>
      </c>
      <c r="W90" s="69">
        <v>1</v>
      </c>
      <c r="X90" s="43" t="str">
        <f>IF(ISERROR((VLOOKUP(O90,Taken!$E:$F,2,0)-W90)),"",(VLOOKUP(O90,Taken!$E:$F,2,0)-W90))</f>
        <v/>
      </c>
      <c r="Y90" s="114">
        <f t="shared" si="10"/>
        <v>88</v>
      </c>
      <c r="Z90" s="75" t="str">
        <f>IF(ISERROR(VLOOKUP(AA90,Taken!$H:$H,1,0)),"",IF(ISERROR(VLOOKUP(AA90,'Draft Board'!$AS:$AS,1,0)),"X","Y"))</f>
        <v/>
      </c>
      <c r="AA90" s="75" t="str">
        <f>VLOOKUP(Y90,WR!X:Y,2,0)</f>
        <v>Vincent Brown</v>
      </c>
      <c r="AB90" s="75" t="str">
        <f>VLOOKUP(AA90,WR!$B:$C,2,0)</f>
        <v>SD</v>
      </c>
      <c r="AC90" s="72">
        <f>IF((AB90="FA"),"N/A",VLOOKUP(AB90,Settings!$M$2:$N$33,2,0))</f>
        <v>10</v>
      </c>
      <c r="AD90" s="153">
        <f>VLOOKUP(AA90,WR!$B:$W,22,0)</f>
        <v>55.3</v>
      </c>
      <c r="AE90" s="65">
        <f>AD90-Settings!$AA$5</f>
        <v>-145.73939393939389</v>
      </c>
      <c r="AF90" s="129" t="str">
        <f>IF(ISERROR(VLOOKUP(AA90,ESPNData!$CS:$CX,6,0)),"",IF((VLOOKUP(AA90,ESPNData!$CS:$CX,6,0)="--"),"",VLOOKUP(AA90,ESPNData!$CS:$CX,6,0)))</f>
        <v/>
      </c>
      <c r="AG90" s="75" t="str">
        <f>IF(ISERROR(VLOOKUP(AA90,ESPNData!$CZ:$DE,6,0)),"",IF((VLOOKUP(AA90,ESPNData!$CZ:$DE,6,0)="--"),"",VLOOKUP(AA90,ESPNData!$CZ:$DE,6,0)))</f>
        <v/>
      </c>
      <c r="AH90" s="69" t="str">
        <f>IF(ISERROR((VLOOKUP(AA90,Taken!$H:$I,2,0)-AF90)),"",(VLOOKUP(AA90,Taken!$H:$I,2,0)-AF90))</f>
        <v/>
      </c>
      <c r="AI90" s="69">
        <v>1</v>
      </c>
      <c r="AJ90" s="43" t="str">
        <f>IF(ISERROR((VLOOKUP(AA90,Taken!$H:$I,2,0)-AI90)),"",(VLOOKUP(AA90,Taken!$H:$I,2,0)-AI90))</f>
        <v/>
      </c>
      <c r="AK90" s="117"/>
      <c r="AL90" s="33"/>
      <c r="AM90" s="33"/>
      <c r="AN90" s="33"/>
      <c r="AO90" s="33"/>
      <c r="AP90" s="181"/>
      <c r="AQ90" s="33"/>
      <c r="AR90" s="111"/>
      <c r="AS90" s="33"/>
      <c r="AT90" s="33"/>
      <c r="AU90" s="181"/>
      <c r="AV90" s="33"/>
    </row>
    <row r="91" spans="1:48" ht="12.75" customHeight="1">
      <c r="A91" s="181"/>
      <c r="B91" s="33"/>
      <c r="D91" s="33"/>
      <c r="E91" s="109"/>
      <c r="F91" s="181"/>
      <c r="G91" s="33"/>
      <c r="H91" s="111"/>
      <c r="I91" s="33"/>
      <c r="J91" s="33"/>
      <c r="K91" s="181"/>
      <c r="L91" s="31"/>
      <c r="M91" s="114">
        <f t="shared" si="9"/>
        <v>89</v>
      </c>
      <c r="N91" s="75" t="str">
        <f>IF(ISERROR(VLOOKUP(O91,Taken!$E:$E,1,0)),"",IF(ISERROR(VLOOKUP(O91,'Draft Board'!$AS:$AS,1,0)),"X","Y"))</f>
        <v/>
      </c>
      <c r="O91" s="75" t="str">
        <f>VLOOKUP(M91,RB!Z:AA,2,0)</f>
        <v>Mike James</v>
      </c>
      <c r="P91" s="75" t="str">
        <f>VLOOKUP(O91,RB!$B:$C,2,0)</f>
        <v>TB</v>
      </c>
      <c r="Q91" s="72">
        <f>IF((P91="FA"),"N/A",VLOOKUP(P91,Settings!$M$2:$N$33,2,0))</f>
        <v>7</v>
      </c>
      <c r="R91" s="153">
        <f>VLOOKUP(O91,RB!$B:$Y,24,0)</f>
        <v>27.1</v>
      </c>
      <c r="S91" s="65">
        <f>R91-Settings!$AA$4</f>
        <v>-178.09393939393937</v>
      </c>
      <c r="T91" s="129" t="str">
        <f>IF(ISERROR(VLOOKUP(O91,ESPNData!$CS:$CX,6,0)),"",IF((VLOOKUP(O91,ESPNData!$CS:$CX,6,0)="--"),"",VLOOKUP(O91,ESPNData!$CS:$CX,6,0)))</f>
        <v/>
      </c>
      <c r="U91" s="75" t="str">
        <f>IF(ISERROR(VLOOKUP(O91,ESPNData!$CZ:$DE,6,0)),"",IF((VLOOKUP(O91,ESPNData!$CZ:$DE,6,0)="--"),"",VLOOKUP(O91,ESPNData!$CZ:$DE,6,0)))</f>
        <v/>
      </c>
      <c r="V91" s="69" t="str">
        <f>IF(ISERROR((VLOOKUP(O91,Taken!$E:$F,2,0)-T91)),"",(VLOOKUP(O91,Taken!$E:$F,2,0)-T91))</f>
        <v/>
      </c>
      <c r="W91" s="69">
        <v>1</v>
      </c>
      <c r="X91" s="43" t="str">
        <f>IF(ISERROR((VLOOKUP(O91,Taken!$E:$F,2,0)-W91)),"",(VLOOKUP(O91,Taken!$E:$F,2,0)-W91))</f>
        <v/>
      </c>
      <c r="Y91" s="114">
        <f t="shared" si="10"/>
        <v>89</v>
      </c>
      <c r="Z91" s="75" t="str">
        <f>IF(ISERROR(VLOOKUP(AA91,Taken!$H:$H,1,0)),"",IF(ISERROR(VLOOKUP(AA91,'Draft Board'!$AS:$AS,1,0)),"X","Y"))</f>
        <v/>
      </c>
      <c r="AA91" s="75" t="str">
        <f>VLOOKUP(Y91,WR!X:Y,2,0)</f>
        <v>Nate Burleson</v>
      </c>
      <c r="AB91" s="75" t="str">
        <f>VLOOKUP(AA91,WR!$B:$C,2,0)</f>
        <v>CLE</v>
      </c>
      <c r="AC91" s="72">
        <f>IF((AB91="FA"),"N/A",VLOOKUP(AB91,Settings!$M$2:$N$33,2,0))</f>
        <v>4</v>
      </c>
      <c r="AD91" s="153">
        <f>VLOOKUP(AA91,WR!$B:$W,22,0)</f>
        <v>54.8</v>
      </c>
      <c r="AE91" s="65">
        <f>AD91-Settings!$AA$5</f>
        <v>-146.23939393939389</v>
      </c>
      <c r="AF91" s="129" t="str">
        <f>IF(ISERROR(VLOOKUP(AA91,ESPNData!$CS:$CX,6,0)),"",IF((VLOOKUP(AA91,ESPNData!$CS:$CX,6,0)="--"),"",VLOOKUP(AA91,ESPNData!$CS:$CX,6,0)))</f>
        <v/>
      </c>
      <c r="AG91" s="75" t="str">
        <f>IF(ISERROR(VLOOKUP(AA91,ESPNData!$CZ:$DE,6,0)),"",IF((VLOOKUP(AA91,ESPNData!$CZ:$DE,6,0)="--"),"",VLOOKUP(AA91,ESPNData!$CZ:$DE,6,0)))</f>
        <v/>
      </c>
      <c r="AH91" s="69" t="str">
        <f>IF(ISERROR((VLOOKUP(AA91,Taken!$H:$I,2,0)-AF91)),"",(VLOOKUP(AA91,Taken!$H:$I,2,0)-AF91))</f>
        <v/>
      </c>
      <c r="AI91" s="69">
        <v>1</v>
      </c>
      <c r="AJ91" s="43" t="str">
        <f>IF(ISERROR((VLOOKUP(AA91,Taken!$H:$I,2,0)-AI91)),"",(VLOOKUP(AA91,Taken!$H:$I,2,0)-AI91))</f>
        <v/>
      </c>
      <c r="AK91" s="117"/>
      <c r="AL91" s="33"/>
      <c r="AM91" s="33"/>
      <c r="AN91" s="33"/>
      <c r="AO91" s="33"/>
      <c r="AP91" s="181"/>
      <c r="AQ91" s="33"/>
      <c r="AR91" s="111"/>
      <c r="AS91" s="33"/>
      <c r="AT91" s="33"/>
      <c r="AU91" s="181"/>
      <c r="AV91" s="33"/>
    </row>
    <row r="92" spans="1:48" ht="12.75" customHeight="1">
      <c r="A92" s="181"/>
      <c r="B92" s="33"/>
      <c r="C92" s="33"/>
      <c r="D92" s="109"/>
      <c r="E92" s="109"/>
      <c r="F92" s="181"/>
      <c r="G92" s="33"/>
      <c r="H92" s="111"/>
      <c r="I92" s="33"/>
      <c r="J92" s="33"/>
      <c r="K92" s="181"/>
      <c r="L92" s="31"/>
      <c r="M92" s="114">
        <f t="shared" si="9"/>
        <v>90</v>
      </c>
      <c r="N92" s="75" t="str">
        <f>IF(ISERROR(VLOOKUP(O92,Taken!$E:$E,1,0)),"",IF(ISERROR(VLOOKUP(O92,'Draft Board'!$AS:$AS,1,0)),"X","Y"))</f>
        <v/>
      </c>
      <c r="O92" s="75" t="str">
        <f>VLOOKUP(M92,RB!Z:AA,2,0)</f>
        <v>Isaiah Crowell</v>
      </c>
      <c r="P92" s="75" t="str">
        <f>VLOOKUP(O92,RB!$B:$C,2,0)</f>
        <v>CLE</v>
      </c>
      <c r="Q92" s="72">
        <f>IF((P92="FA"),"N/A",VLOOKUP(P92,Settings!$M$2:$N$33,2,0))</f>
        <v>4</v>
      </c>
      <c r="R92" s="153">
        <f>VLOOKUP(O92,RB!$B:$Y,24,0)</f>
        <v>26.9</v>
      </c>
      <c r="S92" s="65">
        <f>R92-Settings!$AA$4</f>
        <v>-178.29393939393935</v>
      </c>
      <c r="T92" s="129" t="str">
        <f>IF(ISERROR(VLOOKUP(O92,ESPNData!$CS:$CX,6,0)),"",IF((VLOOKUP(O92,ESPNData!$CS:$CX,6,0)="--"),"",VLOOKUP(O92,ESPNData!$CS:$CX,6,0)))</f>
        <v/>
      </c>
      <c r="U92" s="75" t="str">
        <f>IF(ISERROR(VLOOKUP(O92,ESPNData!$CZ:$DE,6,0)),"",IF((VLOOKUP(O92,ESPNData!$CZ:$DE,6,0)="--"),"",VLOOKUP(O92,ESPNData!$CZ:$DE,6,0)))</f>
        <v/>
      </c>
      <c r="V92" s="69" t="str">
        <f>IF(ISERROR((VLOOKUP(O92,Taken!$E:$F,2,0)-T92)),"",(VLOOKUP(O92,Taken!$E:$F,2,0)-T92))</f>
        <v/>
      </c>
      <c r="W92" s="69">
        <v>1</v>
      </c>
      <c r="X92" s="43" t="str">
        <f>IF(ISERROR((VLOOKUP(O92,Taken!$E:$F,2,0)-W92)),"",(VLOOKUP(O92,Taken!$E:$F,2,0)-W92))</f>
        <v/>
      </c>
      <c r="Y92" s="114">
        <f t="shared" si="10"/>
        <v>90</v>
      </c>
      <c r="Z92" s="75" t="str">
        <f>IF(ISERROR(VLOOKUP(AA92,Taken!$H:$H,1,0)),"",IF(ISERROR(VLOOKUP(AA92,'Draft Board'!$AS:$AS,1,0)),"X","Y"))</f>
        <v/>
      </c>
      <c r="AA92" s="75" t="str">
        <f>VLOOKUP(Y92,WR!X:Y,2,0)</f>
        <v>Miles Austin</v>
      </c>
      <c r="AB92" s="75" t="str">
        <f>VLOOKUP(AA92,WR!$B:$C,2,0)</f>
        <v>CLE</v>
      </c>
      <c r="AC92" s="72">
        <f>IF((AB92="FA"),"N/A",VLOOKUP(AB92,Settings!$M$2:$N$33,2,0))</f>
        <v>4</v>
      </c>
      <c r="AD92" s="153">
        <f>VLOOKUP(AA92,WR!$B:$W,22,0)</f>
        <v>54.2</v>
      </c>
      <c r="AE92" s="65">
        <f>AD92-Settings!$AA$5</f>
        <v>-146.83939393939391</v>
      </c>
      <c r="AF92" s="129" t="str">
        <f>IF(ISERROR(VLOOKUP(AA92,ESPNData!$CS:$CX,6,0)),"",IF((VLOOKUP(AA92,ESPNData!$CS:$CX,6,0)="--"),"",VLOOKUP(AA92,ESPNData!$CS:$CX,6,0)))</f>
        <v/>
      </c>
      <c r="AG92" s="75" t="str">
        <f>IF(ISERROR(VLOOKUP(AA92,ESPNData!$CZ:$DE,6,0)),"",IF((VLOOKUP(AA92,ESPNData!$CZ:$DE,6,0)="--"),"",VLOOKUP(AA92,ESPNData!$CZ:$DE,6,0)))</f>
        <v/>
      </c>
      <c r="AH92" s="69" t="str">
        <f>IF(ISERROR((VLOOKUP(AA92,Taken!$H:$I,2,0)-AF92)),"",(VLOOKUP(AA92,Taken!$H:$I,2,0)-AF92))</f>
        <v/>
      </c>
      <c r="AI92" s="69">
        <v>1</v>
      </c>
      <c r="AJ92" s="43" t="str">
        <f>IF(ISERROR((VLOOKUP(AA92,Taken!$H:$I,2,0)-AI92)),"",(VLOOKUP(AA92,Taken!$H:$I,2,0)-AI92))</f>
        <v/>
      </c>
      <c r="AK92" s="117"/>
      <c r="AL92" s="33"/>
      <c r="AM92" s="33"/>
      <c r="AN92" s="33"/>
      <c r="AO92" s="33"/>
      <c r="AP92" s="181"/>
      <c r="AQ92" s="33"/>
      <c r="AR92" s="111"/>
      <c r="AS92" s="33"/>
      <c r="AT92" s="33"/>
      <c r="AU92" s="181"/>
      <c r="AV92" s="33"/>
    </row>
    <row r="93" spans="1:48" ht="12.75" customHeight="1">
      <c r="A93" s="181"/>
      <c r="B93" s="33"/>
      <c r="D93" s="55" t="s">
        <v>20</v>
      </c>
      <c r="E93" s="55"/>
      <c r="F93" s="128" t="s">
        <v>21</v>
      </c>
      <c r="G93" s="33"/>
      <c r="H93" s="111"/>
      <c r="I93" s="33"/>
      <c r="J93" s="33"/>
      <c r="K93" s="181"/>
      <c r="L93" s="31"/>
      <c r="M93" s="114">
        <f t="shared" si="9"/>
        <v>91</v>
      </c>
      <c r="N93" s="75" t="str">
        <f>IF(ISERROR(VLOOKUP(O93,Taken!$E:$E,1,0)),"",IF(ISERROR(VLOOKUP(O93,'Draft Board'!$AS:$AS,1,0)),"X","Y"))</f>
        <v/>
      </c>
      <c r="O93" s="75" t="str">
        <f>VLOOKUP(M93,RB!Z:AA,2,0)</f>
        <v>Benny Cunningham</v>
      </c>
      <c r="P93" s="75" t="str">
        <f>VLOOKUP(O93,RB!$B:$C,2,0)</f>
        <v>STL</v>
      </c>
      <c r="Q93" s="72">
        <f>IF((P93="FA"),"N/A",VLOOKUP(P93,Settings!$M$2:$N$33,2,0))</f>
        <v>4</v>
      </c>
      <c r="R93" s="153">
        <f>VLOOKUP(O93,RB!$B:$Y,24,0)</f>
        <v>26</v>
      </c>
      <c r="S93" s="65">
        <f>R93-Settings!$AA$4</f>
        <v>-179.19393939393936</v>
      </c>
      <c r="T93" s="129" t="str">
        <f>IF(ISERROR(VLOOKUP(O93,ESPNData!$CS:$CX,6,0)),"",IF((VLOOKUP(O93,ESPNData!$CS:$CX,6,0)="--"),"",VLOOKUP(O93,ESPNData!$CS:$CX,6,0)))</f>
        <v/>
      </c>
      <c r="U93" s="75" t="str">
        <f>IF(ISERROR(VLOOKUP(O93,ESPNData!$CZ:$DE,6,0)),"",IF((VLOOKUP(O93,ESPNData!$CZ:$DE,6,0)="--"),"",VLOOKUP(O93,ESPNData!$CZ:$DE,6,0)))</f>
        <v/>
      </c>
      <c r="V93" s="69" t="str">
        <f>IF(ISERROR((VLOOKUP(O93,Taken!$E:$F,2,0)-T93)),"",(VLOOKUP(O93,Taken!$E:$F,2,0)-T93))</f>
        <v/>
      </c>
      <c r="W93" s="69">
        <v>1</v>
      </c>
      <c r="X93" s="43" t="str">
        <f>IF(ISERROR((VLOOKUP(O93,Taken!$E:$F,2,0)-W93)),"",(VLOOKUP(O93,Taken!$E:$F,2,0)-W93))</f>
        <v/>
      </c>
      <c r="Y93" s="114">
        <f t="shared" si="10"/>
        <v>91</v>
      </c>
      <c r="Z93" s="75" t="str">
        <f>IF(ISERROR(VLOOKUP(AA93,Taken!$H:$H,1,0)),"",IF(ISERROR(VLOOKUP(AA93,'Draft Board'!$AS:$AS,1,0)),"X","Y"))</f>
        <v/>
      </c>
      <c r="AA93" s="75" t="str">
        <f>VLOOKUP(Y93,WR!X:Y,2,0)</f>
        <v>Stephen Hill</v>
      </c>
      <c r="AB93" s="75" t="str">
        <f>VLOOKUP(AA93,WR!$B:$C,2,0)</f>
        <v>NYJ</v>
      </c>
      <c r="AC93" s="72">
        <f>IF((AB93="FA"),"N/A",VLOOKUP(AB93,Settings!$M$2:$N$33,2,0))</f>
        <v>11</v>
      </c>
      <c r="AD93" s="153">
        <f>VLOOKUP(AA93,WR!$B:$W,22,0)</f>
        <v>53.6</v>
      </c>
      <c r="AE93" s="65">
        <f>AD93-Settings!$AA$5</f>
        <v>-147.43939393939391</v>
      </c>
      <c r="AF93" s="129" t="str">
        <f>IF(ISERROR(VLOOKUP(AA93,ESPNData!$CS:$CX,6,0)),"",IF((VLOOKUP(AA93,ESPNData!$CS:$CX,6,0)="--"),"",VLOOKUP(AA93,ESPNData!$CS:$CX,6,0)))</f>
        <v/>
      </c>
      <c r="AG93" s="75" t="str">
        <f>IF(ISERROR(VLOOKUP(AA93,ESPNData!$CZ:$DE,6,0)),"",IF((VLOOKUP(AA93,ESPNData!$CZ:$DE,6,0)="--"),"",VLOOKUP(AA93,ESPNData!$CZ:$DE,6,0)))</f>
        <v/>
      </c>
      <c r="AH93" s="69" t="str">
        <f>IF(ISERROR((VLOOKUP(AA93,Taken!$H:$I,2,0)-AF93)),"",(VLOOKUP(AA93,Taken!$H:$I,2,0)-AF93))</f>
        <v/>
      </c>
      <c r="AI93" s="69">
        <v>1</v>
      </c>
      <c r="AJ93" s="43" t="str">
        <f>IF(ISERROR((VLOOKUP(AA93,Taken!$H:$I,2,0)-AI93)),"",(VLOOKUP(AA93,Taken!$H:$I,2,0)-AI93))</f>
        <v/>
      </c>
      <c r="AK93" s="117"/>
      <c r="AL93" s="33"/>
      <c r="AM93" s="33"/>
      <c r="AN93" s="33"/>
      <c r="AO93" s="33"/>
      <c r="AP93" s="181"/>
      <c r="AQ93" s="33"/>
      <c r="AR93" s="111"/>
      <c r="AS93" s="33"/>
      <c r="AT93" s="33"/>
      <c r="AU93" s="181"/>
      <c r="AV93" s="33"/>
    </row>
    <row r="94" spans="1:48" ht="12.75" customHeight="1">
      <c r="A94" s="181"/>
      <c r="B94" s="33"/>
      <c r="C94" s="111" t="s">
        <v>0</v>
      </c>
      <c r="D94" s="109">
        <f>SUM(H3:H32)</f>
        <v>217</v>
      </c>
      <c r="E94" s="202">
        <f t="shared" ref="E94:E99" si="11">D94/SUM($D$94:$D$99)</f>
        <v>0.10910005027652087</v>
      </c>
      <c r="F94" s="33">
        <f>SUM(H3:H12)</f>
        <v>207</v>
      </c>
      <c r="G94" s="2">
        <f t="shared" ref="G94:G99" si="12">F94/SUM($F$94:$F$99)</f>
        <v>0.1195840554592721</v>
      </c>
      <c r="H94" s="98">
        <f t="shared" ref="H94:H99" si="13">F94/D94</f>
        <v>0.95391705069124422</v>
      </c>
      <c r="I94" s="33">
        <v>1</v>
      </c>
      <c r="J94" s="33"/>
      <c r="K94" s="181"/>
      <c r="L94" s="31"/>
      <c r="M94" s="114">
        <f t="shared" si="9"/>
        <v>92</v>
      </c>
      <c r="N94" s="75" t="str">
        <f>IF(ISERROR(VLOOKUP(O94,Taken!$E:$E,1,0)),"",IF(ISERROR(VLOOKUP(O94,'Draft Board'!$AS:$AS,1,0)),"X","Y"))</f>
        <v/>
      </c>
      <c r="O94" s="75" t="str">
        <f>VLOOKUP(M94,RB!Z:AA,2,0)</f>
        <v>Matt Asiata</v>
      </c>
      <c r="P94" s="75" t="str">
        <f>VLOOKUP(O94,RB!$B:$C,2,0)</f>
        <v>MIN</v>
      </c>
      <c r="Q94" s="72">
        <f>IF((P94="FA"),"N/A",VLOOKUP(P94,Settings!$M$2:$N$33,2,0))</f>
        <v>10</v>
      </c>
      <c r="R94" s="153">
        <f>VLOOKUP(O94,RB!$B:$Y,24,0)</f>
        <v>24.7</v>
      </c>
      <c r="S94" s="65">
        <f>R94-Settings!$AA$4</f>
        <v>-180.49393939393937</v>
      </c>
      <c r="T94" s="129" t="str">
        <f>IF(ISERROR(VLOOKUP(O94,ESPNData!$CS:$CX,6,0)),"",IF((VLOOKUP(O94,ESPNData!$CS:$CX,6,0)="--"),"",VLOOKUP(O94,ESPNData!$CS:$CX,6,0)))</f>
        <v/>
      </c>
      <c r="U94" s="75" t="str">
        <f>IF(ISERROR(VLOOKUP(O94,ESPNData!$CZ:$DE,6,0)),"",IF((VLOOKUP(O94,ESPNData!$CZ:$DE,6,0)="--"),"",VLOOKUP(O94,ESPNData!$CZ:$DE,6,0)))</f>
        <v/>
      </c>
      <c r="V94" s="69" t="str">
        <f>IF(ISERROR((VLOOKUP(O94,Taken!$E:$F,2,0)-T94)),"",(VLOOKUP(O94,Taken!$E:$F,2,0)-T94))</f>
        <v/>
      </c>
      <c r="W94" s="69">
        <v>1</v>
      </c>
      <c r="X94" s="43" t="str">
        <f>IF(ISERROR((VLOOKUP(O94,Taken!$E:$F,2,0)-W94)),"",(VLOOKUP(O94,Taken!$E:$F,2,0)-W94))</f>
        <v/>
      </c>
      <c r="Y94" s="114">
        <f t="shared" si="10"/>
        <v>92</v>
      </c>
      <c r="Z94" s="75" t="str">
        <f>IF(ISERROR(VLOOKUP(AA94,Taken!$H:$H,1,0)),"",IF(ISERROR(VLOOKUP(AA94,'Draft Board'!$AS:$AS,1,0)),"X","Y"))</f>
        <v/>
      </c>
      <c r="AA94" s="75" t="str">
        <f>VLOOKUP(Y94,WR!X:Y,2,0)</f>
        <v>Jarvis Landry</v>
      </c>
      <c r="AB94" s="75" t="str">
        <f>VLOOKUP(AA94,WR!$B:$C,2,0)</f>
        <v>MIA</v>
      </c>
      <c r="AC94" s="72">
        <f>IF((AB94="FA"),"N/A",VLOOKUP(AB94,Settings!$M$2:$N$33,2,0))</f>
        <v>5</v>
      </c>
      <c r="AD94" s="153">
        <f>VLOOKUP(AA94,WR!$B:$W,22,0)</f>
        <v>51.8</v>
      </c>
      <c r="AE94" s="65">
        <f>AD94-Settings!$AA$5</f>
        <v>-149.23939393939389</v>
      </c>
      <c r="AF94" s="129" t="str">
        <f>IF(ISERROR(VLOOKUP(AA94,ESPNData!$CS:$CX,6,0)),"",IF((VLOOKUP(AA94,ESPNData!$CS:$CX,6,0)="--"),"",VLOOKUP(AA94,ESPNData!$CS:$CX,6,0)))</f>
        <v/>
      </c>
      <c r="AG94" s="75" t="str">
        <f>IF(ISERROR(VLOOKUP(AA94,ESPNData!$CZ:$DE,6,0)),"",IF((VLOOKUP(AA94,ESPNData!$CZ:$DE,6,0)="--"),"",VLOOKUP(AA94,ESPNData!$CZ:$DE,6,0)))</f>
        <v/>
      </c>
      <c r="AH94" s="69" t="str">
        <f>IF(ISERROR((VLOOKUP(AA94,Taken!$H:$I,2,0)-AF94)),"",(VLOOKUP(AA94,Taken!$H:$I,2,0)-AF94))</f>
        <v/>
      </c>
      <c r="AI94" s="69">
        <v>1</v>
      </c>
      <c r="AJ94" s="43" t="str">
        <f>IF(ISERROR((VLOOKUP(AA94,Taken!$H:$I,2,0)-AI94)),"",(VLOOKUP(AA94,Taken!$H:$I,2,0)-AI94))</f>
        <v/>
      </c>
      <c r="AK94" s="117"/>
      <c r="AL94" s="33"/>
      <c r="AM94" s="33"/>
      <c r="AN94" s="33"/>
      <c r="AO94" s="33"/>
      <c r="AP94" s="181"/>
      <c r="AQ94" s="33"/>
      <c r="AR94" s="111"/>
      <c r="AS94" s="33"/>
      <c r="AT94" s="33"/>
      <c r="AU94" s="181"/>
      <c r="AV94" s="33"/>
    </row>
    <row r="95" spans="1:48" ht="12.75" customHeight="1">
      <c r="A95" s="181"/>
      <c r="B95" s="33"/>
      <c r="C95" s="111" t="s">
        <v>2</v>
      </c>
      <c r="D95" s="109">
        <f>SUM(T3:T102)</f>
        <v>929</v>
      </c>
      <c r="E95" s="202">
        <f t="shared" si="11"/>
        <v>0.46706887883358472</v>
      </c>
      <c r="F95" s="33">
        <f>SUM(T3:T27)</f>
        <v>782</v>
      </c>
      <c r="G95" s="2">
        <f t="shared" si="12"/>
        <v>0.45176198729058348</v>
      </c>
      <c r="H95" s="98">
        <f t="shared" si="13"/>
        <v>0.84176533907427342</v>
      </c>
      <c r="I95" s="33">
        <v>2.5</v>
      </c>
      <c r="J95" s="33"/>
      <c r="K95" s="181"/>
      <c r="L95" s="31"/>
      <c r="M95" s="114">
        <f t="shared" si="9"/>
        <v>93</v>
      </c>
      <c r="N95" s="75" t="str">
        <f>IF(ISERROR(VLOOKUP(O95,Taken!$E:$E,1,0)),"",IF(ISERROR(VLOOKUP(O95,'Draft Board'!$AS:$AS,1,0)),"X","Y"))</f>
        <v/>
      </c>
      <c r="O95" s="75" t="str">
        <f>VLOOKUP(M95,RB!Z:AA,2,0)</f>
        <v>Dri Archer</v>
      </c>
      <c r="P95" s="75" t="str">
        <f>VLOOKUP(O95,RB!$B:$C,2,0)</f>
        <v>PIT</v>
      </c>
      <c r="Q95" s="72">
        <f>IF((P95="FA"),"N/A",VLOOKUP(P95,Settings!$M$2:$N$33,2,0))</f>
        <v>12</v>
      </c>
      <c r="R95" s="153">
        <f>VLOOKUP(O95,RB!$B:$Y,24,0)</f>
        <v>24.7</v>
      </c>
      <c r="S95" s="65">
        <f>R95-Settings!$AA$4</f>
        <v>-180.49393939393937</v>
      </c>
      <c r="T95" s="129" t="str">
        <f>IF(ISERROR(VLOOKUP(O95,ESPNData!$CS:$CX,6,0)),"",IF((VLOOKUP(O95,ESPNData!$CS:$CX,6,0)="--"),"",VLOOKUP(O95,ESPNData!$CS:$CX,6,0)))</f>
        <v/>
      </c>
      <c r="U95" s="75" t="str">
        <f>IF(ISERROR(VLOOKUP(O95,ESPNData!$CZ:$DE,6,0)),"",IF((VLOOKUP(O95,ESPNData!$CZ:$DE,6,0)="--"),"",VLOOKUP(O95,ESPNData!$CZ:$DE,6,0)))</f>
        <v/>
      </c>
      <c r="V95" s="69" t="str">
        <f>IF(ISERROR((VLOOKUP(O95,Taken!$E:$F,2,0)-T95)),"",(VLOOKUP(O95,Taken!$E:$F,2,0)-T95))</f>
        <v/>
      </c>
      <c r="W95" s="69">
        <v>1</v>
      </c>
      <c r="X95" s="43" t="str">
        <f>IF(ISERROR((VLOOKUP(O95,Taken!$E:$F,2,0)-W95)),"",(VLOOKUP(O95,Taken!$E:$F,2,0)-W95))</f>
        <v/>
      </c>
      <c r="Y95" s="114">
        <f t="shared" si="10"/>
        <v>93</v>
      </c>
      <c r="Z95" s="75" t="str">
        <f>IF(ISERROR(VLOOKUP(AA95,Taken!$H:$H,1,0)),"",IF(ISERROR(VLOOKUP(AA95,'Draft Board'!$AS:$AS,1,0)),"X","Y"))</f>
        <v/>
      </c>
      <c r="AA95" s="75" t="str">
        <f>VLOOKUP(Y95,WR!X:Y,2,0)</f>
        <v>Davante Adams</v>
      </c>
      <c r="AB95" s="75" t="str">
        <f>VLOOKUP(AA95,WR!$B:$C,2,0)</f>
        <v>GB</v>
      </c>
      <c r="AC95" s="72">
        <f>IF((AB95="FA"),"N/A",VLOOKUP(AB95,Settings!$M$2:$N$33,2,0))</f>
        <v>9</v>
      </c>
      <c r="AD95" s="153">
        <f>VLOOKUP(AA95,WR!$B:$W,22,0)</f>
        <v>51.3</v>
      </c>
      <c r="AE95" s="65">
        <f>AD95-Settings!$AA$5</f>
        <v>-149.73939393939389</v>
      </c>
      <c r="AF95" s="129" t="str">
        <f>IF(ISERROR(VLOOKUP(AA95,ESPNData!$CS:$CX,6,0)),"",IF((VLOOKUP(AA95,ESPNData!$CS:$CX,6,0)="--"),"",VLOOKUP(AA95,ESPNData!$CS:$CX,6,0)))</f>
        <v/>
      </c>
      <c r="AG95" s="75" t="str">
        <f>IF(ISERROR(VLOOKUP(AA95,ESPNData!$CZ:$DE,6,0)),"",IF((VLOOKUP(AA95,ESPNData!$CZ:$DE,6,0)="--"),"",VLOOKUP(AA95,ESPNData!$CZ:$DE,6,0)))</f>
        <v/>
      </c>
      <c r="AH95" s="69" t="str">
        <f>IF(ISERROR((VLOOKUP(AA95,Taken!$H:$I,2,0)-AF95)),"",(VLOOKUP(AA95,Taken!$H:$I,2,0)-AF95))</f>
        <v/>
      </c>
      <c r="AI95" s="69">
        <v>1</v>
      </c>
      <c r="AJ95" s="43" t="str">
        <f>IF(ISERROR((VLOOKUP(AA95,Taken!$H:$I,2,0)-AI95)),"",(VLOOKUP(AA95,Taken!$H:$I,2,0)-AI95))</f>
        <v/>
      </c>
      <c r="AK95" s="117"/>
      <c r="AL95" s="33"/>
      <c r="AM95" s="33"/>
      <c r="AN95" s="33"/>
      <c r="AO95" s="33"/>
      <c r="AP95" s="181"/>
      <c r="AQ95" s="33"/>
      <c r="AR95" s="111"/>
      <c r="AS95" s="33"/>
      <c r="AT95" s="33"/>
      <c r="AU95" s="181"/>
      <c r="AV95" s="33"/>
    </row>
    <row r="96" spans="1:48" ht="12.75" customHeight="1">
      <c r="A96" s="181"/>
      <c r="B96" s="33"/>
      <c r="C96" s="111" t="s">
        <v>3</v>
      </c>
      <c r="D96" s="109">
        <f>SUM(AF3:AF102)</f>
        <v>708</v>
      </c>
      <c r="E96" s="202">
        <f t="shared" si="11"/>
        <v>0.35595776772247362</v>
      </c>
      <c r="F96" s="33">
        <f>SUM(AF3:AF27)</f>
        <v>607</v>
      </c>
      <c r="G96" s="2">
        <f t="shared" si="12"/>
        <v>0.35066435586366262</v>
      </c>
      <c r="H96" s="98">
        <f t="shared" si="13"/>
        <v>0.85734463276836159</v>
      </c>
      <c r="I96" s="33">
        <v>2.5</v>
      </c>
      <c r="J96" s="33"/>
      <c r="K96" s="181"/>
      <c r="L96" s="31"/>
      <c r="M96" s="114">
        <f t="shared" si="9"/>
        <v>94</v>
      </c>
      <c r="N96" s="75" t="str">
        <f>IF(ISERROR(VLOOKUP(O96,Taken!$E:$E,1,0)),"",IF(ISERROR(VLOOKUP(O96,'Draft Board'!$AS:$AS,1,0)),"X","Y"))</f>
        <v/>
      </c>
      <c r="O96" s="75" t="str">
        <f>VLOOKUP(M96,RB!Z:AA,2,0)</f>
        <v>Lache Seastrunk</v>
      </c>
      <c r="P96" s="75" t="str">
        <f>VLOOKUP(O96,RB!$B:$C,2,0)</f>
        <v>WSH</v>
      </c>
      <c r="Q96" s="72">
        <f>IF((P96="FA"),"N/A",VLOOKUP(P96,Settings!$M$2:$N$33,2,0))</f>
        <v>10</v>
      </c>
      <c r="R96" s="153">
        <f>VLOOKUP(O96,RB!$B:$Y,24,0)</f>
        <v>23.2</v>
      </c>
      <c r="S96" s="65">
        <f>R96-Settings!$AA$4</f>
        <v>-181.99393939393937</v>
      </c>
      <c r="T96" s="129" t="str">
        <f>IF(ISERROR(VLOOKUP(O96,ESPNData!$CS:$CX,6,0)),"",IF((VLOOKUP(O96,ESPNData!$CS:$CX,6,0)="--"),"",VLOOKUP(O96,ESPNData!$CS:$CX,6,0)))</f>
        <v/>
      </c>
      <c r="U96" s="75" t="str">
        <f>IF(ISERROR(VLOOKUP(O96,ESPNData!$CZ:$DE,6,0)),"",IF((VLOOKUP(O96,ESPNData!$CZ:$DE,6,0)="--"),"",VLOOKUP(O96,ESPNData!$CZ:$DE,6,0)))</f>
        <v/>
      </c>
      <c r="V96" s="69" t="str">
        <f>IF(ISERROR((VLOOKUP(O96,Taken!$E:$F,2,0)-T96)),"",(VLOOKUP(O96,Taken!$E:$F,2,0)-T96))</f>
        <v/>
      </c>
      <c r="W96" s="69">
        <v>1</v>
      </c>
      <c r="X96" s="43" t="str">
        <f>IF(ISERROR((VLOOKUP(O96,Taken!$E:$F,2,0)-W96)),"",(VLOOKUP(O96,Taken!$E:$F,2,0)-W96))</f>
        <v/>
      </c>
      <c r="Y96" s="114">
        <f t="shared" si="10"/>
        <v>94</v>
      </c>
      <c r="Z96" s="75" t="str">
        <f>IF(ISERROR(VLOOKUP(AA96,Taken!$H:$H,1,0)),"",IF(ISERROR(VLOOKUP(AA96,'Draft Board'!$AS:$AS,1,0)),"X","Y"))</f>
        <v/>
      </c>
      <c r="AA96" s="75" t="str">
        <f>VLOOKUP(Y96,WR!X:Y,2,0)</f>
        <v>Ted Ginn</v>
      </c>
      <c r="AB96" s="75" t="str">
        <f>VLOOKUP(AA96,WR!$B:$C,2,0)</f>
        <v>ARI</v>
      </c>
      <c r="AC96" s="72">
        <f>IF((AB96="FA"),"N/A",VLOOKUP(AB96,Settings!$M$2:$N$33,2,0))</f>
        <v>4</v>
      </c>
      <c r="AD96" s="153">
        <f>VLOOKUP(AA96,WR!$B:$W,22,0)</f>
        <v>50.4</v>
      </c>
      <c r="AE96" s="65">
        <f>AD96-Settings!$AA$5</f>
        <v>-150.6393939393939</v>
      </c>
      <c r="AF96" s="129" t="str">
        <f>IF(ISERROR(VLOOKUP(AA96,ESPNData!$CS:$CX,6,0)),"",IF((VLOOKUP(AA96,ESPNData!$CS:$CX,6,0)="--"),"",VLOOKUP(AA96,ESPNData!$CS:$CX,6,0)))</f>
        <v/>
      </c>
      <c r="AG96" s="75" t="str">
        <f>IF(ISERROR(VLOOKUP(AA96,ESPNData!$CZ:$DE,6,0)),"",IF((VLOOKUP(AA96,ESPNData!$CZ:$DE,6,0)="--"),"",VLOOKUP(AA96,ESPNData!$CZ:$DE,6,0)))</f>
        <v/>
      </c>
      <c r="AH96" s="69" t="str">
        <f>IF(ISERROR((VLOOKUP(AA96,Taken!$H:$I,2,0)-AF96)),"",(VLOOKUP(AA96,Taken!$H:$I,2,0)-AF96))</f>
        <v/>
      </c>
      <c r="AI96" s="69">
        <v>1</v>
      </c>
      <c r="AJ96" s="43" t="str">
        <f>IF(ISERROR((VLOOKUP(AA96,Taken!$H:$I,2,0)-AI96)),"",(VLOOKUP(AA96,Taken!$H:$I,2,0)-AI96))</f>
        <v/>
      </c>
      <c r="AK96" s="117"/>
      <c r="AL96" s="33"/>
      <c r="AM96" s="33"/>
      <c r="AN96" s="33"/>
      <c r="AO96" s="33"/>
      <c r="AP96" s="181"/>
      <c r="AQ96" s="33"/>
      <c r="AR96" s="111"/>
      <c r="AS96" s="33"/>
      <c r="AT96" s="33"/>
      <c r="AU96" s="181"/>
      <c r="AV96" s="33"/>
    </row>
    <row r="97" spans="1:48" ht="12.75" customHeight="1">
      <c r="A97" s="181"/>
      <c r="B97" s="33"/>
      <c r="C97" s="111" t="s">
        <v>16</v>
      </c>
      <c r="D97" s="109">
        <f>SUM(H57:H86)</f>
        <v>126</v>
      </c>
      <c r="E97" s="202">
        <f t="shared" si="11"/>
        <v>6.3348416289592757E-2</v>
      </c>
      <c r="F97" s="33">
        <f>SUM(H57:H66)</f>
        <v>126</v>
      </c>
      <c r="G97" s="2">
        <f t="shared" si="12"/>
        <v>7.2790294627383012E-2</v>
      </c>
      <c r="H97" s="98">
        <f t="shared" si="13"/>
        <v>1</v>
      </c>
      <c r="I97" s="33">
        <v>1</v>
      </c>
      <c r="J97" s="33"/>
      <c r="K97" s="181"/>
      <c r="L97" s="31"/>
      <c r="M97" s="114">
        <f t="shared" si="9"/>
        <v>95</v>
      </c>
      <c r="N97" s="75" t="str">
        <f>IF(ISERROR(VLOOKUP(O97,Taken!$E:$E,1,0)),"",IF(ISERROR(VLOOKUP(O97,'Draft Board'!$AS:$AS,1,0)),"X","Y"))</f>
        <v/>
      </c>
      <c r="O97" s="75" t="str">
        <f>VLOOKUP(M97,RB!Z:AA,2,0)</f>
        <v>Joseph Randle</v>
      </c>
      <c r="P97" s="75" t="str">
        <f>VLOOKUP(O97,RB!$B:$C,2,0)</f>
        <v>DAL</v>
      </c>
      <c r="Q97" s="72">
        <f>IF((P97="FA"),"N/A",VLOOKUP(P97,Settings!$M$2:$N$33,2,0))</f>
        <v>11</v>
      </c>
      <c r="R97" s="153">
        <f>VLOOKUP(O97,RB!$B:$Y,24,0)</f>
        <v>22.7</v>
      </c>
      <c r="S97" s="65">
        <f>R97-Settings!$AA$4</f>
        <v>-182.49393939393937</v>
      </c>
      <c r="T97" s="129" t="str">
        <f>IF(ISERROR(VLOOKUP(O97,ESPNData!$CS:$CX,6,0)),"",IF((VLOOKUP(O97,ESPNData!$CS:$CX,6,0)="--"),"",VLOOKUP(O97,ESPNData!$CS:$CX,6,0)))</f>
        <v/>
      </c>
      <c r="U97" s="75" t="str">
        <f>IF(ISERROR(VLOOKUP(O97,ESPNData!$CZ:$DE,6,0)),"",IF((VLOOKUP(O97,ESPNData!$CZ:$DE,6,0)="--"),"",VLOOKUP(O97,ESPNData!$CZ:$DE,6,0)))</f>
        <v/>
      </c>
      <c r="V97" s="69" t="str">
        <f>IF(ISERROR((VLOOKUP(O97,Taken!$E:$F,2,0)-T97)),"",(VLOOKUP(O97,Taken!$E:$F,2,0)-T97))</f>
        <v/>
      </c>
      <c r="W97" s="69">
        <v>1</v>
      </c>
      <c r="X97" s="43" t="str">
        <f>IF(ISERROR((VLOOKUP(O97,Taken!$E:$F,2,0)-W97)),"",(VLOOKUP(O97,Taken!$E:$F,2,0)-W97))</f>
        <v/>
      </c>
      <c r="Y97" s="114">
        <f t="shared" si="10"/>
        <v>95</v>
      </c>
      <c r="Z97" s="75" t="str">
        <f>IF(ISERROR(VLOOKUP(AA97,Taken!$H:$H,1,0)),"",IF(ISERROR(VLOOKUP(AA97,'Draft Board'!$AS:$AS,1,0)),"X","Y"))</f>
        <v/>
      </c>
      <c r="AA97" s="75" t="str">
        <f>VLOOKUP(Y97,WR!X:Y,2,0)</f>
        <v>Marlon Brown</v>
      </c>
      <c r="AB97" s="75" t="str">
        <f>VLOOKUP(AA97,WR!$B:$C,2,0)</f>
        <v>BAL</v>
      </c>
      <c r="AC97" s="72">
        <f>IF((AB97="FA"),"N/A",VLOOKUP(AB97,Settings!$M$2:$N$33,2,0))</f>
        <v>11</v>
      </c>
      <c r="AD97" s="153">
        <f>VLOOKUP(AA97,WR!$B:$W,22,0)</f>
        <v>50.1</v>
      </c>
      <c r="AE97" s="65">
        <f>AD97-Settings!$AA$5</f>
        <v>-150.93939393939391</v>
      </c>
      <c r="AF97" s="129" t="str">
        <f>IF(ISERROR(VLOOKUP(AA97,ESPNData!$CS:$CX,6,0)),"",IF((VLOOKUP(AA97,ESPNData!$CS:$CX,6,0)="--"),"",VLOOKUP(AA97,ESPNData!$CS:$CX,6,0)))</f>
        <v/>
      </c>
      <c r="AG97" s="75" t="str">
        <f>IF(ISERROR(VLOOKUP(AA97,ESPNData!$CZ:$DE,6,0)),"",IF((VLOOKUP(AA97,ESPNData!$CZ:$DE,6,0)="--"),"",VLOOKUP(AA97,ESPNData!$CZ:$DE,6,0)))</f>
        <v/>
      </c>
      <c r="AH97" s="69" t="str">
        <f>IF(ISERROR((VLOOKUP(AA97,Taken!$H:$I,2,0)-AF97)),"",(VLOOKUP(AA97,Taken!$H:$I,2,0)-AF97))</f>
        <v/>
      </c>
      <c r="AI97" s="69">
        <v>1</v>
      </c>
      <c r="AJ97" s="43" t="str">
        <f>IF(ISERROR((VLOOKUP(AA97,Taken!$H:$I,2,0)-AI97)),"",(VLOOKUP(AA97,Taken!$H:$I,2,0)-AI97))</f>
        <v/>
      </c>
      <c r="AK97" s="117"/>
      <c r="AL97" s="33"/>
      <c r="AM97" s="33"/>
      <c r="AN97" s="33"/>
      <c r="AO97" s="33"/>
      <c r="AP97" s="181"/>
      <c r="AQ97" s="33"/>
      <c r="AR97" s="111"/>
      <c r="AS97" s="33"/>
      <c r="AT97" s="33"/>
      <c r="AU97" s="181"/>
      <c r="AV97" s="33"/>
    </row>
    <row r="98" spans="1:48" ht="12.75" customHeight="1">
      <c r="A98" s="181"/>
      <c r="B98" s="33"/>
      <c r="C98" s="111" t="s">
        <v>4</v>
      </c>
      <c r="D98" s="109">
        <f>SUM(AR3:AR32)</f>
        <v>9</v>
      </c>
      <c r="E98" s="202">
        <f t="shared" si="11"/>
        <v>4.5248868778280547E-3</v>
      </c>
      <c r="F98" s="33">
        <f>D98</f>
        <v>9</v>
      </c>
      <c r="G98" s="2">
        <f t="shared" si="12"/>
        <v>5.1993067590987872E-3</v>
      </c>
      <c r="H98" s="98">
        <f t="shared" si="13"/>
        <v>1</v>
      </c>
      <c r="I98" s="33">
        <v>1</v>
      </c>
      <c r="J98" s="33"/>
      <c r="K98" s="181"/>
      <c r="L98" s="31"/>
      <c r="M98" s="114">
        <f t="shared" si="9"/>
        <v>96</v>
      </c>
      <c r="N98" s="75" t="str">
        <f>IF(ISERROR(VLOOKUP(O98,Taken!$E:$E,1,0)),"",IF(ISERROR(VLOOKUP(O98,'Draft Board'!$AS:$AS,1,0)),"X","Y"))</f>
        <v/>
      </c>
      <c r="O98" s="75" t="str">
        <f>VLOOKUP(M98,RB!Z:AA,2,0)</f>
        <v>Lorenzo Taliaferro</v>
      </c>
      <c r="P98" s="75" t="str">
        <f>VLOOKUP(O98,RB!$B:$C,2,0)</f>
        <v>BAL</v>
      </c>
      <c r="Q98" s="72">
        <f>IF((P98="FA"),"N/A",VLOOKUP(P98,Settings!$M$2:$N$33,2,0))</f>
        <v>11</v>
      </c>
      <c r="R98" s="153">
        <f>VLOOKUP(O98,RB!$B:$Y,24,0)</f>
        <v>22</v>
      </c>
      <c r="S98" s="65">
        <f>R98-Settings!$AA$4</f>
        <v>-183.19393939393936</v>
      </c>
      <c r="T98" s="129" t="str">
        <f>IF(ISERROR(VLOOKUP(O98,ESPNData!$CS:$CX,6,0)),"",IF((VLOOKUP(O98,ESPNData!$CS:$CX,6,0)="--"),"",VLOOKUP(O98,ESPNData!$CS:$CX,6,0)))</f>
        <v/>
      </c>
      <c r="U98" s="75" t="str">
        <f>IF(ISERROR(VLOOKUP(O98,ESPNData!$CZ:$DE,6,0)),"",IF((VLOOKUP(O98,ESPNData!$CZ:$DE,6,0)="--"),"",VLOOKUP(O98,ESPNData!$CZ:$DE,6,0)))</f>
        <v/>
      </c>
      <c r="V98" s="69" t="str">
        <f>IF(ISERROR((VLOOKUP(O98,Taken!$E:$F,2,0)-T98)),"",(VLOOKUP(O98,Taken!$E:$F,2,0)-T98))</f>
        <v/>
      </c>
      <c r="W98" s="69">
        <v>1</v>
      </c>
      <c r="X98" s="43" t="str">
        <f>IF(ISERROR((VLOOKUP(O98,Taken!$E:$F,2,0)-W98)),"",(VLOOKUP(O98,Taken!$E:$F,2,0)-W98))</f>
        <v/>
      </c>
      <c r="Y98" s="114">
        <f t="shared" si="10"/>
        <v>96</v>
      </c>
      <c r="Z98" s="75" t="str">
        <f>IF(ISERROR(VLOOKUP(AA98,Taken!$H:$H,1,0)),"",IF(ISERROR(VLOOKUP(AA98,'Draft Board'!$AS:$AS,1,0)),"X","Y"))</f>
        <v/>
      </c>
      <c r="AA98" s="75" t="str">
        <f>VLOOKUP(Y98,WR!X:Y,2,0)</f>
        <v>Allen Robinson</v>
      </c>
      <c r="AB98" s="75" t="str">
        <f>VLOOKUP(AA98,WR!$B:$C,2,0)</f>
        <v>JAC</v>
      </c>
      <c r="AC98" s="72">
        <f>IF((AB98="FA"),"N/A",VLOOKUP(AB98,Settings!$M$2:$N$33,2,0))</f>
        <v>11</v>
      </c>
      <c r="AD98" s="153">
        <f>VLOOKUP(AA98,WR!$B:$W,22,0)</f>
        <v>48.3</v>
      </c>
      <c r="AE98" s="65">
        <f>AD98-Settings!$AA$5</f>
        <v>-152.73939393939389</v>
      </c>
      <c r="AF98" s="129" t="str">
        <f>IF(ISERROR(VLOOKUP(AA98,ESPNData!$CS:$CX,6,0)),"",IF((VLOOKUP(AA98,ESPNData!$CS:$CX,6,0)="--"),"",VLOOKUP(AA98,ESPNData!$CS:$CX,6,0)))</f>
        <v/>
      </c>
      <c r="AG98" s="75" t="str">
        <f>IF(ISERROR(VLOOKUP(AA98,ESPNData!$CZ:$DE,6,0)),"",IF((VLOOKUP(AA98,ESPNData!$CZ:$DE,6,0)="--"),"",VLOOKUP(AA98,ESPNData!$CZ:$DE,6,0)))</f>
        <v/>
      </c>
      <c r="AH98" s="69" t="str">
        <f>IF(ISERROR((VLOOKUP(AA98,Taken!$H:$I,2,0)-AF98)),"",(VLOOKUP(AA98,Taken!$H:$I,2,0)-AF98))</f>
        <v/>
      </c>
      <c r="AI98" s="69">
        <v>1</v>
      </c>
      <c r="AJ98" s="43" t="str">
        <f>IF(ISERROR((VLOOKUP(AA98,Taken!$H:$I,2,0)-AI98)),"",(VLOOKUP(AA98,Taken!$H:$I,2,0)-AI98))</f>
        <v/>
      </c>
      <c r="AK98" s="117"/>
      <c r="AL98" s="33"/>
      <c r="AM98" s="33"/>
      <c r="AN98" s="33"/>
      <c r="AO98" s="33"/>
      <c r="AP98" s="181"/>
      <c r="AQ98" s="33"/>
      <c r="AR98" s="111"/>
      <c r="AS98" s="33"/>
      <c r="AT98" s="33"/>
      <c r="AU98" s="181"/>
      <c r="AV98" s="33"/>
    </row>
    <row r="99" spans="1:48" ht="12.75" customHeight="1">
      <c r="A99" s="181"/>
      <c r="B99" s="33"/>
      <c r="C99" s="111" t="s">
        <v>15</v>
      </c>
      <c r="D99" s="109">
        <f>SUM(AR35:AR64)</f>
        <v>0</v>
      </c>
      <c r="E99" s="202">
        <f t="shared" si="11"/>
        <v>0</v>
      </c>
      <c r="F99" s="33">
        <f>D99</f>
        <v>0</v>
      </c>
      <c r="G99" s="2">
        <f t="shared" si="12"/>
        <v>0</v>
      </c>
      <c r="H99" s="98" t="e">
        <f t="shared" si="13"/>
        <v>#DIV/0!</v>
      </c>
      <c r="I99" s="33">
        <v>1</v>
      </c>
      <c r="J99" s="33"/>
      <c r="K99" s="181"/>
      <c r="L99" s="31"/>
      <c r="M99" s="114">
        <f t="shared" si="9"/>
        <v>97</v>
      </c>
      <c r="N99" s="75" t="str">
        <f>IF(ISERROR(VLOOKUP(O99,Taken!$E:$E,1,0)),"",IF(ISERROR(VLOOKUP(O99,'Draft Board'!$AS:$AS,1,0)),"X","Y"))</f>
        <v/>
      </c>
      <c r="O99" s="75" t="str">
        <f>VLOOKUP(M99,RB!Z:AA,2,0)</f>
        <v>Shaun Draughn</v>
      </c>
      <c r="P99" s="75" t="str">
        <f>VLOOKUP(O99,RB!$B:$C,2,0)</f>
        <v>CHI</v>
      </c>
      <c r="Q99" s="72">
        <f>IF((P99="FA"),"N/A",VLOOKUP(P99,Settings!$M$2:$N$33,2,0))</f>
        <v>9</v>
      </c>
      <c r="R99" s="153">
        <f>VLOOKUP(O99,RB!$B:$Y,24,0)</f>
        <v>21</v>
      </c>
      <c r="S99" s="65">
        <f>R99-Settings!$AA$4</f>
        <v>-184.19393939393936</v>
      </c>
      <c r="T99" s="129" t="str">
        <f>IF(ISERROR(VLOOKUP(O99,ESPNData!$CS:$CX,6,0)),"",IF((VLOOKUP(O99,ESPNData!$CS:$CX,6,0)="--"),"",VLOOKUP(O99,ESPNData!$CS:$CX,6,0)))</f>
        <v/>
      </c>
      <c r="U99" s="75" t="str">
        <f>IF(ISERROR(VLOOKUP(O99,ESPNData!$CZ:$DE,6,0)),"",IF((VLOOKUP(O99,ESPNData!$CZ:$DE,6,0)="--"),"",VLOOKUP(O99,ESPNData!$CZ:$DE,6,0)))</f>
        <v/>
      </c>
      <c r="V99" s="69" t="str">
        <f>IF(ISERROR((VLOOKUP(O99,Taken!$E:$F,2,0)-T99)),"",(VLOOKUP(O99,Taken!$E:$F,2,0)-T99))</f>
        <v/>
      </c>
      <c r="W99" s="69">
        <v>1</v>
      </c>
      <c r="X99" s="43" t="str">
        <f>IF(ISERROR((VLOOKUP(O99,Taken!$E:$F,2,0)-W99)),"",(VLOOKUP(O99,Taken!$E:$F,2,0)-W99))</f>
        <v/>
      </c>
      <c r="Y99" s="114">
        <f t="shared" si="10"/>
        <v>97</v>
      </c>
      <c r="Z99" s="75" t="str">
        <f>IF(ISERROR(VLOOKUP(AA99,Taken!$H:$H,1,0)),"",IF(ISERROR(VLOOKUP(AA99,'Draft Board'!$AS:$AS,1,0)),"X","Y"))</f>
        <v/>
      </c>
      <c r="AA99" s="75" t="str">
        <f>VLOOKUP(Y99,WR!X:Y,2,0)</f>
        <v>Jermaine Kearse</v>
      </c>
      <c r="AB99" s="75" t="str">
        <f>VLOOKUP(AA99,WR!$B:$C,2,0)</f>
        <v>SEA</v>
      </c>
      <c r="AC99" s="72">
        <f>IF((AB99="FA"),"N/A",VLOOKUP(AB99,Settings!$M$2:$N$33,2,0))</f>
        <v>4</v>
      </c>
      <c r="AD99" s="153">
        <f>VLOOKUP(AA99,WR!$B:$W,22,0)</f>
        <v>48.1</v>
      </c>
      <c r="AE99" s="65">
        <f>AD99-Settings!$AA$5</f>
        <v>-152.93939393939391</v>
      </c>
      <c r="AF99" s="129" t="str">
        <f>IF(ISERROR(VLOOKUP(AA99,ESPNData!$CS:$CX,6,0)),"",IF((VLOOKUP(AA99,ESPNData!$CS:$CX,6,0)="--"),"",VLOOKUP(AA99,ESPNData!$CS:$CX,6,0)))</f>
        <v/>
      </c>
      <c r="AG99" s="75" t="str">
        <f>IF(ISERROR(VLOOKUP(AA99,ESPNData!$CZ:$DE,6,0)),"",IF((VLOOKUP(AA99,ESPNData!$CZ:$DE,6,0)="--"),"",VLOOKUP(AA99,ESPNData!$CZ:$DE,6,0)))</f>
        <v/>
      </c>
      <c r="AH99" s="69" t="str">
        <f>IF(ISERROR((VLOOKUP(AA99,Taken!$H:$I,2,0)-AF99)),"",(VLOOKUP(AA99,Taken!$H:$I,2,0)-AF99))</f>
        <v/>
      </c>
      <c r="AI99" s="69">
        <v>1</v>
      </c>
      <c r="AJ99" s="43" t="str">
        <f>IF(ISERROR((VLOOKUP(AA99,Taken!$H:$I,2,0)-AI99)),"",(VLOOKUP(AA99,Taken!$H:$I,2,0)-AI99))</f>
        <v/>
      </c>
      <c r="AK99" s="117"/>
      <c r="AL99" s="33"/>
      <c r="AM99" s="33"/>
      <c r="AN99" s="33"/>
      <c r="AO99" s="33"/>
      <c r="AP99" s="181"/>
      <c r="AQ99" s="33"/>
      <c r="AR99" s="111"/>
      <c r="AS99" s="33"/>
      <c r="AT99" s="33"/>
      <c r="AU99" s="181"/>
      <c r="AV99" s="33"/>
    </row>
    <row r="100" spans="1:48" ht="12.75" customHeight="1">
      <c r="A100" s="181"/>
      <c r="B100" s="33"/>
      <c r="C100" s="33"/>
      <c r="D100" s="109"/>
      <c r="E100" s="109"/>
      <c r="F100" s="181"/>
      <c r="G100" s="33"/>
      <c r="H100" s="111"/>
      <c r="I100" s="33"/>
      <c r="J100" s="33"/>
      <c r="K100" s="181"/>
      <c r="L100" s="31"/>
      <c r="M100" s="114">
        <f t="shared" si="9"/>
        <v>98</v>
      </c>
      <c r="N100" s="75" t="str">
        <f>IF(ISERROR(VLOOKUP(O100,Taken!$E:$E,1,0)),"",IF(ISERROR(VLOOKUP(O100,'Draft Board'!$AS:$AS,1,0)),"X","Y"))</f>
        <v/>
      </c>
      <c r="O100" s="75" t="str">
        <f>VLOOKUP(M100,RB!Z:AA,2,0)</f>
        <v>Dion Lewis</v>
      </c>
      <c r="P100" s="75" t="str">
        <f>VLOOKUP(O100,RB!$B:$C,2,0)</f>
        <v>CLE</v>
      </c>
      <c r="Q100" s="72">
        <f>IF((P100="FA"),"N/A",VLOOKUP(P100,Settings!$M$2:$N$33,2,0))</f>
        <v>4</v>
      </c>
      <c r="R100" s="153">
        <f>VLOOKUP(O100,RB!$B:$Y,24,0)</f>
        <v>21</v>
      </c>
      <c r="S100" s="65">
        <f>R100-Settings!$AA$4</f>
        <v>-184.19393939393936</v>
      </c>
      <c r="T100" s="129" t="str">
        <f>IF(ISERROR(VLOOKUP(O100,ESPNData!$CS:$CX,6,0)),"",IF((VLOOKUP(O100,ESPNData!$CS:$CX,6,0)="--"),"",VLOOKUP(O100,ESPNData!$CS:$CX,6,0)))</f>
        <v/>
      </c>
      <c r="U100" s="75" t="str">
        <f>IF(ISERROR(VLOOKUP(O100,ESPNData!$CZ:$DE,6,0)),"",IF((VLOOKUP(O100,ESPNData!$CZ:$DE,6,0)="--"),"",VLOOKUP(O100,ESPNData!$CZ:$DE,6,0)))</f>
        <v/>
      </c>
      <c r="V100" s="69" t="str">
        <f>IF(ISERROR((VLOOKUP(O100,Taken!$E:$F,2,0)-T100)),"",(VLOOKUP(O100,Taken!$E:$F,2,0)-T100))</f>
        <v/>
      </c>
      <c r="W100" s="69">
        <v>1</v>
      </c>
      <c r="X100" s="43" t="str">
        <f>IF(ISERROR((VLOOKUP(O100,Taken!$E:$F,2,0)-W100)),"",(VLOOKUP(O100,Taken!$E:$F,2,0)-W100))</f>
        <v/>
      </c>
      <c r="Y100" s="114">
        <f t="shared" si="10"/>
        <v>98</v>
      </c>
      <c r="Z100" s="75" t="str">
        <f>IF(ISERROR(VLOOKUP(AA100,Taken!$H:$H,1,0)),"",IF(ISERROR(VLOOKUP(AA100,'Draft Board'!$AS:$AS,1,0)),"X","Y"))</f>
        <v/>
      </c>
      <c r="AA100" s="75" t="str">
        <f>VLOOKUP(Y100,WR!X:Y,2,0)</f>
        <v>Josh Gordon</v>
      </c>
      <c r="AB100" s="75" t="str">
        <f>VLOOKUP(AA100,WR!$B:$C,2,0)</f>
        <v>CLE</v>
      </c>
      <c r="AC100" s="72">
        <f>IF((AB100="FA"),"N/A",VLOOKUP(AB100,Settings!$M$2:$N$33,2,0))</f>
        <v>4</v>
      </c>
      <c r="AD100" s="153">
        <f>VLOOKUP(AA100,WR!$B:$W,22,0)</f>
        <v>46.9</v>
      </c>
      <c r="AE100" s="65">
        <f>AD100-Settings!$AA$5</f>
        <v>-154.1393939393939</v>
      </c>
      <c r="AF100" s="129" t="str">
        <f>IF(ISERROR(VLOOKUP(AA100,ESPNData!$CS:$CX,6,0)),"",IF((VLOOKUP(AA100,ESPNData!$CS:$CX,6,0)="--"),"",VLOOKUP(AA100,ESPNData!$CS:$CX,6,0)))</f>
        <v/>
      </c>
      <c r="AG100" s="75" t="str">
        <f>IF(ISERROR(VLOOKUP(AA100,ESPNData!$CZ:$DE,6,0)),"",IF((VLOOKUP(AA100,ESPNData!$CZ:$DE,6,0)="--"),"",VLOOKUP(AA100,ESPNData!$CZ:$DE,6,0)))</f>
        <v/>
      </c>
      <c r="AH100" s="69" t="str">
        <f>IF(ISERROR((VLOOKUP(AA100,Taken!$H:$I,2,0)-AF100)),"",(VLOOKUP(AA100,Taken!$H:$I,2,0)-AF100))</f>
        <v/>
      </c>
      <c r="AI100" s="69">
        <v>1</v>
      </c>
      <c r="AJ100" s="43" t="str">
        <f>IF(ISERROR((VLOOKUP(AA100,Taken!$H:$I,2,0)-AI100)),"",(VLOOKUP(AA100,Taken!$H:$I,2,0)-AI100))</f>
        <v/>
      </c>
      <c r="AK100" s="117"/>
      <c r="AL100" s="33"/>
      <c r="AM100" s="33"/>
      <c r="AN100" s="33"/>
      <c r="AO100" s="33"/>
      <c r="AP100" s="181"/>
      <c r="AQ100" s="33"/>
      <c r="AR100" s="111"/>
      <c r="AS100" s="33"/>
      <c r="AT100" s="33"/>
      <c r="AU100" s="181"/>
      <c r="AV100" s="33"/>
    </row>
    <row r="101" spans="1:48" ht="12.75" customHeight="1">
      <c r="A101" s="181"/>
      <c r="B101" s="33"/>
      <c r="C101" s="33"/>
      <c r="D101" s="109">
        <f>SUM(D94:D99)</f>
        <v>1989</v>
      </c>
      <c r="E101" s="109"/>
      <c r="F101" s="109">
        <f>SUM(F94:F99)</f>
        <v>1731</v>
      </c>
      <c r="G101" s="33"/>
      <c r="H101" s="111"/>
      <c r="I101" s="33"/>
      <c r="J101" s="33"/>
      <c r="K101" s="181"/>
      <c r="L101" s="31"/>
      <c r="M101" s="114">
        <f t="shared" si="9"/>
        <v>99</v>
      </c>
      <c r="N101" s="75" t="str">
        <f>IF(ISERROR(VLOOKUP(O101,Taken!$E:$E,1,0)),"",IF(ISERROR(VLOOKUP(O101,'Draft Board'!$AS:$AS,1,0)),"X","Y"))</f>
        <v/>
      </c>
      <c r="O101" s="75" t="str">
        <f>VLOOKUP(M101,RB!Z:AA,2,0)</f>
        <v>Justin Forsett</v>
      </c>
      <c r="P101" s="75" t="str">
        <f>VLOOKUP(O101,RB!$B:$C,2,0)</f>
        <v>BAL</v>
      </c>
      <c r="Q101" s="72">
        <f>IF((P101="FA"),"N/A",VLOOKUP(P101,Settings!$M$2:$N$33,2,0))</f>
        <v>11</v>
      </c>
      <c r="R101" s="153">
        <f>VLOOKUP(O101,RB!$B:$Y,24,0)</f>
        <v>20.9</v>
      </c>
      <c r="S101" s="65">
        <f>R101-Settings!$AA$4</f>
        <v>-184.29393939393935</v>
      </c>
      <c r="T101" s="129" t="str">
        <f>IF(ISERROR(VLOOKUP(O101,ESPNData!$CS:$CX,6,0)),"",IF((VLOOKUP(O101,ESPNData!$CS:$CX,6,0)="--"),"",VLOOKUP(O101,ESPNData!$CS:$CX,6,0)))</f>
        <v/>
      </c>
      <c r="U101" s="75" t="str">
        <f>IF(ISERROR(VLOOKUP(O101,ESPNData!$CZ:$DE,6,0)),"",IF((VLOOKUP(O101,ESPNData!$CZ:$DE,6,0)="--"),"",VLOOKUP(O101,ESPNData!$CZ:$DE,6,0)))</f>
        <v/>
      </c>
      <c r="V101" s="69" t="str">
        <f>IF(ISERROR((VLOOKUP(O101,Taken!$E:$F,2,0)-T101)),"",(VLOOKUP(O101,Taken!$E:$F,2,0)-T101))</f>
        <v/>
      </c>
      <c r="W101" s="69">
        <v>1</v>
      </c>
      <c r="X101" s="43" t="str">
        <f>IF(ISERROR((VLOOKUP(O101,Taken!$E:$F,2,0)-W101)),"",(VLOOKUP(O101,Taken!$E:$F,2,0)-W101))</f>
        <v/>
      </c>
      <c r="Y101" s="114">
        <f t="shared" si="10"/>
        <v>99</v>
      </c>
      <c r="Z101" s="75" t="str">
        <f>IF(ISERROR(VLOOKUP(AA101,Taken!$H:$H,1,0)),"",IF(ISERROR(VLOOKUP(AA101,'Draft Board'!$AS:$AS,1,0)),"X","Y"))</f>
        <v/>
      </c>
      <c r="AA101" s="75" t="str">
        <f>VLOOKUP(Y101,WR!X:Y,2,0)</f>
        <v>Martavis Bryant</v>
      </c>
      <c r="AB101" s="75" t="str">
        <f>VLOOKUP(AA101,WR!$B:$C,2,0)</f>
        <v>PIT</v>
      </c>
      <c r="AC101" s="72">
        <f>IF((AB101="FA"),"N/A",VLOOKUP(AB101,Settings!$M$2:$N$33,2,0))</f>
        <v>12</v>
      </c>
      <c r="AD101" s="153">
        <f>VLOOKUP(AA101,WR!$B:$W,22,0)</f>
        <v>46.3</v>
      </c>
      <c r="AE101" s="65">
        <f>AD101-Settings!$AA$5</f>
        <v>-154.73939393939389</v>
      </c>
      <c r="AF101" s="129" t="str">
        <f>IF(ISERROR(VLOOKUP(AA101,ESPNData!$CS:$CX,6,0)),"",IF((VLOOKUP(AA101,ESPNData!$CS:$CX,6,0)="--"),"",VLOOKUP(AA101,ESPNData!$CS:$CX,6,0)))</f>
        <v/>
      </c>
      <c r="AG101" s="75" t="str">
        <f>IF(ISERROR(VLOOKUP(AA101,ESPNData!$CZ:$DE,6,0)),"",IF((VLOOKUP(AA101,ESPNData!$CZ:$DE,6,0)="--"),"",VLOOKUP(AA101,ESPNData!$CZ:$DE,6,0)))</f>
        <v/>
      </c>
      <c r="AH101" s="69" t="str">
        <f>IF(ISERROR((VLOOKUP(AA101,Taken!$H:$I,2,0)-AF101)),"",(VLOOKUP(AA101,Taken!$H:$I,2,0)-AF101))</f>
        <v/>
      </c>
      <c r="AI101" s="69">
        <v>1</v>
      </c>
      <c r="AJ101" s="43" t="str">
        <f>IF(ISERROR((VLOOKUP(AA101,Taken!$H:$I,2,0)-AI101)),"",(VLOOKUP(AA101,Taken!$H:$I,2,0)-AI101))</f>
        <v/>
      </c>
      <c r="AK101" s="117"/>
      <c r="AL101" s="33"/>
      <c r="AM101" s="33"/>
      <c r="AN101" s="33"/>
      <c r="AO101" s="33"/>
      <c r="AP101" s="181"/>
      <c r="AQ101" s="33"/>
      <c r="AR101" s="111"/>
      <c r="AS101" s="33"/>
      <c r="AT101" s="33"/>
      <c r="AU101" s="181"/>
      <c r="AV101" s="33"/>
    </row>
    <row r="102" spans="1:48" ht="12.75" customHeight="1">
      <c r="A102" s="181"/>
      <c r="B102" s="33"/>
      <c r="C102" s="33"/>
      <c r="D102" s="109"/>
      <c r="E102" s="109"/>
      <c r="F102" s="98">
        <f>F101/D101</f>
        <v>0.87028657616892913</v>
      </c>
      <c r="G102" s="33"/>
      <c r="H102" s="111"/>
      <c r="I102" s="33"/>
      <c r="J102" s="33"/>
      <c r="K102" s="181"/>
      <c r="L102" s="31"/>
      <c r="M102" s="154">
        <f t="shared" si="9"/>
        <v>100</v>
      </c>
      <c r="N102" s="173" t="str">
        <f>IF(ISERROR(VLOOKUP(O102,Taken!$E:$E,1,0)),"",IF(ISERROR(VLOOKUP(O102,'Draft Board'!$AS:$AS,1,0)),"X","Y"))</f>
        <v/>
      </c>
      <c r="O102" s="75" t="str">
        <f>VLOOKUP(M102,RB!Z:AA,2,0)</f>
        <v>Vick Ballard</v>
      </c>
      <c r="P102" s="173" t="str">
        <f>VLOOKUP(O102,RB!$B:$C,2,0)</f>
        <v>IND</v>
      </c>
      <c r="Q102" s="50">
        <f>IF((P102="FA"),"N/A",VLOOKUP(P102,Settings!$M$2:$N$33,2,0))</f>
        <v>10</v>
      </c>
      <c r="R102" s="30">
        <f>VLOOKUP(O102,RB!$B:$Y,24,0)</f>
        <v>20.6</v>
      </c>
      <c r="S102" s="152">
        <f>R102-Settings!$AA$4</f>
        <v>-184.59393939393937</v>
      </c>
      <c r="T102" s="201" t="str">
        <f>IF(ISERROR(VLOOKUP(O102,ESPNData!$CS:$CX,6,0)),"",IF((VLOOKUP(O102,ESPNData!$CS:$CX,6,0)="--"),"",VLOOKUP(O102,ESPNData!$CS:$CX,6,0)))</f>
        <v/>
      </c>
      <c r="U102" s="173" t="str">
        <f>IF(ISERROR(VLOOKUP(O102,ESPNData!$CZ:$DE,6,0)),"",IF((VLOOKUP(O102,ESPNData!$CZ:$DE,6,0)="--"),"",VLOOKUP(O102,ESPNData!$CZ:$DE,6,0)))</f>
        <v/>
      </c>
      <c r="V102" s="157" t="str">
        <f>IF(ISERROR((VLOOKUP(O102,Taken!$E:$F,2,0)-T102)),"",(VLOOKUP(O102,Taken!$E:$F,2,0)-T102))</f>
        <v/>
      </c>
      <c r="W102" s="157">
        <v>1</v>
      </c>
      <c r="X102" s="149" t="str">
        <f>IF(ISERROR((VLOOKUP(O102,Taken!$E:$F,2,0)-W102)),"",(VLOOKUP(O102,Taken!$E:$F,2,0)-W102))</f>
        <v/>
      </c>
      <c r="Y102" s="154">
        <f t="shared" si="10"/>
        <v>100</v>
      </c>
      <c r="Z102" s="173" t="str">
        <f>IF(ISERROR(VLOOKUP(AA102,Taken!$H:$H,1,0)),"",IF(ISERROR(VLOOKUP(AA102,'Draft Board'!$AS:$AS,1,0)),"X","Y"))</f>
        <v/>
      </c>
      <c r="AA102" s="75" t="str">
        <f>VLOOKUP(Y102,WR!X:Y,2,0)</f>
        <v>David Nelson</v>
      </c>
      <c r="AB102" s="173" t="str">
        <f>VLOOKUP(AA102,WR!$B:$C,2,0)</f>
        <v>NYJ</v>
      </c>
      <c r="AC102" s="50">
        <f>IF((AB102="FA"),"N/A",VLOOKUP(AB102,Settings!$M$2:$N$33,2,0))</f>
        <v>11</v>
      </c>
      <c r="AD102" s="30">
        <f>VLOOKUP(AA102,WR!$B:$W,22,0)</f>
        <v>46</v>
      </c>
      <c r="AE102" s="152">
        <f>AD102-Settings!$AA$5</f>
        <v>-155.0393939393939</v>
      </c>
      <c r="AF102" s="201" t="str">
        <f>IF(ISERROR(VLOOKUP(AA102,ESPNData!$CS:$CX,6,0)),"",IF((VLOOKUP(AA102,ESPNData!$CS:$CX,6,0)="--"),"",VLOOKUP(AA102,ESPNData!$CS:$CX,6,0)))</f>
        <v/>
      </c>
      <c r="AG102" s="173" t="str">
        <f>IF(ISERROR(VLOOKUP(AA102,ESPNData!$CZ:$DE,6,0)),"",IF((VLOOKUP(AA102,ESPNData!$CZ:$DE,6,0)="--"),"",VLOOKUP(AA102,ESPNData!$CZ:$DE,6,0)))</f>
        <v/>
      </c>
      <c r="AH102" s="157" t="str">
        <f>IF(ISERROR((VLOOKUP(AA102,Taken!$H:$I,2,0)-AF102)),"",(VLOOKUP(AA102,Taken!$H:$I,2,0)-AF102))</f>
        <v/>
      </c>
      <c r="AI102" s="157">
        <v>1</v>
      </c>
      <c r="AJ102" s="149" t="str">
        <f>IF(ISERROR((VLOOKUP(AA102,Taken!$H:$I,2,0)-AI102)),"",(VLOOKUP(AA102,Taken!$H:$I,2,0)-AI102))</f>
        <v/>
      </c>
      <c r="AK102" s="117"/>
      <c r="AL102" s="33"/>
      <c r="AM102" s="33"/>
      <c r="AN102" s="33"/>
      <c r="AO102" s="33"/>
      <c r="AP102" s="181"/>
      <c r="AQ102" s="33"/>
      <c r="AR102" s="111"/>
      <c r="AS102" s="33"/>
      <c r="AT102" s="33"/>
      <c r="AU102" s="181"/>
      <c r="AV102" s="33"/>
    </row>
    <row r="103" spans="1:48" ht="12.75" customHeight="1">
      <c r="A103" s="181"/>
      <c r="B103" s="33"/>
      <c r="C103" s="33"/>
      <c r="D103" s="109"/>
      <c r="E103" s="109"/>
      <c r="F103" s="181"/>
      <c r="G103" s="33"/>
      <c r="H103" s="111"/>
      <c r="I103" s="33"/>
      <c r="J103" s="33"/>
      <c r="K103" s="181"/>
      <c r="L103" s="181"/>
      <c r="M103" s="53"/>
      <c r="N103" s="91"/>
      <c r="O103" s="67"/>
      <c r="P103" s="91"/>
      <c r="Q103" s="188"/>
      <c r="R103" s="211"/>
      <c r="S103" s="196"/>
      <c r="T103" s="99"/>
      <c r="U103" s="91"/>
      <c r="V103" s="116"/>
      <c r="W103" s="116"/>
      <c r="X103" s="116"/>
      <c r="Y103" s="53"/>
      <c r="Z103" s="91"/>
      <c r="AA103" s="67"/>
      <c r="AB103" s="91"/>
      <c r="AC103" s="188"/>
      <c r="AD103" s="211"/>
      <c r="AE103" s="196"/>
      <c r="AF103" s="99"/>
      <c r="AG103" s="91"/>
      <c r="AH103" s="116"/>
      <c r="AI103" s="116"/>
      <c r="AJ103" s="116"/>
      <c r="AK103" s="33"/>
      <c r="AL103" s="33"/>
      <c r="AM103" s="33"/>
      <c r="AN103" s="33"/>
      <c r="AO103" s="33"/>
      <c r="AP103" s="181"/>
      <c r="AQ103" s="33"/>
      <c r="AR103" s="111"/>
      <c r="AS103" s="33"/>
      <c r="AT103" s="33"/>
      <c r="AU103" s="181"/>
      <c r="AV103" s="33"/>
    </row>
    <row r="104" spans="1:48" ht="12.75" customHeight="1">
      <c r="A104" s="181"/>
      <c r="B104" s="33"/>
      <c r="C104" s="33"/>
      <c r="D104" s="109"/>
      <c r="E104" s="109"/>
      <c r="F104" s="181"/>
      <c r="G104" s="33"/>
      <c r="H104" s="111"/>
      <c r="I104" s="33"/>
      <c r="J104" s="33"/>
      <c r="K104" s="181"/>
      <c r="L104" s="181"/>
      <c r="M104" s="181"/>
      <c r="N104" s="33"/>
      <c r="O104" s="33"/>
      <c r="P104" s="33"/>
      <c r="Q104" s="109"/>
      <c r="R104" s="97"/>
      <c r="S104" s="40"/>
      <c r="T104" s="111"/>
      <c r="U104" s="33"/>
      <c r="V104" s="79"/>
      <c r="W104" s="79"/>
      <c r="X104" s="79"/>
      <c r="Y104" s="181"/>
      <c r="Z104" s="33"/>
      <c r="AA104" s="33"/>
      <c r="AB104" s="33"/>
      <c r="AC104" s="109"/>
      <c r="AD104" s="97"/>
      <c r="AE104" s="40"/>
      <c r="AF104" s="111"/>
      <c r="AG104" s="33"/>
      <c r="AH104" s="79"/>
      <c r="AI104" s="79"/>
      <c r="AJ104" s="79"/>
      <c r="AK104" s="33"/>
      <c r="AL104" s="33"/>
      <c r="AM104" s="33"/>
      <c r="AN104" s="33"/>
      <c r="AO104" s="33"/>
      <c r="AP104" s="181"/>
      <c r="AQ104" s="33"/>
      <c r="AR104" s="111"/>
      <c r="AS104" s="33"/>
      <c r="AT104" s="33"/>
      <c r="AU104" s="181"/>
      <c r="AV104" s="33"/>
    </row>
  </sheetData>
  <mergeCells count="5">
    <mergeCell ref="H1:I1"/>
    <mergeCell ref="T1:U1"/>
    <mergeCell ref="AF1:AG1"/>
    <mergeCell ref="AR1:AS1"/>
    <mergeCell ref="AR33:AS33"/>
  </mergeCells>
  <conditionalFormatting sqref="K57 K58 K59 K60 K61 K62 K63 K64 K65 K66 K67 K68 K69 K70 K71 K72 K73 K74 K75 K76 K77 K78 K79 K80 K81 K82 K83 K84 K85 K86">
    <cfRule type="cellIs" dxfId="40" priority="1" stopIfTrue="1" operator="between">
      <formula>6</formula>
      <formula>8</formula>
    </cfRule>
  </conditionalFormatting>
  <conditionalFormatting sqref="B3 N3 Z3 AL3 B4 N4 Z4 AL4 B5 N5 Z5 AL5 B6 N6 Z6 AL6 B7 N7 Z7 AL7 B8 N8 Z8 AL8 B9 N9 Z9 AL9 B10 N10 Z10 AL10 B11 N11 Z11 AL11 B12 N12 Z12 AL12 B13 N13 Z13 AL13 B14 N14 Z14 AL14 B15 N15 Z15 AL15 B16 N16 Z16 AL16 B17 N17 Z17 AL17 B18 N18 Z18 AL18 B19 N19 Z19 AL19 B20 N20 Z20 AL20 B21 N21 Z21 AL21 B22 N22 Z22 AL22 B23 N23 Z23 AL23 B24 N24 Z24 AL24 B25 N25 Z25 AL25 B26 N26 Z26 AL26 B27 N27 Z27 AL27 B28 N28 Z28 AL28 B29 N29 Z29 AL29 B30 N30 Z30 AL30 B31 N31 Z31 AL31 B32 N32 Z32 AL32 B33 N33 Z33 B34 N34 Z34 B35 N35 Z35 AL35 B36 N36 Z36 AL36 B37 N37 Z37 AL37 B38 N38 Z38 AL38 B39 N39 Z39 AL39 B40 N40 Z40 AL40 B41 N41 Z41 AL41 B42 N42 Z42 AL42 B43 N43 Z43 AL43 B44 N44 Z44 AL44 B45 N45 Z45 AL45 B46 N46 Z46 AL46 B47 N47 Z47 AL47 B48 N48 Z48 AL48 B49 N49 Z49 AL49 B50 N50 Z50 AL50 B51 N51 Z51 AL51 B52 N52 Z52 AL52 B53 N53 Z53 AL53 B54 N54 Z54 AL54 N55 Z55 AL55 N56 Z56 AL56 B57 N57 Z57 AL57 B58 N58 Z58 AL58 B59 N59 Z59 AL59 B60 N60 Z60 AL60 B61 N61 Z61 AL61 B62 N62 Z62 AL62 B63 N63 Z63 AL63 B64 N64 Z64 AL64 B65 N65 Z65 B66 N66 Z66 B67 N67 Z67 B68 N68 Z68 B69 N69 Z69 B70 N70 Z70 B71 N71 Z71 B72 N72 Z72 B73 N73 Z73 B74 N74 Z74 B75 N75 Z75 B76 N76 Z76 B77 N77 Z77 B78 N78 Z78 B79 N79 Z79 B80 N80 Z80 B81 N81 Z81 B82 N82 Z82 B83 N83 Z83 B84 N84 Z84 B85 N85 Z85 B86 N86 Z86 N87 Z87 N88 Z88 N89 Z89 N90 Z90 N91 Z91 N92 Z92 N93 Z93 N94 Z94 N95 Z95 N96 Z96 N97 Z97 N98 Z98 N99 Z99 N100 Z100 N101 Z101 N102 Z102">
    <cfRule type="containsText" dxfId="39" priority="2" stopIfTrue="1" operator="containsText" text="X">
      <formula>NOT(ISERROR(SEARCH("X", B3)))</formula>
    </cfRule>
    <cfRule type="containsText" dxfId="38" priority="3" stopIfTrue="1" operator="containsText" text="Y">
      <formula>NOT(ISERROR(SEARCH("Y", B3)))</formula>
    </cfRule>
    <cfRule type="notContainsText" dxfId="37" priority="4" stopIfTrue="1" operator="notContains" text="X">
      <formula>ISERROR(SEARCH("X", B3))</formula>
    </cfRule>
  </conditionalFormatting>
  <conditionalFormatting sqref="W3 W4 W5 W6 W7 W8 W9 W10 W11 W12 W13 W14 W15 W16 W17 W18 W19 W20 W21 W22 W23 W24 W25 W26 W27 W28 W29 W30 W31 W32 W33 W34 W35 W36 W37 W38 W39 W40 W41 W42 W43 W44 W45 W46 W47 W48 W49 W50 W51 W52 W53 W54 W55 W56 W57 W58 W59 W60 W61 W62 W63 W64 W65 W66 W67 W68 W69 W70 W71 W72 W73 W74 W75 W76 W77 W78 W79 W80 W81 W82 W83 W84 W85 W86 W87 W88 W89 W90 W91 W92 W93 W94 W95 W96 W97 W98 W99 W100 W101 W102">
    <cfRule type="cellIs" dxfId="36" priority="5" stopIfTrue="1" operator="between">
      <formula>23</formula>
      <formula>30</formula>
    </cfRule>
    <cfRule type="cellIs" dxfId="35" priority="6" stopIfTrue="1" operator="between">
      <formula>13</formula>
      <formula>16</formula>
    </cfRule>
  </conditionalFormatting>
  <conditionalFormatting sqref="G3 S3 AE3 AQ3 G4 S4 AE4 AQ4 G5 S5 AE5 AQ5 G6 S6 AE6 AQ6 G7 S7 AE7 AQ7 G8 S8 AE8 AQ8 G9 S9 AE9 AQ9 G10 S10 AE10 AQ10 G11 S11 AE11 AQ11 G12 S12 AE12 AQ12 G13 S13 AE13 AQ13 G14 S14 AE14 AQ14 G15 S15 AE15 AQ15 G16 S16 AE16 AQ16 G17 S17 AE17 AQ17 G18 S18 AE18 AQ18 G19 S19 AE19 AQ19 G20 S20 AE20 AQ20 G21 S21 AE21 AQ21 G22 S22 AE22 AQ22 G23 S23 AE23 AQ23 G24 S24 AE24 AQ24 G25 S25 AE25 AQ25 G26 S26 AE26 AQ26 G27 S27 AE27 AQ27 G28 S28 AE28 AQ28 G29 S29 AE29 AQ29 G30 S30 AE30 AQ30 G31 S31 AE31 AQ31 G32 S32 AE32 AQ32 G33 S33 AE33 G34 S34 AE34 G35 S35 AE35 AQ35 G36 S36 AE36 AQ36 G37 S37 AE37 AQ37 G38 S38 AE38 AQ38 G39 S39 AE39 AQ39 G40 S40 AE40 AQ40 G41 S41 AE41 AQ41 G42 S42 AE42 AQ42 G43 S43 AE43 AQ43 G44 S44 AE44 AQ44 G45 S45 AE45 AQ45 G46 S46 AE46 AQ46 G47 S47 AE47 AQ47 G48 S48 AE48 AQ48 G49 S49 AE49 AQ49 G50 S50 AE50 AQ50 G51 S51 AE51 AQ51 G52 S52 AE52 AQ52 G53 S53 AE53 AQ53 G54 S54 AE54 AQ54 S55 AE55 AQ55 S56 AE56 AQ56 G57 S57 AE57 AQ57 G58 S58 AE58 AQ58 G59 S59 AE59 AQ59 G60 S60 AE60 AQ60 G61 S61 AE61 AQ61 G62 S62 AE62 AQ62 G63 S63 AE63 AQ63 G64 S64 AE64 AQ64 G65 S65 AE65 G66 S66 AE66 G67 S67 AE67 G68 S68 AE68 G69 S69 AE69 G70 S70 AE70 G71 S71 AE71 G72 S72 AE72 G73 S73 AE73 G74 S74 AE74 G75 S75 AE75 G76 S76 AE76 G77 S77 AE77 G78 S78 AE78 G79 S79 AE79 G80 S80 AE80 G81 S81 AE81 G82 S82 AE82 G83 S83 AE83 G84 S84 AE84 G85 S85 AE85 G86 S86 AE86 S87 AE87 S88 AE88 S89 AE89 S90 AE90 S91 AE91 S92 AE92 S93 AE93 S94 AE94 S95 AE95 S96 AE96 S97 AE97 S98 AE98 S99 AE99 S100 AE100 S101 AE101 S102 AE102">
    <cfRule type="cellIs" dxfId="34" priority="7" stopIfTrue="1" operator="lessThan">
      <formula>0</formula>
    </cfRule>
  </conditionalFormatting>
  <conditionalFormatting sqref="AI3 AI4 AI5 AI6 AI7 AI8 AI9 AI10 AI11 AI12 AI13 AI14 AI15 AI16 AI17 AI18 AI19 AI20 AI21 AI22 AI23 AI24 AI25 AI26 AI27 AI28 AI29 AI30 AI31 AI32 AI33 AI34 AI35 AI36 AI37 AI38 AI39 AI40 AI41 AI42 AI43 AI44 AI45 AI46 AI47 AI48 AI49 AI50 AI51 AI52 AI53 AI54 AI55 AI56 AI57 AI58 AI59 AI60 AI61 AI62 AI63 AI64 AI65 AI66 AI67 AI68 AI69 AI70 AI71 AI72 AI73 AI74 AI75 AI76 AI77 AI78 AI79 AI80 AI81 AI82 AI83 AI84 AI85 AI86 AI87 AI88 AI89 AI90 AI91 AI92 AI93 AI94 AI95 AI96 AI97 AI98 AI99 AI100 AI101 AI102">
    <cfRule type="cellIs" dxfId="33" priority="8" stopIfTrue="1" operator="between">
      <formula>21</formula>
      <formula>27</formula>
    </cfRule>
    <cfRule type="cellIs" dxfId="32" priority="9" stopIfTrue="1" operator="between">
      <formula>6</formula>
      <formula>9</formula>
    </cfRule>
  </conditionalFormatting>
  <conditionalFormatting sqref="J3 L3 V3 X3 AH3 AJ3 AT3 AV3 J4 L4 V4 X4 AH4 AJ4 AT4 AV4 J5 L5 V5 X5 AH5 AJ5 AT5 AV5 J6 L6 V6 X6 AH6 AJ6 AT6 AV6 J7 L7 V7 X7 AH7 AJ7 AT7 AV7 J8 L8 V8 X8 AH8 AJ8 AT8 AV8 J9 L9 V9 X9 AH9 AJ9 AT9 AV9 J10 L10 V10 X10 AH10 AJ10 AT10 AV10 J11 L11 V11 X11 AH11 AJ11 AT11 AV11 J12 L12 V12 X12 AH12 AJ12 AT12 AV12 J13 L13 V13 X13 AH13 AJ13 AT13 AV13 J14 L14 V14 X14 AH14 AJ14 AT14 AV14 J15 L15 V15 X15 AH15 AJ15 AT15 AV15 J16 L16 V16 X16 AH16 AJ16 AT16 AV16 J17 L17 V17 X17 AH17 AJ17 AT17 AV17 J18 L18 V18 X18 AH18 AJ18 AT18 AV18 J19 L19 V19 X19 AH19 AJ19 AT19 AV19 J20 L20 V20 X20 AH20 AJ20 AT20 AV20 J21 L21 V21 X21 AH21 AJ21 AT21 AV21 J22 L22 V22 X22 AH22 AJ22 AT22 AV22 J23 L23 V23 X23 AH23 AJ23 AT23 AV23 J24 L24 V24 X24 AH24 AJ24 AT24 AV24 J25 L25 V25 X25 AH25 AJ25 AT25 AV25 J26 L26 V26 X26 AH26 AJ26 AT26 AV26 J27 L27 V27 X27 AH27 AJ27 AT27 AV27 J28 L28 V28 X28 AH28 AJ28 AT28 AV28 J29 L29 V29 X29 AH29 AJ29 AT29 AV29 J30 L30 V30 X30 AH30 AJ30 AT30 AV30 J31 L31 V31 X31 AH31 AJ31 AT31 AV31 J32 L32 V32 X32 AH32 AJ32 AT32 AV32 J33 L33 V33 X33 AH33 AJ33 J34 L34 V34 X34 AH34 AJ34 J35 L35 V35 X35 AH35 AJ35 AT35 AV35 J36 L36 V36 X36 AH36 AJ36 AT36 AV36 J37 L37 V37 X37 AH37 AJ37 AT37 AV37 J38 L38 V38 X38 AH38 AJ38 AT38 AV38 J39 L39 V39 X39 AH39 AJ39 AT39 AV39 J40 L40 V40 X40 AH40 AJ40 AT40 AV40 J41 L41 V41 X41 AH41 AJ41 AT41 AV41 J42 L42 V42 X42 AH42 AJ42 AT42 AV42 J43 L43 V43 X43 AH43 AJ43 AT43 AV43 J44 L44 V44 X44 AH44 AJ44 AT44 AV44 J45 L45 V45 X45 AH45 AJ45 AT45 AV45 J46 L46 V46 X46 AH46 AJ46 AT46 AV46 J47 L47 V47 X47 AH47 AJ47 AT47 AV47 J48 L48 V48 X48 AH48 AJ48 AT48 AV48 J49 L49 V49 X49 AH49 AJ49 AT49 AV49 J50 L50 V50 X50 AH50 AJ50 AT50 AV50 J51 L51 V51 X51 AH51 AJ51 AT51 AV51 J52 L52 V52 X52 AH52 AJ52 AT52 AV52 J53 L53 V53 X53 AH53 AJ53 AT53 AV53 J54 L54 V54 X54 AH54 AJ54 AT54 AV54 V55 X55 AH55 AJ55 AT55 AV55 V56 X56 AH56 AJ56 AT56 AV56 J57 L57 V57 X57 AH57 AJ57 AT57 AV57 J58 L58 V58 X58 AH58 AJ58 AT58 AV58 J59 L59 V59 X59 AH59 AJ59 AT59 AV59 J60 L60 V60 X60 AH60 AJ60 AT60 AV60 J61 L61 V61 X61 AH61 AJ61 AT61 AV61 J62 L62 V62 X62 AH62 AJ62 AT62 AV62 J63 L63 V63 X63 AH63 AJ63 AT63 AV63 J64 L64 V64 X64 AH64 AJ64 AT64 AV64 J65 L65 V65 X65 AH65 AJ65 J66 L66 V66 X66 AH66 AJ66 J67 L67 V67 X67 AH67 AJ67 J68 L68 V68 X68 AH68 AJ68 J69 L69 V69 X69 AH69 AJ69 J70 L70 V70 X70 AH70 AJ70 J71 L71 V71 X71 AH71 AJ71 J72 L72 V72 X72 AH72 AJ72 J73 L73 V73 X73 AH73 AJ73 J74 L74 V74 X74 AH74 AJ74 J75 L75 V75 X75 AH75 AJ75 J76 L76 V76 X76 AH76 AJ76 J77 L77 V77 X77 AH77 AJ77 J78 L78 V78 X78 AH78 AJ78 J79 L79 V79 X79 AH79 AJ79 J80 L80 V80 X80 AH80 AJ80 J81 L81 V81 X81 AH81 AJ81 J82 L82 V82 X82 AH82 AJ82 J83 L83 V83 X83 AH83 AJ83 J84 L84 V84 X84 AH84 AJ84 J85 L85 V85 X85 AH85 AJ85 J86 L86 V86 X86 AH86 AJ86 V87 X87 AH87 AJ87 V88 X88 AH88 AJ88 V89 X89 AH89 AJ89 V90 X90 AH90 AJ90 V91 X91 AH91 AJ91 V92 X92 AH92 AJ92 V93 X93 AH93 AJ93 V94 X94 AH94 AJ94 V95 X95 AH95 AJ95 V96 X96 AH96 AJ96 V97 X97 AH97 AJ97 V98 X98 AH98 AJ98 V99 X99 AH99 AJ99 V100 X100 AH100 AJ100 V101 X101 AH101 AJ101 V102 X102 AH102 AJ102">
    <cfRule type="cellIs" dxfId="31" priority="10" stopIfTrue="1" operator="greaterThan">
      <formula>0</formula>
    </cfRule>
    <cfRule type="cellIs" dxfId="30" priority="11" stopIfTrue="1" operator="equal">
      <formula>0</formula>
    </cfRule>
    <cfRule type="cellIs" dxfId="29" priority="12" stopIfTrue="1" operator="lessThan">
      <formula>0</formula>
    </cfRule>
  </conditionalFormatting>
  <conditionalFormatting sqref="K3 K4 K5 K6 K7 K8 K9 K10 K11 K12 K13 K14 K15 K16 K17 K18 K19 K20 K21 K22 K23 K24 K25 K26 K27 K28 K29 K30 K31 K32 K33 K34 K35 K36 K37 K38 K39 K40 K41 K42 K43 K44 K45 K46 K47 K48 K49 K50 K51 K52 K53 K54">
    <cfRule type="cellIs" dxfId="28" priority="13" stopIfTrue="1" operator="between">
      <formula>15</formula>
      <formula>25</formula>
    </cfRule>
    <cfRule type="cellIs" dxfId="27" priority="14" stopIfTrue="1" operator="between">
      <formula>3</formula>
      <formula>5</formula>
    </cfRule>
  </conditionalFormatting>
  <conditionalFormatting sqref="AU3">
    <cfRule type="cellIs" dxfId="26" priority="15" stopIfTrue="1" operator="between">
      <formula>17</formula>
      <formula>25</formula>
    </cfRule>
    <cfRule type="cellIs" dxfId="25" priority="16" stopIfTrue="1" operator="between">
      <formula>3</formula>
      <formula>5</formula>
    </cfRule>
  </conditionalFormatting>
  <conditionalFormatting sqref="D3 P3 AB3 AN3 D4 P4 AB4 AN4 D5 P5 AB5 AN5 D6 P6 AB6 AN6 D7 P7 AB7 AN7 D8 P8 AB8 AN8 D9 P9 AB9 AN9 D10 P10 AB10 AN10 D11 P11 AB11 AN11 D12 P12 AB12 AN12 D13 P13 AB13 AN13 D14 P14 AB14 AN14 D15 P15 AB15 AN15 D16 P16 AB16 AN16 D17 P17 AB17 AN17 D18 P18 AB18 AN18 D19 P19 AB19 AN19 D20 P20 AB20 AN20 D21 P21 AB21 AN21 D22 P22 AB22 AN22 D23 P23 AB23 AN23 D24 P24 AB24 AN24 D25 P25 AB25 AN25 D26 P26 AB26 AN26 D27 P27 AB27 AN27 D28 P28 AB28 AN28 D29 P29 AB29 AN29 D30 P30 AB30 AN30 D31 P31 AB31 AN31 D32 P32 AB32 AN32 D33 P33 AB33 D34 P34 AB34 D35 P35 AB35 AN35 D36 P36 AB36 AN36 D37 P37 AB37 AN37 D38 P38 AB38 AN38 D39 P39 AB39 AN39 D40 P40 AB40 AN40 D41 P41 AB41 AN41 D42 P42 AB42 AN42 D43 P43 AB43 AN43 D44 P44 AB44 AN44 D45 P45 AB45 AN45 D46 P46 AB46 AN46 D47 P47 AB47 AN47 D48 P48 AB48 AN48 D49 P49 AB49 AN49 D50 P50 AB50 AN50 D51 P51 AB51 AN51 D52 P52 AB52 AN52 D53 P53 AB53 AN53 D54 P54 AB54 AN54 P55 AB55 AN55 P56 AB56 AN56 D57 P57 AB57 AN57 D58 P58 AB58 AN58 D59 P59 AB59 AN59 D60 P60 AB60 AN60 D61 P61 AB61 AN61 D62 P62 AB62 AN62 D63 P63 AB63 AN63 D64 P64 AB64 AN64 D65 P65 AB65 D66 P66 AB66 D67 P67 AB67 D68 P68 AB68 D69 P69 AB69 D70 P70 AB70 D71 P71 AB71 D72 P72 AB72 D73 P73 AB73 D74 P74 AB74 D75 P75 AB75 D76 P76 AB76 D77 P77 AB77 D78 P78 AB78 D79 P79 AB79 D80 P80 AB80 D81 P81 AB81 D82 P82 AB82 D83 P83 AB83 D84 P84 AB84 D85 P85 AB85 D86 P86 AB86 P87 AB87 P88 AB88 P89 AB89 P90 AB90 P91 AB91 P92 AB92 P93 AB93 P94 AB94 P95 AB95 P96 AB96 P97 AB97 P98 AB98 P99 AB99 P100 AB100 P101 AB101 P102 AB102">
    <cfRule type="containsText" dxfId="24" priority="17" stopIfTrue="1" operator="containsText" text="FA">
      <formula>NOT(ISERROR(SEARCH("FA", D3)))</formula>
    </cfRule>
  </conditionalFormatting>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2"/>
  <sheetViews>
    <sheetView showGridLines="0"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7.1640625" defaultRowHeight="12.75" customHeight="1" x14ac:dyDescent="0"/>
  <cols>
    <col min="1" max="1" width="28.5" hidden="1" customWidth="1"/>
    <col min="2" max="2" width="22.1640625" customWidth="1"/>
    <col min="3" max="3" width="7" customWidth="1"/>
    <col min="4" max="4" width="7.83203125" customWidth="1"/>
    <col min="5" max="5" width="2.5" customWidth="1"/>
    <col min="6" max="6" width="8.83203125" customWidth="1"/>
    <col min="7" max="7" width="3.33203125" customWidth="1"/>
    <col min="8" max="8" width="2.5" customWidth="1"/>
    <col min="9" max="9" width="7.33203125" customWidth="1"/>
    <col min="10" max="10" width="2.5" customWidth="1"/>
    <col min="11" max="11" width="8.83203125" customWidth="1"/>
    <col min="12" max="12" width="3.33203125" customWidth="1"/>
    <col min="13" max="13" width="2.5" customWidth="1"/>
    <col min="14" max="14" width="9.1640625" customWidth="1"/>
    <col min="15" max="15" width="2.5" customWidth="1"/>
    <col min="16" max="16" width="8.83203125" customWidth="1"/>
    <col min="17" max="17" width="5" customWidth="1"/>
    <col min="18" max="18" width="2.5" customWidth="1"/>
    <col min="19" max="19" width="2.33203125" customWidth="1"/>
    <col min="20" max="21" width="5.6640625" customWidth="1"/>
    <col min="22" max="22" width="7.83203125" customWidth="1"/>
    <col min="23" max="23" width="4.6640625" customWidth="1"/>
    <col min="24" max="24" width="9.1640625" customWidth="1"/>
    <col min="25" max="25" width="7.5" customWidth="1"/>
    <col min="26" max="26" width="3.33203125" customWidth="1"/>
    <col min="27" max="27" width="22.6640625" customWidth="1"/>
  </cols>
  <sheetData>
    <row r="1" spans="1:27" ht="12.75" customHeight="1">
      <c r="A1" s="181"/>
      <c r="B1" s="181"/>
      <c r="C1" s="31"/>
      <c r="D1" s="221" t="s">
        <v>155</v>
      </c>
      <c r="E1" s="222"/>
      <c r="F1" s="222"/>
      <c r="G1" s="222"/>
      <c r="H1" s="223"/>
      <c r="I1" s="221" t="s">
        <v>1</v>
      </c>
      <c r="J1" s="222"/>
      <c r="K1" s="222"/>
      <c r="L1" s="222"/>
      <c r="M1" s="223"/>
      <c r="N1" s="221" t="s">
        <v>162</v>
      </c>
      <c r="O1" s="222"/>
      <c r="P1" s="222"/>
      <c r="Q1" s="222"/>
      <c r="R1" s="222"/>
      <c r="S1" s="223"/>
      <c r="T1" s="114"/>
      <c r="U1" s="181"/>
      <c r="V1" s="37"/>
      <c r="W1" s="37"/>
      <c r="X1" s="37"/>
      <c r="Y1" s="66"/>
      <c r="Z1" s="66"/>
    </row>
    <row r="2" spans="1:27" ht="12.75" customHeight="1">
      <c r="A2" s="181"/>
      <c r="B2" s="181"/>
      <c r="C2" s="31"/>
      <c r="D2" s="225" t="s">
        <v>103</v>
      </c>
      <c r="E2" s="226"/>
      <c r="F2" s="227" t="s">
        <v>116</v>
      </c>
      <c r="G2" s="226"/>
      <c r="H2" s="227"/>
      <c r="I2" s="225" t="s">
        <v>103</v>
      </c>
      <c r="J2" s="226"/>
      <c r="K2" s="227" t="s">
        <v>116</v>
      </c>
      <c r="L2" s="226"/>
      <c r="M2" s="227"/>
      <c r="N2" s="225" t="s">
        <v>103</v>
      </c>
      <c r="O2" s="226"/>
      <c r="P2" s="226" t="s">
        <v>116</v>
      </c>
      <c r="Q2" s="226"/>
      <c r="R2" s="226"/>
      <c r="S2" s="47"/>
      <c r="T2" s="114"/>
      <c r="U2" s="181"/>
      <c r="V2" s="37"/>
      <c r="W2" s="37"/>
      <c r="X2" s="37"/>
      <c r="Y2" s="66"/>
      <c r="Z2" s="66"/>
    </row>
    <row r="3" spans="1:27" ht="12.75" customHeight="1">
      <c r="A3" s="181"/>
      <c r="B3" s="181" t="s">
        <v>6</v>
      </c>
      <c r="C3" s="31" t="s">
        <v>7</v>
      </c>
      <c r="D3" s="113" t="s">
        <v>784</v>
      </c>
      <c r="E3" s="133" t="s">
        <v>785</v>
      </c>
      <c r="F3" s="133" t="s">
        <v>789</v>
      </c>
      <c r="G3" s="133" t="s">
        <v>784</v>
      </c>
      <c r="H3" s="47" t="s">
        <v>785</v>
      </c>
      <c r="I3" s="113" t="s">
        <v>784</v>
      </c>
      <c r="J3" s="133" t="s">
        <v>785</v>
      </c>
      <c r="K3" s="133" t="s">
        <v>789</v>
      </c>
      <c r="L3" s="133" t="s">
        <v>784</v>
      </c>
      <c r="M3" s="47" t="s">
        <v>785</v>
      </c>
      <c r="N3" s="113" t="s">
        <v>784</v>
      </c>
      <c r="O3" s="133" t="s">
        <v>785</v>
      </c>
      <c r="P3" s="133" t="s">
        <v>789</v>
      </c>
      <c r="Q3" s="133" t="s">
        <v>784</v>
      </c>
      <c r="R3" s="133" t="s">
        <v>785</v>
      </c>
      <c r="S3" s="47" t="s">
        <v>787</v>
      </c>
      <c r="T3" s="114"/>
      <c r="U3" s="181"/>
      <c r="V3" s="37" t="s">
        <v>155</v>
      </c>
      <c r="W3" s="37" t="s">
        <v>1</v>
      </c>
      <c r="X3" s="37" t="s">
        <v>162</v>
      </c>
      <c r="Y3" s="66" t="s">
        <v>788</v>
      </c>
      <c r="Z3" s="66" t="s">
        <v>5</v>
      </c>
    </row>
    <row r="4" spans="1:27" ht="12.75" customHeight="1">
      <c r="A4" s="33" t="str">
        <f>ESPNData!R3</f>
        <v>Adrian Peterson, Min RB</v>
      </c>
      <c r="B4" s="33" t="str">
        <f t="shared" ref="B4:B35" si="0">IF(OR((A4=""),(A4=0)),"",IF(ISERROR(FIND("*",A4)),LEFT(A4,(FIND(",",A4)-1)),LEFT(A4,(FIND("*",A4)-1))))</f>
        <v>Adrian Peterson</v>
      </c>
      <c r="C4" s="64" t="str">
        <f t="shared" ref="C4:C35" si="1">IF((A4=""),"",UPPER(RIGHT(LEFT(A4,(FIND("RB",A4)-2)),(LEN(LEFT(A4,(FIND("RB",A4)-2)))-(FIND(",",LEFT(A4,(FIND("RB",A4)-2)))+1)))))</f>
        <v>MIN</v>
      </c>
      <c r="D4" s="117">
        <f>IF(OR(($A4=Settings!$A$30),ISERROR(VLOOKUP($B4,FFTodayData!$P:$Y,5,0))),"",VLOOKUP($B4,FFTodayData!$P:$Y,5,0))</f>
        <v>1426</v>
      </c>
      <c r="E4" s="33">
        <f>IF(OR(($A4=Settings!$A$30),ISERROR(VLOOKUP($B4,FFTodayData!$P:$Y,6,0))),"",VLOOKUP($B4,FFTodayData!$P:$Y,6,0))</f>
        <v>11</v>
      </c>
      <c r="F4" s="33">
        <f>IF(OR(($A4=Settings!$A$30),ISERROR(VLOOKUP($B4,FFTodayData!$P:$Y,7,0))),"",VLOOKUP($B4,FFTodayData!$P:$Y,7,0))</f>
        <v>38</v>
      </c>
      <c r="G4" s="33">
        <f>IF(OR(($A4=Settings!$A$30),ISERROR(VLOOKUP($B4,FFTodayData!$P:$Y,8,0))),"",VLOOKUP($B4,FFTodayData!$P:$Y,8,0))</f>
        <v>216</v>
      </c>
      <c r="H4" s="64">
        <f>IF(OR(($A4=Settings!$A$30),ISERROR(VLOOKUP($B4,FFTodayData!$P:$Y,9,0))),"",VLOOKUP($B4,FFTodayData!$P:$Y,9,0))</f>
        <v>1</v>
      </c>
      <c r="I4" s="117">
        <f>IF(ISERROR(VLOOKUP($A4,ESPNData!$R:$AE,9,0)),"",VLOOKUP($A4,ESPNData!$R:$AE,9,0))</f>
        <v>1365</v>
      </c>
      <c r="J4" s="33">
        <f>IF(ISERROR(VLOOKUP($A4,ESPNData!$R:$AE,10,0)),"",VLOOKUP($A4,ESPNData!$R:$AE,10,0))</f>
        <v>13</v>
      </c>
      <c r="K4" s="33">
        <f>IF(ISERROR(VLOOKUP($A4,ESPNData!$R:$AE,11,0)),"",VLOOKUP($A4,ESPNData!$R:$AE,11,0))</f>
        <v>40</v>
      </c>
      <c r="L4" s="33">
        <f>IF(ISERROR(VLOOKUP($A4,ESPNData!$R:$AE,12,0)),"",VLOOKUP($A4,ESPNData!$R:$AE,12,0))</f>
        <v>289</v>
      </c>
      <c r="M4" s="64">
        <f>IF(ISERROR(VLOOKUP($A4,ESPNData!$R:$AE,13,0)),"",VLOOKUP($A4,ESPNData!$R:$AE,13,0))</f>
        <v>2</v>
      </c>
      <c r="N4" s="115">
        <f>IF(OR(($A4=Settings!$A$30),ISERROR(VLOOKUP($B4,SportslineData!$Q:$AB,4,0))),"",VLOOKUP($B4,SportslineData!$Q:$AB,4,0))</f>
        <v>1367.5</v>
      </c>
      <c r="O4" s="82">
        <f>IF(OR(($A4=Settings!$A$30),ISERROR(VLOOKUP($B4,SportslineData!$Q:$AB,6,0))),"",ROUND(VLOOKUP($B4,SportslineData!$Q:$AB,6,0),0))</f>
        <v>11</v>
      </c>
      <c r="P4" s="82">
        <f>IF(OR(($A4=Settings!$A$30),ISERROR(VLOOKUP($B4,SportslineData!$Q:$AB,7,0))),"",ROUND(VLOOKUP($B4,SportslineData!$Q:$AB,7,0),0))</f>
        <v>45</v>
      </c>
      <c r="Q4" s="82">
        <f>IF(OR(($A4=Settings!$A$30),ISERROR(VLOOKUP($B4,SportslineData!$Q:$AB,8,0))),"",VLOOKUP($B4,SportslineData!$Q:$AB,8,0))</f>
        <v>288.5</v>
      </c>
      <c r="R4" s="82">
        <f>IF(OR(($A4=Settings!$A$30),ISERROR(VLOOKUP($B4,SportslineData!$Q:$AB,10,0))),"",ROUND(VLOOKUP($B4,SportslineData!$Q:$AB,10,0),0))</f>
        <v>2</v>
      </c>
      <c r="S4" s="74">
        <f>IF(OR(($A4=Settings!$A$30),ISERROR(VLOOKUP($B4,SportslineData!$Q:$AB,11,0))),"",ROUND(VLOOKUP($B4,SportslineData!$Q:$AB,11,0),0))</f>
        <v>3</v>
      </c>
      <c r="T4" s="117"/>
      <c r="U4" s="131">
        <f t="shared" ref="U4:U35" si="2">STDEV(V4:X4)</f>
        <v>10.037429949942366</v>
      </c>
      <c r="V4" s="38">
        <f>IF(ISERROR(ROUND((((((ROUNDDOWN((D4/5),0)*Settings!$F$7)+(E4*Settings!$I$7))+(F4*Settings!$I$11))+(ROUNDDOWN((G4/5),0)*Settings!$F$11))+(H4*Settings!$F$12)),1)),0,ROUND((((((ROUNDDOWN((D4/5),0)*Settings!$F$7)+(E4*Settings!$I$7))+(F4*Settings!$I$11))+(ROUNDDOWN((G4/5),0)*Settings!$F$11))+(H4*Settings!$F$12)),1))</f>
        <v>255</v>
      </c>
      <c r="W4" s="38">
        <f>ROUND((((((ROUNDDOWN((I4/5),0)*Settings!$F$7)+(J4*Settings!$I$7))+(K4*Settings!$I$11))+(ROUNDDOWN((L4/5),0)*Settings!$F$11))+(M4*Settings!$F$12)),1)</f>
        <v>275</v>
      </c>
      <c r="X4" s="38">
        <f>IF(AND((N4=""),(P4="")),0,((((((ROUND((N4/5),0)*Settings!$F$7)+(O4*Settings!$I$7))+(P4*Settings!$I$11))+(ROUND((Q4/5),0)*Settings!$F$11))+(R4*Settings!$F$12))+(S4*Settings!$F$15)))</f>
        <v>263.5</v>
      </c>
      <c r="Y4" s="66">
        <f>ROUND((((V4*Settings!$B$21)+(W4*Settings!$B$22))+(X4*Settings!$B$23)),1)</f>
        <v>264.5</v>
      </c>
      <c r="Z4" s="66">
        <f>RANK(Y4,$Y$4:$Y$182)</f>
        <v>4</v>
      </c>
      <c r="AA4" t="str">
        <f t="shared" ref="AA4:AA35" si="3">B4</f>
        <v>Adrian Peterson</v>
      </c>
    </row>
    <row r="5" spans="1:27" ht="12.75" customHeight="1">
      <c r="A5" s="33" t="str">
        <f>ESPNData!R4</f>
        <v>LeSean McCoy, Phi RB  P</v>
      </c>
      <c r="B5" s="33" t="str">
        <f t="shared" si="0"/>
        <v>LeSean McCoy</v>
      </c>
      <c r="C5" s="64" t="str">
        <f t="shared" si="1"/>
        <v>PHI</v>
      </c>
      <c r="D5" s="117">
        <f>IF(OR(($A5=Settings!$A$30),ISERROR(VLOOKUP($B5,FFTodayData!$P:$Y,5,0))),"",VLOOKUP($B5,FFTodayData!$P:$Y,5,0))</f>
        <v>1426</v>
      </c>
      <c r="E5" s="33">
        <f>IF(OR(($A5=Settings!$A$30),ISERROR(VLOOKUP($B5,FFTodayData!$P:$Y,6,0))),"",VLOOKUP($B5,FFTodayData!$P:$Y,6,0))</f>
        <v>10</v>
      </c>
      <c r="F5" s="33">
        <f>IF(OR(($A5=Settings!$A$30),ISERROR(VLOOKUP($B5,FFTodayData!$P:$Y,7,0))),"",VLOOKUP($B5,FFTodayData!$P:$Y,7,0))</f>
        <v>53</v>
      </c>
      <c r="G5" s="33">
        <f>IF(OR(($A5=Settings!$A$30),ISERROR(VLOOKUP($B5,FFTodayData!$P:$Y,8,0))),"",VLOOKUP($B5,FFTodayData!$P:$Y,8,0))</f>
        <v>444</v>
      </c>
      <c r="H5" s="64">
        <f>IF(OR(($A5=Settings!$A$30),ISERROR(VLOOKUP($B5,FFTodayData!$P:$Y,9,0))),"",VLOOKUP($B5,FFTodayData!$P:$Y,9,0))</f>
        <v>2</v>
      </c>
      <c r="I5" s="117">
        <f>IF(ISERROR(VLOOKUP($A5,ESPNData!$R:$AE,9,0)),"",VLOOKUP($A5,ESPNData!$R:$AE,9,0))</f>
        <v>1402</v>
      </c>
      <c r="J5" s="33">
        <f>IF(ISERROR(VLOOKUP($A5,ESPNData!$R:$AE,10,0)),"",VLOOKUP($A5,ESPNData!$R:$AE,10,0))</f>
        <v>9</v>
      </c>
      <c r="K5" s="33">
        <f>IF(ISERROR(VLOOKUP($A5,ESPNData!$R:$AE,11,0)),"",VLOOKUP($A5,ESPNData!$R:$AE,11,0))</f>
        <v>42</v>
      </c>
      <c r="L5" s="33">
        <f>IF(ISERROR(VLOOKUP($A5,ESPNData!$R:$AE,12,0)),"",VLOOKUP($A5,ESPNData!$R:$AE,12,0))</f>
        <v>342</v>
      </c>
      <c r="M5" s="64">
        <f>IF(ISERROR(VLOOKUP($A5,ESPNData!$R:$AE,13,0)),"",VLOOKUP($A5,ESPNData!$R:$AE,13,0))</f>
        <v>3</v>
      </c>
      <c r="N5" s="115">
        <f>IF(OR(($A5=Settings!$A$30),ISERROR(VLOOKUP($B5,SportslineData!$Q:$AB,4,0))),"",VLOOKUP($B5,SportslineData!$Q:$AB,4,0))</f>
        <v>1475.5</v>
      </c>
      <c r="O5" s="82">
        <f>IF(OR(($A5=Settings!$A$30),ISERROR(VLOOKUP($B5,SportslineData!$Q:$AB,6,0))),"",ROUND(VLOOKUP($B5,SportslineData!$Q:$AB,6,0),0))</f>
        <v>11</v>
      </c>
      <c r="P5" s="82">
        <f>IF(OR(($A5=Settings!$A$30),ISERROR(VLOOKUP($B5,SportslineData!$Q:$AB,7,0))),"",ROUND(VLOOKUP($B5,SportslineData!$Q:$AB,7,0),0))</f>
        <v>41</v>
      </c>
      <c r="Q5" s="82">
        <f>IF(OR(($A5=Settings!$A$30),ISERROR(VLOOKUP($B5,SportslineData!$Q:$AB,8,0))),"",VLOOKUP($B5,SportslineData!$Q:$AB,8,0))</f>
        <v>379.5</v>
      </c>
      <c r="R5" s="82">
        <f>IF(OR(($A5=Settings!$A$30),ISERROR(VLOOKUP($B5,SportslineData!$Q:$AB,10,0))),"",ROUND(VLOOKUP($B5,SportslineData!$Q:$AB,10,0),0))</f>
        <v>3</v>
      </c>
      <c r="S5" s="74">
        <f>IF(OR(($A5=Settings!$A$30),ISERROR(VLOOKUP($B5,SportslineData!$Q:$AB,11,0))),"",ROUND(VLOOKUP($B5,SportslineData!$Q:$AB,11,0),0))</f>
        <v>2</v>
      </c>
      <c r="T5" s="117"/>
      <c r="U5" s="131">
        <f t="shared" si="2"/>
        <v>11.357816691600547</v>
      </c>
      <c r="V5" s="38">
        <f>IF(ISERROR(ROUND((((((ROUNDDOWN((D5/5),0)*Settings!$F$7)+(E5*Settings!$I$7))+(F5*Settings!$I$11))+(ROUNDDOWN((G5/5),0)*Settings!$F$11))+(H5*Settings!$F$12)),1)),0,ROUND((((((ROUNDDOWN((D5/5),0)*Settings!$F$7)+(E5*Settings!$I$7))+(F5*Settings!$I$11))+(ROUNDDOWN((G5/5),0)*Settings!$F$11))+(H5*Settings!$F$12)),1))</f>
        <v>285</v>
      </c>
      <c r="W5" s="38">
        <f>IF(ISERROR(ROUND((((((ROUNDDOWN((I5/5),0)*Settings!$F$7)+(J5*Settings!$I$7))+(K5*Settings!$I$11))+(ROUNDDOWN((L5/5),0)*Settings!$F$11))+(M5*Settings!$F$12)),1)),0,ROUND((((((ROUNDDOWN((I5/5),0)*Settings!$F$7)+(J5*Settings!$I$7))+(K5*Settings!$I$11))+(ROUNDDOWN((L5/5),0)*Settings!$F$11))+(M5*Settings!$F$12)),1))</f>
        <v>267</v>
      </c>
      <c r="X5" s="38">
        <f>IF(AND((N5=""),(P5="")),0,((((((ROUND((N5/5),0)*Settings!$F$7)+(O5*Settings!$I$7))+(P5*Settings!$I$11))+(ROUND((Q5/5),0)*Settings!$F$11))+(R5*Settings!$F$12))+(S5*Settings!$F$15)))</f>
        <v>288</v>
      </c>
      <c r="Y5" s="66">
        <f>ROUND((((V5*Settings!$B$21)+(W5*Settings!$B$22))+(X5*Settings!$B$23)),1)</f>
        <v>280.10000000000002</v>
      </c>
      <c r="Z5" s="66">
        <f>IF(ISERROR(VLOOKUP(RANK(Y5,$Y$4:$Y$182),Z$4:Z4,1,0)),RANK(Y5,$Y$4:$Y$182),IF(ISERROR(VLOOKUP((RANK(Y5,$Y$4:$Y$182)+1),Z$4:Z4,1,0)),(RANK(Y5,$Y$4:$Y$182)+1),IF(ISERROR(VLOOKUP((RANK(Y5,$Y$4:$Y$182)+2),Z$4:Z4,1,0)),(RANK(Y5,$Y$4:$Y$182)+2),(RANK(Y5,$Y$4:$Y$182)+3))))</f>
        <v>2</v>
      </c>
      <c r="AA5" t="str">
        <f t="shared" si="3"/>
        <v>LeSean McCoy</v>
      </c>
    </row>
    <row r="6" spans="1:27" ht="12.75" customHeight="1">
      <c r="A6" s="33" t="str">
        <f>ESPNData!R5</f>
        <v>Jamaal Charles, KC RB  P</v>
      </c>
      <c r="B6" s="33" t="str">
        <f t="shared" si="0"/>
        <v>Jamaal Charles</v>
      </c>
      <c r="C6" s="64" t="str">
        <f t="shared" si="1"/>
        <v>KC</v>
      </c>
      <c r="D6" s="117">
        <f>IF(OR(($A6=Settings!$A$30),ISERROR(VLOOKUP($B6,FFTodayData!$P:$Y,5,0))),"",VLOOKUP($B6,FFTodayData!$P:$Y,5,0))</f>
        <v>1194</v>
      </c>
      <c r="E6" s="33">
        <f>IF(OR(($A6=Settings!$A$30),ISERROR(VLOOKUP($B6,FFTodayData!$P:$Y,6,0))),"",VLOOKUP($B6,FFTodayData!$P:$Y,6,0))</f>
        <v>11</v>
      </c>
      <c r="F6" s="33">
        <f>IF(OR(($A6=Settings!$A$30),ISERROR(VLOOKUP($B6,FFTodayData!$P:$Y,7,0))),"",VLOOKUP($B6,FFTodayData!$P:$Y,7,0))</f>
        <v>73</v>
      </c>
      <c r="G6" s="33">
        <f>IF(OR(($A6=Settings!$A$30),ISERROR(VLOOKUP($B6,FFTodayData!$P:$Y,8,0))),"",VLOOKUP($B6,FFTodayData!$P:$Y,8,0))</f>
        <v>589</v>
      </c>
      <c r="H6" s="64">
        <f>IF(OR(($A6=Settings!$A$30),ISERROR(VLOOKUP($B6,FFTodayData!$P:$Y,9,0))),"",VLOOKUP($B6,FFTodayData!$P:$Y,9,0))</f>
        <v>4</v>
      </c>
      <c r="I6" s="117">
        <f>IF(ISERROR(VLOOKUP($A6,ESPNData!$R:$AE,9,0)),"",VLOOKUP($A6,ESPNData!$R:$AE,9,0))</f>
        <v>1260</v>
      </c>
      <c r="J6" s="33">
        <f>IF(ISERROR(VLOOKUP($A6,ESPNData!$R:$AE,10,0)),"",VLOOKUP($A6,ESPNData!$R:$AE,10,0))</f>
        <v>7</v>
      </c>
      <c r="K6" s="33">
        <f>IF(ISERROR(VLOOKUP($A6,ESPNData!$R:$AE,11,0)),"",VLOOKUP($A6,ESPNData!$R:$AE,11,0))</f>
        <v>64</v>
      </c>
      <c r="L6" s="33">
        <f>IF(ISERROR(VLOOKUP($A6,ESPNData!$R:$AE,12,0)),"",VLOOKUP($A6,ESPNData!$R:$AE,12,0))</f>
        <v>587</v>
      </c>
      <c r="M6" s="64">
        <f>IF(ISERROR(VLOOKUP($A6,ESPNData!$R:$AE,13,0)),"",VLOOKUP($A6,ESPNData!$R:$AE,13,0))</f>
        <v>4</v>
      </c>
      <c r="N6" s="115">
        <f>IF(OR(($A6=Settings!$A$30),ISERROR(VLOOKUP($B6,SportslineData!$Q:$AB,4,0))),"",VLOOKUP($B6,SportslineData!$Q:$AB,4,0))</f>
        <v>1324</v>
      </c>
      <c r="O6" s="82">
        <f>IF(OR(($A6=Settings!$A$30),ISERROR(VLOOKUP($B6,SportslineData!$Q:$AB,6,0))),"",ROUND(VLOOKUP($B6,SportslineData!$Q:$AB,6,0),0))</f>
        <v>10</v>
      </c>
      <c r="P6" s="82">
        <f>IF(OR(($A6=Settings!$A$30),ISERROR(VLOOKUP($B6,SportslineData!$Q:$AB,7,0))),"",ROUND(VLOOKUP($B6,SportslineData!$Q:$AB,7,0),0))</f>
        <v>67</v>
      </c>
      <c r="Q6" s="82">
        <f>IF(OR(($A6=Settings!$A$30),ISERROR(VLOOKUP($B6,SportslineData!$Q:$AB,8,0))),"",VLOOKUP($B6,SportslineData!$Q:$AB,8,0))</f>
        <v>606.5</v>
      </c>
      <c r="R6" s="82">
        <f>IF(OR(($A6=Settings!$A$30),ISERROR(VLOOKUP($B6,SportslineData!$Q:$AB,10,0))),"",ROUND(VLOOKUP($B6,SportslineData!$Q:$AB,10,0),0))</f>
        <v>4</v>
      </c>
      <c r="S6" s="74">
        <f>IF(OR(($A6=Settings!$A$30),ISERROR(VLOOKUP($B6,SportslineData!$Q:$AB,11,0))),"",ROUND(VLOOKUP($B6,SportslineData!$Q:$AB,11,0),0))</f>
        <v>2</v>
      </c>
      <c r="T6" s="117"/>
      <c r="U6" s="131">
        <f t="shared" si="2"/>
        <v>13.895442898063138</v>
      </c>
      <c r="V6" s="38">
        <f>IF(ISERROR(ROUND((((((ROUNDDOWN((D6/5),0)*Settings!$F$7)+(E6*Settings!$I$7))+(F6*Settings!$I$11))+(ROUNDDOWN((G6/5),0)*Settings!$F$11))+(H6*Settings!$F$12)),1)),0,ROUND((((((ROUNDDOWN((D6/5),0)*Settings!$F$7)+(E6*Settings!$I$7))+(F6*Settings!$I$11))+(ROUNDDOWN((G6/5),0)*Settings!$F$11))+(H6*Settings!$F$12)),1))</f>
        <v>304</v>
      </c>
      <c r="W6" s="38">
        <f>IF(ISERROR(ROUND((((((ROUNDDOWN((I6/5),0)*Settings!$F$7)+(J6*Settings!$I$7))+(K6*Settings!$I$11))+(ROUNDDOWN((L6/5),0)*Settings!$F$11))+(M6*Settings!$F$12)),1)),0,ROUND((((((ROUNDDOWN((I6/5),0)*Settings!$F$7)+(J6*Settings!$I$7))+(K6*Settings!$I$11))+(ROUNDDOWN((L6/5),0)*Settings!$F$11))+(M6*Settings!$F$12)),1))</f>
        <v>282.5</v>
      </c>
      <c r="X6" s="38">
        <f>IF(AND((N6=""),(P6="")),0,((((((ROUND((N6/5),0)*Settings!$F$7)+(O6*Settings!$I$7))+(P6*Settings!$I$11))+(ROUND((Q6/5),0)*Settings!$F$11))+(R6*Settings!$F$12))+(S6*Settings!$F$15)))</f>
        <v>308.5</v>
      </c>
      <c r="Y6" s="66">
        <f>ROUND((((V6*Settings!$B$21)+(W6*Settings!$B$22))+(X6*Settings!$B$23)),1)</f>
        <v>298.39999999999998</v>
      </c>
      <c r="Z6" s="66">
        <f>IF(ISERROR(VLOOKUP(RANK(Y6,$Y$4:$Y$182),Z$4:Z5,1,0)),RANK(Y6,$Y$4:$Y$182),IF(ISERROR(VLOOKUP((RANK(Y6,$Y$4:$Y$182)+1),Z$4:Z5,1,0)),(RANK(Y6,$Y$4:$Y$182)+1),IF(ISERROR(VLOOKUP((RANK(Y6,$Y$4:$Y$182)+2),Z$4:Z5,1,0)),(RANK(Y6,$Y$4:$Y$182)+2),(RANK(Y6,$Y$4:$Y$182)+3))))</f>
        <v>1</v>
      </c>
      <c r="AA6" t="str">
        <f t="shared" si="3"/>
        <v>Jamaal Charles</v>
      </c>
    </row>
    <row r="7" spans="1:27" ht="12.75" customHeight="1">
      <c r="A7" s="33" t="str">
        <f>ESPNData!R6</f>
        <v>Matt Forte, Chi RB</v>
      </c>
      <c r="B7" s="33" t="str">
        <f t="shared" si="0"/>
        <v>Matt Forte</v>
      </c>
      <c r="C7" s="64" t="str">
        <f t="shared" si="1"/>
        <v>CHI</v>
      </c>
      <c r="D7" s="117">
        <f>IF(OR(($A7=Settings!$A$30),ISERROR(VLOOKUP($B7,FFTodayData!$P:$Y,5,0))),"",VLOOKUP($B7,FFTodayData!$P:$Y,5,0))</f>
        <v>1220</v>
      </c>
      <c r="E7" s="33">
        <f>IF(OR(($A7=Settings!$A$30),ISERROR(VLOOKUP($B7,FFTodayData!$P:$Y,6,0))),"",VLOOKUP($B7,FFTodayData!$P:$Y,6,0))</f>
        <v>7</v>
      </c>
      <c r="F7" s="33">
        <f>IF(OR(($A7=Settings!$A$30),ISERROR(VLOOKUP($B7,FFTodayData!$P:$Y,7,0))),"",VLOOKUP($B7,FFTodayData!$P:$Y,7,0))</f>
        <v>70</v>
      </c>
      <c r="G7" s="33">
        <f>IF(OR(($A7=Settings!$A$30),ISERROR(VLOOKUP($B7,FFTodayData!$P:$Y,8,0))),"",VLOOKUP($B7,FFTodayData!$P:$Y,8,0))</f>
        <v>545</v>
      </c>
      <c r="H7" s="64">
        <f>IF(OR(($A7=Settings!$A$30),ISERROR(VLOOKUP($B7,FFTodayData!$P:$Y,9,0))),"",VLOOKUP($B7,FFTodayData!$P:$Y,9,0))</f>
        <v>2</v>
      </c>
      <c r="I7" s="117">
        <f>IF(ISERROR(VLOOKUP($A7,ESPNData!$R:$AE,9,0)),"",VLOOKUP($A7,ESPNData!$R:$AE,9,0))</f>
        <v>1227</v>
      </c>
      <c r="J7" s="33">
        <f>IF(ISERROR(VLOOKUP($A7,ESPNData!$R:$AE,10,0)),"",VLOOKUP($A7,ESPNData!$R:$AE,10,0))</f>
        <v>8</v>
      </c>
      <c r="K7" s="33">
        <f>IF(ISERROR(VLOOKUP($A7,ESPNData!$R:$AE,11,0)),"",VLOOKUP($A7,ESPNData!$R:$AE,11,0))</f>
        <v>70</v>
      </c>
      <c r="L7" s="33">
        <f>IF(ISERROR(VLOOKUP($A7,ESPNData!$R:$AE,12,0)),"",VLOOKUP($A7,ESPNData!$R:$AE,12,0))</f>
        <v>576</v>
      </c>
      <c r="M7" s="64">
        <f>IF(ISERROR(VLOOKUP($A7,ESPNData!$R:$AE,13,0)),"",VLOOKUP($A7,ESPNData!$R:$AE,13,0))</f>
        <v>2</v>
      </c>
      <c r="N7" s="115">
        <f>IF(OR(($A7=Settings!$A$30),ISERROR(VLOOKUP($B7,SportslineData!$Q:$AB,4,0))),"",VLOOKUP($B7,SportslineData!$Q:$AB,4,0))</f>
        <v>1304</v>
      </c>
      <c r="O7" s="82">
        <f>IF(OR(($A7=Settings!$A$30),ISERROR(VLOOKUP($B7,SportslineData!$Q:$AB,6,0))),"",ROUND(VLOOKUP($B7,SportslineData!$Q:$AB,6,0),0))</f>
        <v>8</v>
      </c>
      <c r="P7" s="82">
        <f>IF(OR(($A7=Settings!$A$30),ISERROR(VLOOKUP($B7,SportslineData!$Q:$AB,7,0))),"",ROUND(VLOOKUP($B7,SportslineData!$Q:$AB,7,0),0))</f>
        <v>65</v>
      </c>
      <c r="Q7" s="82">
        <f>IF(OR(($A7=Settings!$A$30),ISERROR(VLOOKUP($B7,SportslineData!$Q:$AB,8,0))),"",VLOOKUP($B7,SportslineData!$Q:$AB,8,0))</f>
        <v>532</v>
      </c>
      <c r="R7" s="82">
        <f>IF(OR(($A7=Settings!$A$30),ISERROR(VLOOKUP($B7,SportslineData!$Q:$AB,10,0))),"",ROUND(VLOOKUP($B7,SportslineData!$Q:$AB,10,0),0))</f>
        <v>4</v>
      </c>
      <c r="S7" s="74">
        <f>IF(OR(($A7=Settings!$A$30),ISERROR(VLOOKUP($B7,SportslineData!$Q:$AB,11,0))),"",ROUND(VLOOKUP($B7,SportslineData!$Q:$AB,11,0),0))</f>
        <v>2</v>
      </c>
      <c r="T7" s="117"/>
      <c r="U7" s="131">
        <f t="shared" si="2"/>
        <v>10.259142264341596</v>
      </c>
      <c r="V7" s="38">
        <f>IF(ISERROR(ROUND((((((ROUNDDOWN((D7/5),0)*Settings!$F$7)+(E7*Settings!$I$7))+(F7*Settings!$I$11))+(ROUNDDOWN((G7/5),0)*Settings!$F$11))+(H7*Settings!$F$12)),1)),0,ROUND((((((ROUNDDOWN((D7/5),0)*Settings!$F$7)+(E7*Settings!$I$7))+(F7*Settings!$I$11))+(ROUNDDOWN((G7/5),0)*Settings!$F$11))+(H7*Settings!$F$12)),1))</f>
        <v>265.5</v>
      </c>
      <c r="W7" s="38">
        <f>IF(ISERROR(ROUND((((((ROUNDDOWN((I7/5),0)*Settings!$F$7)+(J7*Settings!$I$7))+(K7*Settings!$I$11))+(ROUNDDOWN((L7/5),0)*Settings!$F$11))+(M7*Settings!$F$12)),1)),0,ROUND((((((ROUNDDOWN((I7/5),0)*Settings!$F$7)+(J7*Settings!$I$7))+(K7*Settings!$I$11))+(ROUNDDOWN((L7/5),0)*Settings!$F$11))+(M7*Settings!$F$12)),1))</f>
        <v>275</v>
      </c>
      <c r="X7" s="38">
        <f>IF(AND((N7=""),(P7="")),0,((((((ROUND((N7/5),0)*Settings!$F$7)+(O7*Settings!$I$7))+(P7*Settings!$I$11))+(ROUND((Q7/5),0)*Settings!$F$11))+(R7*Settings!$F$12))+(S7*Settings!$F$15)))</f>
        <v>286</v>
      </c>
      <c r="Y7" s="66">
        <f>ROUND((((V7*Settings!$B$21)+(W7*Settings!$B$22))+(X7*Settings!$B$23)),1)</f>
        <v>275.60000000000002</v>
      </c>
      <c r="Z7" s="66">
        <f>IF(ISERROR(VLOOKUP(RANK(Y7,$Y$4:$Y$182),Z$4:Z6,1,0)),RANK(Y7,$Y$4:$Y$182),IF(ISERROR(VLOOKUP((RANK(Y7,$Y$4:$Y$182)+1),Z$4:Z6,1,0)),(RANK(Y7,$Y$4:$Y$182)+1),IF(ISERROR(VLOOKUP((RANK(Y7,$Y$4:$Y$182)+2),Z$4:Z6,1,0)),(RANK(Y7,$Y$4:$Y$182)+2),(RANK(Y7,$Y$4:$Y$182)+3))))</f>
        <v>3</v>
      </c>
      <c r="AA7" t="str">
        <f t="shared" si="3"/>
        <v>Matt Forte</v>
      </c>
    </row>
    <row r="8" spans="1:27" ht="12.75" customHeight="1">
      <c r="A8" s="33" t="str">
        <f>ESPNData!R7</f>
        <v>Marshawn Lynch, Sea RB</v>
      </c>
      <c r="B8" s="33" t="str">
        <f t="shared" si="0"/>
        <v>Marshawn Lynch</v>
      </c>
      <c r="C8" s="64" t="str">
        <f t="shared" si="1"/>
        <v>SEA</v>
      </c>
      <c r="D8" s="117">
        <f>IF(OR(($A8=Settings!$A$30),ISERROR(VLOOKUP($B8,FFTodayData!$P:$Y,5,0))),"",VLOOKUP($B8,FFTodayData!$P:$Y,5,0))</f>
        <v>1184</v>
      </c>
      <c r="E8" s="33">
        <f>IF(OR(($A8=Settings!$A$30),ISERROR(VLOOKUP($B8,FFTodayData!$P:$Y,6,0))),"",VLOOKUP($B8,FFTodayData!$P:$Y,6,0))</f>
        <v>10</v>
      </c>
      <c r="F8" s="33">
        <f>IF(OR(($A8=Settings!$A$30),ISERROR(VLOOKUP($B8,FFTodayData!$P:$Y,7,0))),"",VLOOKUP($B8,FFTodayData!$P:$Y,7,0))</f>
        <v>29</v>
      </c>
      <c r="G8" s="33">
        <f>IF(OR(($A8=Settings!$A$30),ISERROR(VLOOKUP($B8,FFTodayData!$P:$Y,8,0))),"",VLOOKUP($B8,FFTodayData!$P:$Y,8,0))</f>
        <v>222</v>
      </c>
      <c r="H8" s="64">
        <f>IF(OR(($A8=Settings!$A$30),ISERROR(VLOOKUP($B8,FFTodayData!$P:$Y,9,0))),"",VLOOKUP($B8,FFTodayData!$P:$Y,9,0))</f>
        <v>1</v>
      </c>
      <c r="I8" s="117">
        <f>IF(ISERROR(VLOOKUP($A8,ESPNData!$R:$AE,9,0)),"",VLOOKUP($A8,ESPNData!$R:$AE,9,0))</f>
        <v>1285</v>
      </c>
      <c r="J8" s="33">
        <f>IF(ISERROR(VLOOKUP($A8,ESPNData!$R:$AE,10,0)),"",VLOOKUP($A8,ESPNData!$R:$AE,10,0))</f>
        <v>12</v>
      </c>
      <c r="K8" s="33">
        <f>IF(ISERROR(VLOOKUP($A8,ESPNData!$R:$AE,11,0)),"",VLOOKUP($A8,ESPNData!$R:$AE,11,0))</f>
        <v>33</v>
      </c>
      <c r="L8" s="33">
        <f>IF(ISERROR(VLOOKUP($A8,ESPNData!$R:$AE,12,0)),"",VLOOKUP($A8,ESPNData!$R:$AE,12,0))</f>
        <v>279</v>
      </c>
      <c r="M8" s="64">
        <f>IF(ISERROR(VLOOKUP($A8,ESPNData!$R:$AE,13,0)),"",VLOOKUP($A8,ESPNData!$R:$AE,13,0))</f>
        <v>1</v>
      </c>
      <c r="N8" s="115">
        <f>IF(OR(($A8=Settings!$A$30),ISERROR(VLOOKUP($B8,SportslineData!$Q:$AB,4,0))),"",VLOOKUP($B8,SportslineData!$Q:$AB,4,0))</f>
        <v>1198</v>
      </c>
      <c r="O8" s="82">
        <f>IF(OR(($A8=Settings!$A$30),ISERROR(VLOOKUP($B8,SportslineData!$Q:$AB,6,0))),"",ROUND(VLOOKUP($B8,SportslineData!$Q:$AB,6,0),0))</f>
        <v>9</v>
      </c>
      <c r="P8" s="82">
        <f>IF(OR(($A8=Settings!$A$30),ISERROR(VLOOKUP($B8,SportslineData!$Q:$AB,7,0))),"",ROUND(VLOOKUP($B8,SportslineData!$Q:$AB,7,0),0))</f>
        <v>24</v>
      </c>
      <c r="Q8" s="82">
        <f>IF(OR(($A8=Settings!$A$30),ISERROR(VLOOKUP($B8,SportslineData!$Q:$AB,8,0))),"",VLOOKUP($B8,SportslineData!$Q:$AB,8,0))</f>
        <v>180.5</v>
      </c>
      <c r="R8" s="82">
        <f>IF(OR(($A8=Settings!$A$30),ISERROR(VLOOKUP($B8,SportslineData!$Q:$AB,10,0))),"",ROUND(VLOOKUP($B8,SportslineData!$Q:$AB,10,0),0))</f>
        <v>1</v>
      </c>
      <c r="S8" s="74">
        <f>IF(OR(($A8=Settings!$A$30),ISERROR(VLOOKUP($B8,SportslineData!$Q:$AB,11,0))),"",ROUND(VLOOKUP($B8,SportslineData!$Q:$AB,11,0),0))</f>
        <v>2</v>
      </c>
      <c r="T8" s="117"/>
      <c r="U8" s="131">
        <f t="shared" si="2"/>
        <v>21.842237370135262</v>
      </c>
      <c r="V8" s="38">
        <f>IF(ISERROR(ROUND((((((ROUNDDOWN((D8/5),0)*Settings!$F$7)+(E8*Settings!$I$7))+(F8*Settings!$I$11))+(ROUNDDOWN((G8/5),0)*Settings!$F$11))+(H8*Settings!$F$12)),1)),0,ROUND((((((ROUNDDOWN((D8/5),0)*Settings!$F$7)+(E8*Settings!$I$7))+(F8*Settings!$I$11))+(ROUNDDOWN((G8/5),0)*Settings!$F$11))+(H8*Settings!$F$12)),1))</f>
        <v>220.5</v>
      </c>
      <c r="W8" s="38">
        <f>IF(ISERROR(ROUND((((((ROUNDDOWN((I8/5),0)*Settings!$F$7)+(J8*Settings!$I$7))+(K8*Settings!$I$11))+(ROUNDDOWN((L8/5),0)*Settings!$F$11))+(M8*Settings!$F$12)),1)),0,ROUND((((((ROUNDDOWN((I8/5),0)*Settings!$F$7)+(J8*Settings!$I$7))+(K8*Settings!$I$11))+(ROUNDDOWN((L8/5),0)*Settings!$F$11))+(M8*Settings!$F$12)),1))</f>
        <v>250.5</v>
      </c>
      <c r="X8" s="38">
        <f>IF(AND((N8=""),(P8="")),0,((((((ROUND((N8/5),0)*Settings!$F$7)+(O8*Settings!$I$7))+(P8*Settings!$I$11))+(ROUND((Q8/5),0)*Settings!$F$11))+(R8*Settings!$F$12))+(S8*Settings!$F$15)))</f>
        <v>208</v>
      </c>
      <c r="Y8" s="66">
        <f>ROUND((((V8*Settings!$B$21)+(W8*Settings!$B$22))+(X8*Settings!$B$23)),1)</f>
        <v>226.2</v>
      </c>
      <c r="Z8" s="66">
        <f>IF(ISERROR(VLOOKUP(RANK(Y8,$Y$4:$Y$182),Z$4:Z7,1,0)),RANK(Y8,$Y$4:$Y$182),IF(ISERROR(VLOOKUP((RANK(Y8,$Y$4:$Y$182)+1),Z$4:Z7,1,0)),(RANK(Y8,$Y$4:$Y$182)+1),IF(ISERROR(VLOOKUP((RANK(Y8,$Y$4:$Y$182)+2),Z$4:Z7,1,0)),(RANK(Y8,$Y$4:$Y$182)+2),(RANK(Y8,$Y$4:$Y$182)+3))))</f>
        <v>9</v>
      </c>
      <c r="AA8" t="str">
        <f t="shared" si="3"/>
        <v>Marshawn Lynch</v>
      </c>
    </row>
    <row r="9" spans="1:27" ht="12.75" customHeight="1">
      <c r="A9" s="33" t="str">
        <f>ESPNData!R8</f>
        <v>Eddie Lacy, GB RB</v>
      </c>
      <c r="B9" s="33" t="str">
        <f t="shared" si="0"/>
        <v>Eddie Lacy</v>
      </c>
      <c r="C9" s="64" t="str">
        <f t="shared" si="1"/>
        <v>GB</v>
      </c>
      <c r="D9" s="117">
        <f>IF(OR(($A9=Settings!$A$30),ISERROR(VLOOKUP($B9,FFTodayData!$P:$Y,5,0))),"",VLOOKUP($B9,FFTodayData!$P:$Y,5,0))</f>
        <v>1110</v>
      </c>
      <c r="E9" s="33">
        <f>IF(OR(($A9=Settings!$A$30),ISERROR(VLOOKUP($B9,FFTodayData!$P:$Y,6,0))),"",VLOOKUP($B9,FFTodayData!$P:$Y,6,0))</f>
        <v>10</v>
      </c>
      <c r="F9" s="33">
        <f>IF(OR(($A9=Settings!$A$30),ISERROR(VLOOKUP($B9,FFTodayData!$P:$Y,7,0))),"",VLOOKUP($B9,FFTodayData!$P:$Y,7,0))</f>
        <v>42</v>
      </c>
      <c r="G9" s="33">
        <f>IF(OR(($A9=Settings!$A$30),ISERROR(VLOOKUP($B9,FFTodayData!$P:$Y,8,0))),"",VLOOKUP($B9,FFTodayData!$P:$Y,8,0))</f>
        <v>296</v>
      </c>
      <c r="H9" s="64">
        <f>IF(OR(($A9=Settings!$A$30),ISERROR(VLOOKUP($B9,FFTodayData!$P:$Y,9,0))),"",VLOOKUP($B9,FFTodayData!$P:$Y,9,0))</f>
        <v>1</v>
      </c>
      <c r="I9" s="117">
        <f>IF(ISERROR(VLOOKUP($A9,ESPNData!$R:$AE,9,0)),"",VLOOKUP($A9,ESPNData!$R:$AE,9,0))</f>
        <v>1220</v>
      </c>
      <c r="J9" s="33">
        <f>IF(ISERROR(VLOOKUP($A9,ESPNData!$R:$AE,10,0)),"",VLOOKUP($A9,ESPNData!$R:$AE,10,0))</f>
        <v>10</v>
      </c>
      <c r="K9" s="33">
        <f>IF(ISERROR(VLOOKUP($A9,ESPNData!$R:$AE,11,0)),"",VLOOKUP($A9,ESPNData!$R:$AE,11,0))</f>
        <v>42</v>
      </c>
      <c r="L9" s="33">
        <f>IF(ISERROR(VLOOKUP($A9,ESPNData!$R:$AE,12,0)),"",VLOOKUP($A9,ESPNData!$R:$AE,12,0))</f>
        <v>301</v>
      </c>
      <c r="M9" s="64">
        <f>IF(ISERROR(VLOOKUP($A9,ESPNData!$R:$AE,13,0)),"",VLOOKUP($A9,ESPNData!$R:$AE,13,0))</f>
        <v>1</v>
      </c>
      <c r="N9" s="115">
        <f>IF(OR(($A9=Settings!$A$30),ISERROR(VLOOKUP($B9,SportslineData!$Q:$AB,4,0))),"",VLOOKUP($B9,SportslineData!$Q:$AB,4,0))</f>
        <v>1280</v>
      </c>
      <c r="O9" s="82">
        <f>IF(OR(($A9=Settings!$A$30),ISERROR(VLOOKUP($B9,SportslineData!$Q:$AB,6,0))),"",ROUND(VLOOKUP($B9,SportslineData!$Q:$AB,6,0),0))</f>
        <v>11</v>
      </c>
      <c r="P9" s="82">
        <f>IF(OR(($A9=Settings!$A$30),ISERROR(VLOOKUP($B9,SportslineData!$Q:$AB,7,0))),"",ROUND(VLOOKUP($B9,SportslineData!$Q:$AB,7,0),0))</f>
        <v>36</v>
      </c>
      <c r="Q9" s="82">
        <f>IF(OR(($A9=Settings!$A$30),ISERROR(VLOOKUP($B9,SportslineData!$Q:$AB,8,0))),"",VLOOKUP($B9,SportslineData!$Q:$AB,8,0))</f>
        <v>254</v>
      </c>
      <c r="R9" s="82">
        <f>IF(OR(($A9=Settings!$A$30),ISERROR(VLOOKUP($B9,SportslineData!$Q:$AB,10,0))),"",ROUND(VLOOKUP($B9,SportslineData!$Q:$AB,10,0),0))</f>
        <v>1</v>
      </c>
      <c r="S9" s="74">
        <f>IF(OR(($A9=Settings!$A$30),ISERROR(VLOOKUP($B9,SportslineData!$Q:$AB,11,0))),"",ROUND(VLOOKUP($B9,SportslineData!$Q:$AB,11,0),0))</f>
        <v>1</v>
      </c>
      <c r="T9" s="117"/>
      <c r="U9" s="131">
        <f t="shared" si="2"/>
        <v>7.8475049113290352</v>
      </c>
      <c r="V9" s="38">
        <f>IF(ISERROR(ROUND((((((ROUNDDOWN((D9/5),0)*Settings!$F$7)+(E9*Settings!$I$7))+(F9*Settings!$I$11))+(ROUNDDOWN((G9/5),0)*Settings!$F$11))+(H9*Settings!$F$12)),1)),0,ROUND((((((ROUNDDOWN((D9/5),0)*Settings!$F$7)+(E9*Settings!$I$7))+(F9*Settings!$I$11))+(ROUNDDOWN((G9/5),0)*Settings!$F$11))+(H9*Settings!$F$12)),1))</f>
        <v>227.5</v>
      </c>
      <c r="W9" s="38">
        <f>IF(ISERROR(ROUND((((((ROUNDDOWN((I9/5),0)*Settings!$F$7)+(J9*Settings!$I$7))+(K9*Settings!$I$11))+(ROUNDDOWN((L9/5),0)*Settings!$F$11))+(M9*Settings!$F$12)),1)),0,ROUND((((((ROUNDDOWN((I9/5),0)*Settings!$F$7)+(J9*Settings!$I$7))+(K9*Settings!$I$11))+(ROUNDDOWN((L9/5),0)*Settings!$F$11))+(M9*Settings!$F$12)),1))</f>
        <v>239</v>
      </c>
      <c r="X9" s="38">
        <f>IF(AND((N9=""),(P9="")),0,((((((ROUND((N9/5),0)*Settings!$F$7)+(O9*Settings!$I$7))+(P9*Settings!$I$11))+(ROUND((Q9/5),0)*Settings!$F$11))+(R9*Settings!$F$12))+(S9*Settings!$F$15)))</f>
        <v>242.5</v>
      </c>
      <c r="Y9" s="66">
        <f>ROUND((((V9*Settings!$B$21)+(W9*Settings!$B$22))+(X9*Settings!$B$23)),1)</f>
        <v>236.4</v>
      </c>
      <c r="Z9" s="66">
        <f>IF(ISERROR(VLOOKUP(RANK(Y9,$Y$4:$Y$182),Z$4:Z8,1,0)),RANK(Y9,$Y$4:$Y$182),IF(ISERROR(VLOOKUP((RANK(Y9,$Y$4:$Y$182)+1),Z$4:Z8,1,0)),(RANK(Y9,$Y$4:$Y$182)+1),IF(ISERROR(VLOOKUP((RANK(Y9,$Y$4:$Y$182)+2),Z$4:Z8,1,0)),(RANK(Y9,$Y$4:$Y$182)+2),(RANK(Y9,$Y$4:$Y$182)+3))))</f>
        <v>5</v>
      </c>
      <c r="AA9" t="str">
        <f t="shared" si="3"/>
        <v>Eddie Lacy</v>
      </c>
    </row>
    <row r="10" spans="1:27" ht="12.75" customHeight="1">
      <c r="A10" s="33" t="str">
        <f>ESPNData!R9</f>
        <v>Arian Foster, Hou RB</v>
      </c>
      <c r="B10" s="33" t="str">
        <f t="shared" si="0"/>
        <v>Arian Foster</v>
      </c>
      <c r="C10" s="64" t="str">
        <f t="shared" si="1"/>
        <v>HOU</v>
      </c>
      <c r="D10" s="117">
        <f>IF(OR(($A10=Settings!$A$30),ISERROR(VLOOKUP($B10,FFTodayData!$P:$Y,5,0))),"",VLOOKUP($B10,FFTodayData!$P:$Y,5,0))</f>
        <v>1104</v>
      </c>
      <c r="E10" s="33">
        <f>IF(OR(($A10=Settings!$A$30),ISERROR(VLOOKUP($B10,FFTodayData!$P:$Y,6,0))),"",VLOOKUP($B10,FFTodayData!$P:$Y,6,0))</f>
        <v>7</v>
      </c>
      <c r="F10" s="33">
        <f>IF(OR(($A10=Settings!$A$30),ISERROR(VLOOKUP($B10,FFTodayData!$P:$Y,7,0))),"",VLOOKUP($B10,FFTodayData!$P:$Y,7,0))</f>
        <v>56</v>
      </c>
      <c r="G10" s="33">
        <f>IF(OR(($A10=Settings!$A$30),ISERROR(VLOOKUP($B10,FFTodayData!$P:$Y,8,0))),"",VLOOKUP($B10,FFTodayData!$P:$Y,8,0))</f>
        <v>385</v>
      </c>
      <c r="H10" s="64">
        <f>IF(OR(($A10=Settings!$A$30),ISERROR(VLOOKUP($B10,FFTodayData!$P:$Y,9,0))),"",VLOOKUP($B10,FFTodayData!$P:$Y,9,0))</f>
        <v>1</v>
      </c>
      <c r="I10" s="117">
        <f>IF(ISERROR(VLOOKUP($A10,ESPNData!$R:$AE,9,0)),"",VLOOKUP($A10,ESPNData!$R:$AE,9,0))</f>
        <v>1034</v>
      </c>
      <c r="J10" s="33">
        <f>IF(ISERROR(VLOOKUP($A10,ESPNData!$R:$AE,10,0)),"",VLOOKUP($A10,ESPNData!$R:$AE,10,0))</f>
        <v>8</v>
      </c>
      <c r="K10" s="33">
        <f>IF(ISERROR(VLOOKUP($A10,ESPNData!$R:$AE,11,0)),"",VLOOKUP($A10,ESPNData!$R:$AE,11,0))</f>
        <v>37</v>
      </c>
      <c r="L10" s="33">
        <f>IF(ISERROR(VLOOKUP($A10,ESPNData!$R:$AE,12,0)),"",VLOOKUP($A10,ESPNData!$R:$AE,12,0))</f>
        <v>307</v>
      </c>
      <c r="M10" s="64">
        <f>IF(ISERROR(VLOOKUP($A10,ESPNData!$R:$AE,13,0)),"",VLOOKUP($A10,ESPNData!$R:$AE,13,0))</f>
        <v>1</v>
      </c>
      <c r="N10" s="115">
        <f>IF(OR(($A10=Settings!$A$30),ISERROR(VLOOKUP($B10,SportslineData!$Q:$AB,4,0))),"",VLOOKUP($B10,SportslineData!$Q:$AB,4,0))</f>
        <v>1136.5</v>
      </c>
      <c r="O10" s="82">
        <f>IF(OR(($A10=Settings!$A$30),ISERROR(VLOOKUP($B10,SportslineData!$Q:$AB,6,0))),"",ROUND(VLOOKUP($B10,SportslineData!$Q:$AB,6,0),0))</f>
        <v>6</v>
      </c>
      <c r="P10" s="82">
        <f>IF(OR(($A10=Settings!$A$30),ISERROR(VLOOKUP($B10,SportslineData!$Q:$AB,7,0))),"",ROUND(VLOOKUP($B10,SportslineData!$Q:$AB,7,0),0))</f>
        <v>42</v>
      </c>
      <c r="Q10" s="82">
        <f>IF(OR(($A10=Settings!$A$30),ISERROR(VLOOKUP($B10,SportslineData!$Q:$AB,8,0))),"",VLOOKUP($B10,SportslineData!$Q:$AB,8,0))</f>
        <v>346.5</v>
      </c>
      <c r="R10" s="82">
        <f>IF(OR(($A10=Settings!$A$30),ISERROR(VLOOKUP($B10,SportslineData!$Q:$AB,10,0))),"",ROUND(VLOOKUP($B10,SportslineData!$Q:$AB,10,0),0))</f>
        <v>2</v>
      </c>
      <c r="S10" s="74">
        <f>IF(OR(($A10=Settings!$A$30),ISERROR(VLOOKUP($B10,SportslineData!$Q:$AB,11,0))),"",ROUND(VLOOKUP($B10,SportslineData!$Q:$AB,11,0),0))</f>
        <v>2</v>
      </c>
      <c r="T10" s="117"/>
      <c r="U10" s="131">
        <f t="shared" si="2"/>
        <v>9.2511260575852781</v>
      </c>
      <c r="V10" s="38">
        <f>IF(ISERROR(ROUND((((((ROUNDDOWN((D10/5),0)*Settings!$F$7)+(E10*Settings!$I$7))+(F10*Settings!$I$11))+(ROUNDDOWN((G10/5),0)*Settings!$F$11))+(H10*Settings!$F$12)),1)),0,ROUND((((((ROUNDDOWN((D10/5),0)*Settings!$F$7)+(E10*Settings!$I$7))+(F10*Settings!$I$11))+(ROUNDDOWN((G10/5),0)*Settings!$F$11))+(H10*Settings!$F$12)),1))</f>
        <v>224.5</v>
      </c>
      <c r="W10" s="38">
        <f>IF(ISERROR(ROUND((((((ROUNDDOWN((I10/5),0)*Settings!$F$7)+(J10*Settings!$I$7))+(K10*Settings!$I$11))+(ROUNDDOWN((L10/5),0)*Settings!$F$11))+(M10*Settings!$F$12)),1)),0,ROUND((((((ROUNDDOWN((I10/5),0)*Settings!$F$7)+(J10*Settings!$I$7))+(K10*Settings!$I$11))+(ROUNDDOWN((L10/5),0)*Settings!$F$11))+(M10*Settings!$F$12)),1))</f>
        <v>206</v>
      </c>
      <c r="X10" s="38">
        <f>IF(AND((N10=""),(P10="")),0,((((((ROUND((N10/5),0)*Settings!$F$7)+(O10*Settings!$I$7))+(P10*Settings!$I$11))+(ROUND((Q10/5),0)*Settings!$F$11))+(R10*Settings!$F$12))+(S10*Settings!$F$15)))</f>
        <v>215</v>
      </c>
      <c r="Y10" s="66">
        <f>ROUND((((V10*Settings!$B$21)+(W10*Settings!$B$22))+(X10*Settings!$B$23)),1)</f>
        <v>215.2</v>
      </c>
      <c r="Z10" s="66">
        <f>IF(ISERROR(VLOOKUP(RANK(Y10,$Y$4:$Y$182),Z$4:Z9,1,0)),RANK(Y10,$Y$4:$Y$182),IF(ISERROR(VLOOKUP((RANK(Y10,$Y$4:$Y$182)+1),Z$4:Z9,1,0)),(RANK(Y10,$Y$4:$Y$182)+1),IF(ISERROR(VLOOKUP((RANK(Y10,$Y$4:$Y$182)+2),Z$4:Z9,1,0)),(RANK(Y10,$Y$4:$Y$182)+2),(RANK(Y10,$Y$4:$Y$182)+3))))</f>
        <v>12</v>
      </c>
      <c r="AA10" t="str">
        <f t="shared" si="3"/>
        <v>Arian Foster</v>
      </c>
    </row>
    <row r="11" spans="1:27" ht="12.75" customHeight="1">
      <c r="A11" s="33" t="str">
        <f>ESPNData!R10</f>
        <v>Doug Martin, TB RB</v>
      </c>
      <c r="B11" s="33" t="str">
        <f t="shared" si="0"/>
        <v>Doug Martin</v>
      </c>
      <c r="C11" s="64" t="str">
        <f t="shared" si="1"/>
        <v>TB</v>
      </c>
      <c r="D11" s="117">
        <f>IF(OR(($A11=Settings!$A$30),ISERROR(VLOOKUP($B11,FFTodayData!$P:$Y,5,0))),"",VLOOKUP($B11,FFTodayData!$P:$Y,5,0))</f>
        <v>1085</v>
      </c>
      <c r="E11" s="33">
        <f>IF(OR(($A11=Settings!$A$30),ISERROR(VLOOKUP($B11,FFTodayData!$P:$Y,6,0))),"",VLOOKUP($B11,FFTodayData!$P:$Y,6,0))</f>
        <v>7</v>
      </c>
      <c r="F11" s="33">
        <f>IF(OR(($A11=Settings!$A$30),ISERROR(VLOOKUP($B11,FFTodayData!$P:$Y,7,0))),"",VLOOKUP($B11,FFTodayData!$P:$Y,7,0))</f>
        <v>41</v>
      </c>
      <c r="G11" s="33">
        <f>IF(OR(($A11=Settings!$A$30),ISERROR(VLOOKUP($B11,FFTodayData!$P:$Y,8,0))),"",VLOOKUP($B11,FFTodayData!$P:$Y,8,0))</f>
        <v>317</v>
      </c>
      <c r="H11" s="64">
        <f>IF(OR(($A11=Settings!$A$30),ISERROR(VLOOKUP($B11,FFTodayData!$P:$Y,9,0))),"",VLOOKUP($B11,FFTodayData!$P:$Y,9,0))</f>
        <v>2</v>
      </c>
      <c r="I11" s="117">
        <f>IF(ISERROR(VLOOKUP($A11,ESPNData!$R:$AE,9,0)),"",VLOOKUP($A11,ESPNData!$R:$AE,9,0))</f>
        <v>1192</v>
      </c>
      <c r="J11" s="33">
        <f>IF(ISERROR(VLOOKUP($A11,ESPNData!$R:$AE,10,0)),"",VLOOKUP($A11,ESPNData!$R:$AE,10,0))</f>
        <v>8</v>
      </c>
      <c r="K11" s="33">
        <f>IF(ISERROR(VLOOKUP($A11,ESPNData!$R:$AE,11,0)),"",VLOOKUP($A11,ESPNData!$R:$AE,11,0))</f>
        <v>43</v>
      </c>
      <c r="L11" s="33">
        <f>IF(ISERROR(VLOOKUP($A11,ESPNData!$R:$AE,12,0)),"",VLOOKUP($A11,ESPNData!$R:$AE,12,0))</f>
        <v>316</v>
      </c>
      <c r="M11" s="64">
        <f>IF(ISERROR(VLOOKUP($A11,ESPNData!$R:$AE,13,0)),"",VLOOKUP($A11,ESPNData!$R:$AE,13,0))</f>
        <v>1</v>
      </c>
      <c r="N11" s="115">
        <f>IF(OR(($A11=Settings!$A$30),ISERROR(VLOOKUP($B11,SportslineData!$Q:$AB,4,0))),"",VLOOKUP($B11,SportslineData!$Q:$AB,4,0))</f>
        <v>1212.5</v>
      </c>
      <c r="O11" s="82">
        <f>IF(OR(($A11=Settings!$A$30),ISERROR(VLOOKUP($B11,SportslineData!$Q:$AB,6,0))),"",ROUND(VLOOKUP($B11,SportslineData!$Q:$AB,6,0),0))</f>
        <v>8</v>
      </c>
      <c r="P11" s="82">
        <f>IF(OR(($A11=Settings!$A$30),ISERROR(VLOOKUP($B11,SportslineData!$Q:$AB,7,0))),"",ROUND(VLOOKUP($B11,SportslineData!$Q:$AB,7,0),0))</f>
        <v>32</v>
      </c>
      <c r="Q11" s="82">
        <f>IF(OR(($A11=Settings!$A$30),ISERROR(VLOOKUP($B11,SportslineData!$Q:$AB,8,0))),"",VLOOKUP($B11,SportslineData!$Q:$AB,8,0))</f>
        <v>241</v>
      </c>
      <c r="R11" s="82">
        <f>IF(OR(($A11=Settings!$A$30),ISERROR(VLOOKUP($B11,SportslineData!$Q:$AB,10,0))),"",ROUND(VLOOKUP($B11,SportslineData!$Q:$AB,10,0),0))</f>
        <v>1</v>
      </c>
      <c r="S11" s="74">
        <f>IF(OR(($A11=Settings!$A$30),ISERROR(VLOOKUP($B11,SportslineData!$Q:$AB,11,0))),"",ROUND(VLOOKUP($B11,SportslineData!$Q:$AB,11,0),0))</f>
        <v>2</v>
      </c>
      <c r="T11" s="117"/>
      <c r="U11" s="131">
        <f t="shared" si="2"/>
        <v>6.946221994724902</v>
      </c>
      <c r="V11" s="38">
        <f>IF(ISERROR(ROUND((((((ROUNDDOWN((D11/5),0)*Settings!$F$7)+(E11*Settings!$I$7))+(F11*Settings!$I$11))+(ROUNDDOWN((G11/5),0)*Settings!$F$11))+(H11*Settings!$F$12)),1)),0,ROUND((((((ROUNDDOWN((D11/5),0)*Settings!$F$7)+(E11*Settings!$I$7))+(F11*Settings!$I$11))+(ROUNDDOWN((G11/5),0)*Settings!$F$11))+(H11*Settings!$F$12)),1))</f>
        <v>214.5</v>
      </c>
      <c r="W11" s="38">
        <f>IF(ISERROR(ROUND((((((ROUNDDOWN((I11/5),0)*Settings!$F$7)+(J11*Settings!$I$7))+(K11*Settings!$I$11))+(ROUNDDOWN((L11/5),0)*Settings!$F$11))+(M11*Settings!$F$12)),1)),0,ROUND((((((ROUNDDOWN((I11/5),0)*Settings!$F$7)+(J11*Settings!$I$7))+(K11*Settings!$I$11))+(ROUNDDOWN((L11/5),0)*Settings!$F$11))+(M11*Settings!$F$12)),1))</f>
        <v>226</v>
      </c>
      <c r="X11" s="38">
        <f>IF(AND((N11=""),(P11="")),0,((((((ROUND((N11/5),0)*Settings!$F$7)+(O11*Settings!$I$7))+(P11*Settings!$I$11))+(ROUND((Q11/5),0)*Settings!$F$11))+(R11*Settings!$F$12))+(S11*Settings!$F$15)))</f>
        <v>213.5</v>
      </c>
      <c r="Y11" s="66">
        <f>ROUND((((V11*Settings!$B$21)+(W11*Settings!$B$22))+(X11*Settings!$B$23)),1)</f>
        <v>218</v>
      </c>
      <c r="Z11" s="66">
        <f>IF(ISERROR(VLOOKUP(RANK(Y11,$Y$4:$Y$182),Z$4:Z10,1,0)),RANK(Y11,$Y$4:$Y$182),IF(ISERROR(VLOOKUP((RANK(Y11,$Y$4:$Y$182)+1),Z$4:Z10,1,0)),(RANK(Y11,$Y$4:$Y$182)+1),IF(ISERROR(VLOOKUP((RANK(Y11,$Y$4:$Y$182)+2),Z$4:Z10,1,0)),(RANK(Y11,$Y$4:$Y$182)+2),(RANK(Y11,$Y$4:$Y$182)+3))))</f>
        <v>11</v>
      </c>
      <c r="AA11" t="str">
        <f t="shared" si="3"/>
        <v>Doug Martin</v>
      </c>
    </row>
    <row r="12" spans="1:27" ht="12.75" customHeight="1">
      <c r="A12" s="33" t="str">
        <f>ESPNData!R11</f>
        <v>DeMarco Murray, Dal RB</v>
      </c>
      <c r="B12" s="33" t="str">
        <f t="shared" si="0"/>
        <v>DeMarco Murray</v>
      </c>
      <c r="C12" s="64" t="str">
        <f t="shared" si="1"/>
        <v>DAL</v>
      </c>
      <c r="D12" s="117">
        <f>IF(OR(($A12=Settings!$A$30),ISERROR(VLOOKUP($B12,FFTodayData!$P:$Y,5,0))),"",VLOOKUP($B12,FFTodayData!$P:$Y,5,0))</f>
        <v>1115</v>
      </c>
      <c r="E12" s="33">
        <f>IF(OR(($A12=Settings!$A$30),ISERROR(VLOOKUP($B12,FFTodayData!$P:$Y,6,0))),"",VLOOKUP($B12,FFTodayData!$P:$Y,6,0))</f>
        <v>9</v>
      </c>
      <c r="F12" s="33">
        <f>IF(OR(($A12=Settings!$A$30),ISERROR(VLOOKUP($B12,FFTodayData!$P:$Y,7,0))),"",VLOOKUP($B12,FFTodayData!$P:$Y,7,0))</f>
        <v>58</v>
      </c>
      <c r="G12" s="33">
        <f>IF(OR(($A12=Settings!$A$30),ISERROR(VLOOKUP($B12,FFTodayData!$P:$Y,8,0))),"",VLOOKUP($B12,FFTodayData!$P:$Y,8,0))</f>
        <v>411</v>
      </c>
      <c r="H12" s="64">
        <f>IF(OR(($A12=Settings!$A$30),ISERROR(VLOOKUP($B12,FFTodayData!$P:$Y,9,0))),"",VLOOKUP($B12,FFTodayData!$P:$Y,9,0))</f>
        <v>1</v>
      </c>
      <c r="I12" s="117">
        <f>IF(ISERROR(VLOOKUP($A12,ESPNData!$R:$AE,9,0)),"",VLOOKUP($A12,ESPNData!$R:$AE,9,0))</f>
        <v>989</v>
      </c>
      <c r="J12" s="33">
        <f>IF(ISERROR(VLOOKUP($A12,ESPNData!$R:$AE,10,0)),"",VLOOKUP($A12,ESPNData!$R:$AE,10,0))</f>
        <v>8</v>
      </c>
      <c r="K12" s="33">
        <f>IF(ISERROR(VLOOKUP($A12,ESPNData!$R:$AE,11,0)),"",VLOOKUP($A12,ESPNData!$R:$AE,11,0))</f>
        <v>56</v>
      </c>
      <c r="L12" s="33">
        <f>IF(ISERROR(VLOOKUP($A12,ESPNData!$R:$AE,12,0)),"",VLOOKUP($A12,ESPNData!$R:$AE,12,0))</f>
        <v>425</v>
      </c>
      <c r="M12" s="64">
        <f>IF(ISERROR(VLOOKUP($A12,ESPNData!$R:$AE,13,0)),"",VLOOKUP($A12,ESPNData!$R:$AE,13,0))</f>
        <v>1</v>
      </c>
      <c r="N12" s="115">
        <f>IF(OR(($A12=Settings!$A$30),ISERROR(VLOOKUP($B12,SportslineData!$Q:$AB,4,0))),"",VLOOKUP($B12,SportslineData!$Q:$AB,4,0))</f>
        <v>1188</v>
      </c>
      <c r="O12" s="82">
        <f>IF(OR(($A12=Settings!$A$30),ISERROR(VLOOKUP($B12,SportslineData!$Q:$AB,6,0))),"",ROUND(VLOOKUP($B12,SportslineData!$Q:$AB,6,0),0))</f>
        <v>9</v>
      </c>
      <c r="P12" s="82">
        <f>IF(OR(($A12=Settings!$A$30),ISERROR(VLOOKUP($B12,SportslineData!$Q:$AB,7,0))),"",ROUND(VLOOKUP($B12,SportslineData!$Q:$AB,7,0),0))</f>
        <v>54</v>
      </c>
      <c r="Q12" s="82">
        <f>IF(OR(($A12=Settings!$A$30),ISERROR(VLOOKUP($B12,SportslineData!$Q:$AB,8,0))),"",VLOOKUP($B12,SportslineData!$Q:$AB,8,0))</f>
        <v>403</v>
      </c>
      <c r="R12" s="82">
        <f>IF(OR(($A12=Settings!$A$30),ISERROR(VLOOKUP($B12,SportslineData!$Q:$AB,10,0))),"",ROUND(VLOOKUP($B12,SportslineData!$Q:$AB,10,0),0))</f>
        <v>1</v>
      </c>
      <c r="S12" s="74">
        <f>IF(OR(($A12=Settings!$A$30),ISERROR(VLOOKUP($B12,SportslineData!$Q:$AB,11,0))),"",ROUND(VLOOKUP($B12,SportslineData!$Q:$AB,11,0),0))</f>
        <v>2</v>
      </c>
      <c r="T12" s="117"/>
      <c r="U12" s="131">
        <f t="shared" si="2"/>
        <v>11.644025649805711</v>
      </c>
      <c r="V12" s="38">
        <f>IF(ISERROR(ROUND((((((ROUNDDOWN((D12/5),0)*Settings!$F$7)+(E12*Settings!$I$7))+(F12*Settings!$I$11))+(ROUNDDOWN((G12/5),0)*Settings!$F$11))+(H12*Settings!$F$12)),1)),0,ROUND((((((ROUNDDOWN((D12/5),0)*Settings!$F$7)+(E12*Settings!$I$7))+(F12*Settings!$I$11))+(ROUNDDOWN((G12/5),0)*Settings!$F$11))+(H12*Settings!$F$12)),1))</f>
        <v>241.5</v>
      </c>
      <c r="W12" s="38">
        <f>IF(ISERROR(ROUND((((((ROUNDDOWN((I12/5),0)*Settings!$F$7)+(J12*Settings!$I$7))+(K12*Settings!$I$11))+(ROUNDDOWN((L12/5),0)*Settings!$F$11))+(M12*Settings!$F$12)),1)),0,ROUND((((((ROUNDDOWN((I12/5),0)*Settings!$F$7)+(J12*Settings!$I$7))+(K12*Settings!$I$11))+(ROUNDDOWN((L12/5),0)*Settings!$F$11))+(M12*Settings!$F$12)),1))</f>
        <v>223</v>
      </c>
      <c r="X12" s="38">
        <f>IF(AND((N12=""),(P12="")),0,((((((ROUND((N12/5),0)*Settings!$F$7)+(O12*Settings!$I$7))+(P12*Settings!$I$11))+(ROUND((Q12/5),0)*Settings!$F$11))+(R12*Settings!$F$12))+(S12*Settings!$F$15)))</f>
        <v>244.5</v>
      </c>
      <c r="Y12" s="66">
        <f>ROUND((((V12*Settings!$B$21)+(W12*Settings!$B$22))+(X12*Settings!$B$23)),1)</f>
        <v>236.4</v>
      </c>
      <c r="Z12" s="66">
        <f>IF(ISERROR(VLOOKUP(RANK(Y12,$Y$4:$Y$182),Z$4:Z11,1,0)),RANK(Y12,$Y$4:$Y$182),IF(ISERROR(VLOOKUP((RANK(Y12,$Y$4:$Y$182)+1),Z$4:Z11,1,0)),(RANK(Y12,$Y$4:$Y$182)+1),IF(ISERROR(VLOOKUP((RANK(Y12,$Y$4:$Y$182)+2),Z$4:Z11,1,0)),(RANK(Y12,$Y$4:$Y$182)+2),(RANK(Y12,$Y$4:$Y$182)+3))))</f>
        <v>6</v>
      </c>
      <c r="AA12" t="str">
        <f t="shared" si="3"/>
        <v>DeMarco Murray</v>
      </c>
    </row>
    <row r="13" spans="1:27" ht="12.75" customHeight="1">
      <c r="A13" s="33" t="str">
        <f>ESPNData!R12</f>
        <v>Le'Veon Bell, Pit RB</v>
      </c>
      <c r="B13" s="33" t="str">
        <f t="shared" si="0"/>
        <v>Le'Veon Bell</v>
      </c>
      <c r="C13" s="64" t="str">
        <f t="shared" si="1"/>
        <v>PIT</v>
      </c>
      <c r="D13" s="117">
        <f>IF(OR(($A13=Settings!$A$30),ISERROR(VLOOKUP($B13,FFTodayData!$P:$Y,5,0))),"",VLOOKUP($B13,FFTodayData!$P:$Y,5,0))</f>
        <v>1080</v>
      </c>
      <c r="E13" s="33">
        <f>IF(OR(($A13=Settings!$A$30),ISERROR(VLOOKUP($B13,FFTodayData!$P:$Y,6,0))),"",VLOOKUP($B13,FFTodayData!$P:$Y,6,0))</f>
        <v>7</v>
      </c>
      <c r="F13" s="33">
        <f>IF(OR(($A13=Settings!$A$30),ISERROR(VLOOKUP($B13,FFTodayData!$P:$Y,7,0))),"",VLOOKUP($B13,FFTodayData!$P:$Y,7,0))</f>
        <v>57</v>
      </c>
      <c r="G13" s="33">
        <f>IF(OR(($A13=Settings!$A$30),ISERROR(VLOOKUP($B13,FFTodayData!$P:$Y,8,0))),"",VLOOKUP($B13,FFTodayData!$P:$Y,8,0))</f>
        <v>436</v>
      </c>
      <c r="H13" s="64">
        <f>IF(OR(($A13=Settings!$A$30),ISERROR(VLOOKUP($B13,FFTodayData!$P:$Y,9,0))),"",VLOOKUP($B13,FFTodayData!$P:$Y,9,0))</f>
        <v>2</v>
      </c>
      <c r="I13" s="117">
        <f>IF(ISERROR(VLOOKUP($A13,ESPNData!$R:$AE,9,0)),"",VLOOKUP($A13,ESPNData!$R:$AE,9,0))</f>
        <v>1073</v>
      </c>
      <c r="J13" s="33">
        <f>IF(ISERROR(VLOOKUP($A13,ESPNData!$R:$AE,10,0)),"",VLOOKUP($A13,ESPNData!$R:$AE,10,0))</f>
        <v>8</v>
      </c>
      <c r="K13" s="33">
        <f>IF(ISERROR(VLOOKUP($A13,ESPNData!$R:$AE,11,0)),"",VLOOKUP($A13,ESPNData!$R:$AE,11,0))</f>
        <v>52</v>
      </c>
      <c r="L13" s="33">
        <f>IF(ISERROR(VLOOKUP($A13,ESPNData!$R:$AE,12,0)),"",VLOOKUP($A13,ESPNData!$R:$AE,12,0))</f>
        <v>358</v>
      </c>
      <c r="M13" s="64">
        <f>IF(ISERROR(VLOOKUP($A13,ESPNData!$R:$AE,13,0)),"",VLOOKUP($A13,ESPNData!$R:$AE,13,0))</f>
        <v>1</v>
      </c>
      <c r="N13" s="115">
        <f>IF(OR(($A13=Settings!$A$30),ISERROR(VLOOKUP($B13,SportslineData!$Q:$AB,4,0))),"",VLOOKUP($B13,SportslineData!$Q:$AB,4,0))</f>
        <v>1131.5</v>
      </c>
      <c r="O13" s="82">
        <f>IF(OR(($A13=Settings!$A$30),ISERROR(VLOOKUP($B13,SportslineData!$Q:$AB,6,0))),"",ROUND(VLOOKUP($B13,SportslineData!$Q:$AB,6,0),0))</f>
        <v>8</v>
      </c>
      <c r="P13" s="82">
        <f>IF(OR(($A13=Settings!$A$30),ISERROR(VLOOKUP($B13,SportslineData!$Q:$AB,7,0))),"",ROUND(VLOOKUP($B13,SportslineData!$Q:$AB,7,0),0))</f>
        <v>43</v>
      </c>
      <c r="Q13" s="82">
        <f>IF(OR(($A13=Settings!$A$30),ISERROR(VLOOKUP($B13,SportslineData!$Q:$AB,8,0))),"",VLOOKUP($B13,SportslineData!$Q:$AB,8,0))</f>
        <v>342.5</v>
      </c>
      <c r="R13" s="82">
        <f>IF(OR(($A13=Settings!$A$30),ISERROR(VLOOKUP($B13,SportslineData!$Q:$AB,10,0))),"",ROUND(VLOOKUP($B13,SportslineData!$Q:$AB,10,0),0))</f>
        <v>1</v>
      </c>
      <c r="S13" s="74">
        <f>IF(OR(($A13=Settings!$A$30),ISERROR(VLOOKUP($B13,SportslineData!$Q:$AB,11,0))),"",ROUND(VLOOKUP($B13,SportslineData!$Q:$AB,11,0),0))</f>
        <v>1</v>
      </c>
      <c r="T13" s="117"/>
      <c r="U13" s="131">
        <f t="shared" si="2"/>
        <v>6.7884706181387671</v>
      </c>
      <c r="V13" s="38">
        <f>IF(ISERROR(ROUND((((((ROUNDDOWN((D13/5),0)*Settings!$F$7)+(E13*Settings!$I$7))+(F13*Settings!$I$11))+(ROUNDDOWN((G13/5),0)*Settings!$F$11))+(H13*Settings!$F$12)),1)),0,ROUND((((((ROUNDDOWN((D13/5),0)*Settings!$F$7)+(E13*Settings!$I$7))+(F13*Settings!$I$11))+(ROUNDDOWN((G13/5),0)*Settings!$F$11))+(H13*Settings!$F$12)),1))</f>
        <v>234</v>
      </c>
      <c r="W13" s="38">
        <f>IF(ISERROR(ROUND((((((ROUNDDOWN((I13/5),0)*Settings!$F$7)+(J13*Settings!$I$7))+(K13*Settings!$I$11))+(ROUNDDOWN((L13/5),0)*Settings!$F$11))+(M13*Settings!$F$12)),1)),0,ROUND((((((ROUNDDOWN((I13/5),0)*Settings!$F$7)+(J13*Settings!$I$7))+(K13*Settings!$I$11))+(ROUNDDOWN((L13/5),0)*Settings!$F$11))+(M13*Settings!$F$12)),1))</f>
        <v>222.5</v>
      </c>
      <c r="X13" s="38">
        <f>IF(AND((N13=""),(P13="")),0,((((((ROUND((N13/5),0)*Settings!$F$7)+(O13*Settings!$I$7))+(P13*Settings!$I$11))+(ROUND((Q13/5),0)*Settings!$F$11))+(R13*Settings!$F$12))+(S13*Settings!$F$15)))</f>
        <v>222</v>
      </c>
      <c r="Y13" s="66">
        <f>ROUND((((V13*Settings!$B$21)+(W13*Settings!$B$22))+(X13*Settings!$B$23)),1)</f>
        <v>226.1</v>
      </c>
      <c r="Z13" s="66">
        <f>IF(ISERROR(VLOOKUP(RANK(Y13,$Y$4:$Y$182),Z$4:Z12,1,0)),RANK(Y13,$Y$4:$Y$182),IF(ISERROR(VLOOKUP((RANK(Y13,$Y$4:$Y$182)+1),Z$4:Z12,1,0)),(RANK(Y13,$Y$4:$Y$182)+1),IF(ISERROR(VLOOKUP((RANK(Y13,$Y$4:$Y$182)+2),Z$4:Z12,1,0)),(RANK(Y13,$Y$4:$Y$182)+2),(RANK(Y13,$Y$4:$Y$182)+3))))</f>
        <v>10</v>
      </c>
      <c r="AA13" t="str">
        <f t="shared" si="3"/>
        <v>Le'Veon Bell</v>
      </c>
    </row>
    <row r="14" spans="1:27" ht="12.75" customHeight="1">
      <c r="A14" s="33" t="str">
        <f>ESPNData!R13</f>
        <v>Zac Stacy, StL RB</v>
      </c>
      <c r="B14" s="33" t="str">
        <f t="shared" si="0"/>
        <v>Zac Stacy</v>
      </c>
      <c r="C14" s="64" t="str">
        <f t="shared" si="1"/>
        <v>STL</v>
      </c>
      <c r="D14" s="117">
        <f>IF(OR(($A14=Settings!$A$30),ISERROR(VLOOKUP($B14,FFTodayData!$P:$Y,5,0))),"",VLOOKUP($B14,FFTodayData!$P:$Y,5,0))</f>
        <v>1159</v>
      </c>
      <c r="E14" s="33">
        <f>IF(OR(($A14=Settings!$A$30),ISERROR(VLOOKUP($B14,FFTodayData!$P:$Y,6,0))),"",VLOOKUP($B14,FFTodayData!$P:$Y,6,0))</f>
        <v>10</v>
      </c>
      <c r="F14" s="33">
        <f>IF(OR(($A14=Settings!$A$30),ISERROR(VLOOKUP($B14,FFTodayData!$P:$Y,7,0))),"",VLOOKUP($B14,FFTodayData!$P:$Y,7,0))</f>
        <v>33</v>
      </c>
      <c r="G14" s="33">
        <f>IF(OR(($A14=Settings!$A$30),ISERROR(VLOOKUP($B14,FFTodayData!$P:$Y,8,0))),"",VLOOKUP($B14,FFTodayData!$P:$Y,8,0))</f>
        <v>214</v>
      </c>
      <c r="H14" s="64">
        <f>IF(OR(($A14=Settings!$A$30),ISERROR(VLOOKUP($B14,FFTodayData!$P:$Y,9,0))),"",VLOOKUP($B14,FFTodayData!$P:$Y,9,0))</f>
        <v>1</v>
      </c>
      <c r="I14" s="117">
        <f>IF(ISERROR(VLOOKUP($A14,ESPNData!$R:$AE,9,0)),"",VLOOKUP($A14,ESPNData!$R:$AE,9,0))</f>
        <v>1187</v>
      </c>
      <c r="J14" s="33">
        <f>IF(ISERROR(VLOOKUP($A14,ESPNData!$R:$AE,10,0)),"",VLOOKUP($A14,ESPNData!$R:$AE,10,0))</f>
        <v>9</v>
      </c>
      <c r="K14" s="33">
        <f>IF(ISERROR(VLOOKUP($A14,ESPNData!$R:$AE,11,0)),"",VLOOKUP($A14,ESPNData!$R:$AE,11,0))</f>
        <v>21</v>
      </c>
      <c r="L14" s="33">
        <f>IF(ISERROR(VLOOKUP($A14,ESPNData!$R:$AE,12,0)),"",VLOOKUP($A14,ESPNData!$R:$AE,12,0))</f>
        <v>127</v>
      </c>
      <c r="M14" s="64">
        <f>IF(ISERROR(VLOOKUP($A14,ESPNData!$R:$AE,13,0)),"",VLOOKUP($A14,ESPNData!$R:$AE,13,0))</f>
        <v>0</v>
      </c>
      <c r="N14" s="115">
        <f>IF(OR(($A14=Settings!$A$30),ISERROR(VLOOKUP($B14,SportslineData!$Q:$AB,4,0))),"",VLOOKUP($B14,SportslineData!$Q:$AB,4,0))</f>
        <v>1215.5</v>
      </c>
      <c r="O14" s="82">
        <f>IF(OR(($A14=Settings!$A$30),ISERROR(VLOOKUP($B14,SportslineData!$Q:$AB,6,0))),"",ROUND(VLOOKUP($B14,SportslineData!$Q:$AB,6,0),0))</f>
        <v>9</v>
      </c>
      <c r="P14" s="82">
        <f>IF(OR(($A14=Settings!$A$30),ISERROR(VLOOKUP($B14,SportslineData!$Q:$AB,7,0))),"",ROUND(VLOOKUP($B14,SportslineData!$Q:$AB,7,0),0))</f>
        <v>30</v>
      </c>
      <c r="Q14" s="82">
        <f>IF(OR(($A14=Settings!$A$30),ISERROR(VLOOKUP($B14,SportslineData!$Q:$AB,8,0))),"",VLOOKUP($B14,SportslineData!$Q:$AB,8,0))</f>
        <v>192.5</v>
      </c>
      <c r="R14" s="82">
        <f>IF(OR(($A14=Settings!$A$30),ISERROR(VLOOKUP($B14,SportslineData!$Q:$AB,10,0))),"",ROUND(VLOOKUP($B14,SportslineData!$Q:$AB,10,0),0))</f>
        <v>1</v>
      </c>
      <c r="S14" s="74">
        <f>IF(OR(($A14=Settings!$A$30),ISERROR(VLOOKUP($B14,SportslineData!$Q:$AB,11,0))),"",ROUND(VLOOKUP($B14,SportslineData!$Q:$AB,11,0),0))</f>
        <v>2</v>
      </c>
      <c r="T14" s="117"/>
      <c r="U14" s="131">
        <f t="shared" si="2"/>
        <v>12.379418403139947</v>
      </c>
      <c r="V14" s="38">
        <f>IF(ISERROR(ROUND((((((ROUNDDOWN((D14/5),0)*Settings!$F$7)+(E14*Settings!$I$7))+(F14*Settings!$I$11))+(ROUNDDOWN((G14/5),0)*Settings!$F$11))+(H14*Settings!$F$12)),1)),0,ROUND((((((ROUNDDOWN((D14/5),0)*Settings!$F$7)+(E14*Settings!$I$7))+(F14*Settings!$I$11))+(ROUNDDOWN((G14/5),0)*Settings!$F$11))+(H14*Settings!$F$12)),1))</f>
        <v>219</v>
      </c>
      <c r="W14" s="38">
        <f>IF(ISERROR(ROUND((((((ROUNDDOWN((I14/5),0)*Settings!$F$7)+(J14*Settings!$I$7))+(K14*Settings!$I$11))+(ROUNDDOWN((L14/5),0)*Settings!$F$11))+(M14*Settings!$F$12)),1)),0,ROUND((((((ROUNDDOWN((I14/5),0)*Settings!$F$7)+(J14*Settings!$I$7))+(K14*Settings!$I$11))+(ROUNDDOWN((L14/5),0)*Settings!$F$11))+(M14*Settings!$F$12)),1))</f>
        <v>195.5</v>
      </c>
      <c r="X14" s="38">
        <f>IF(AND((N14=""),(P14="")),0,((((((ROUND((N14/5),0)*Settings!$F$7)+(O14*Settings!$I$7))+(P14*Settings!$I$11))+(ROUND((Q14/5),0)*Settings!$F$11))+(R14*Settings!$F$12))+(S14*Settings!$F$15)))</f>
        <v>214</v>
      </c>
      <c r="Y14" s="66">
        <f>ROUND((((V14*Settings!$B$21)+(W14*Settings!$B$22))+(X14*Settings!$B$23)),1)</f>
        <v>209.5</v>
      </c>
      <c r="Z14" s="66">
        <f>IF(ISERROR(VLOOKUP(RANK(Y14,$Y$4:$Y$182),Z$4:Z13,1,0)),RANK(Y14,$Y$4:$Y$182),IF(ISERROR(VLOOKUP((RANK(Y14,$Y$4:$Y$182)+1),Z$4:Z13,1,0)),(RANK(Y14,$Y$4:$Y$182)+1),IF(ISERROR(VLOOKUP((RANK(Y14,$Y$4:$Y$182)+2),Z$4:Z13,1,0)),(RANK(Y14,$Y$4:$Y$182)+2),(RANK(Y14,$Y$4:$Y$182)+3))))</f>
        <v>13</v>
      </c>
      <c r="AA14" t="str">
        <f t="shared" si="3"/>
        <v>Zac Stacy</v>
      </c>
    </row>
    <row r="15" spans="1:27" ht="12.75" customHeight="1">
      <c r="A15" s="33" t="str">
        <f>ESPNData!R14</f>
        <v>Alfred Morris, Wsh RB</v>
      </c>
      <c r="B15" s="33" t="str">
        <f t="shared" si="0"/>
        <v>Alfred Morris</v>
      </c>
      <c r="C15" s="64" t="str">
        <f t="shared" si="1"/>
        <v>WSH</v>
      </c>
      <c r="D15" s="117">
        <f>IF(OR(($A15=Settings!$A$30),ISERROR(VLOOKUP($B15,FFTodayData!$P:$Y,5,0))),"",VLOOKUP($B15,FFTodayData!$P:$Y,5,0))</f>
        <v>1222</v>
      </c>
      <c r="E15" s="33">
        <f>IF(OR(($A15=Settings!$A$30),ISERROR(VLOOKUP($B15,FFTodayData!$P:$Y,6,0))),"",VLOOKUP($B15,FFTodayData!$P:$Y,6,0))</f>
        <v>9</v>
      </c>
      <c r="F15" s="33">
        <f>IF(OR(($A15=Settings!$A$30),ISERROR(VLOOKUP($B15,FFTodayData!$P:$Y,7,0))),"",VLOOKUP($B15,FFTodayData!$P:$Y,7,0))</f>
        <v>10</v>
      </c>
      <c r="G15" s="33">
        <f>IF(OR(($A15=Settings!$A$30),ISERROR(VLOOKUP($B15,FFTodayData!$P:$Y,8,0))),"",VLOOKUP($B15,FFTodayData!$P:$Y,8,0))</f>
        <v>74</v>
      </c>
      <c r="H15" s="64">
        <f>IF(OR(($A15=Settings!$A$30),ISERROR(VLOOKUP($B15,FFTodayData!$P:$Y,9,0))),"",VLOOKUP($B15,FFTodayData!$P:$Y,9,0))</f>
        <v>0</v>
      </c>
      <c r="I15" s="117">
        <f>IF(ISERROR(VLOOKUP($A15,ESPNData!$R:$AE,9,0)),"",VLOOKUP($A15,ESPNData!$R:$AE,9,0))</f>
        <v>1287</v>
      </c>
      <c r="J15" s="33">
        <f>IF(ISERROR(VLOOKUP($A15,ESPNData!$R:$AE,10,0)),"",VLOOKUP($A15,ESPNData!$R:$AE,10,0))</f>
        <v>9</v>
      </c>
      <c r="K15" s="33">
        <f>IF(ISERROR(VLOOKUP($A15,ESPNData!$R:$AE,11,0)),"",VLOOKUP($A15,ESPNData!$R:$AE,11,0))</f>
        <v>8</v>
      </c>
      <c r="L15" s="33">
        <f>IF(ISERROR(VLOOKUP($A15,ESPNData!$R:$AE,12,0)),"",VLOOKUP($A15,ESPNData!$R:$AE,12,0))</f>
        <v>62</v>
      </c>
      <c r="M15" s="64">
        <f>IF(ISERROR(VLOOKUP($A15,ESPNData!$R:$AE,13,0)),"",VLOOKUP($A15,ESPNData!$R:$AE,13,0))</f>
        <v>0</v>
      </c>
      <c r="N15" s="115">
        <f>IF(OR(($A15=Settings!$A$30),ISERROR(VLOOKUP($B15,SportslineData!$Q:$AB,4,0))),"",VLOOKUP($B15,SportslineData!$Q:$AB,4,0))</f>
        <v>1317.5</v>
      </c>
      <c r="O15" s="82">
        <f>IF(OR(($A15=Settings!$A$30),ISERROR(VLOOKUP($B15,SportslineData!$Q:$AB,6,0))),"",ROUND(VLOOKUP($B15,SportslineData!$Q:$AB,6,0),0))</f>
        <v>10</v>
      </c>
      <c r="P15" s="82">
        <f>IF(OR(($A15=Settings!$A$30),ISERROR(VLOOKUP($B15,SportslineData!$Q:$AB,7,0))),"",ROUND(VLOOKUP($B15,SportslineData!$Q:$AB,7,0),0))</f>
        <v>16</v>
      </c>
      <c r="Q15" s="82">
        <f>IF(OR(($A15=Settings!$A$30),ISERROR(VLOOKUP($B15,SportslineData!$Q:$AB,8,0))),"",VLOOKUP($B15,SportslineData!$Q:$AB,8,0))</f>
        <v>124</v>
      </c>
      <c r="R15" s="82">
        <f>IF(OR(($A15=Settings!$A$30),ISERROR(VLOOKUP($B15,SportslineData!$Q:$AB,10,0))),"",ROUND(VLOOKUP($B15,SportslineData!$Q:$AB,10,0),0))</f>
        <v>0</v>
      </c>
      <c r="S15" s="74">
        <f>IF(OR(($A15=Settings!$A$30),ISERROR(VLOOKUP($B15,SportslineData!$Q:$AB,11,0))),"",ROUND(VLOOKUP($B15,SportslineData!$Q:$AB,11,0),0))</f>
        <v>3</v>
      </c>
      <c r="T15" s="117"/>
      <c r="U15" s="131">
        <f t="shared" si="2"/>
        <v>11.3394591287827</v>
      </c>
      <c r="V15" s="38">
        <f>IF(ISERROR(ROUND((((((ROUNDDOWN((D15/5),0)*Settings!$F$7)+(E15*Settings!$I$7))+(F15*Settings!$I$11))+(ROUNDDOWN((G15/5),0)*Settings!$F$11))+(H15*Settings!$F$12)),1)),0,ROUND((((((ROUNDDOWN((D15/5),0)*Settings!$F$7)+(E15*Settings!$I$7))+(F15*Settings!$I$11))+(ROUNDDOWN((G15/5),0)*Settings!$F$11))+(H15*Settings!$F$12)),1))</f>
        <v>188</v>
      </c>
      <c r="W15" s="38">
        <f>IF(ISERROR(ROUND((((((ROUNDDOWN((I15/5),0)*Settings!$F$7)+(J15*Settings!$I$7))+(K15*Settings!$I$11))+(ROUNDDOWN((L15/5),0)*Settings!$F$11))+(M15*Settings!$F$12)),1)),0,ROUND((((((ROUNDDOWN((I15/5),0)*Settings!$F$7)+(J15*Settings!$I$7))+(K15*Settings!$I$11))+(ROUNDDOWN((L15/5),0)*Settings!$F$11))+(M15*Settings!$F$12)),1))</f>
        <v>192.5</v>
      </c>
      <c r="X15" s="38">
        <f>IF(AND((N15=""),(P15="")),0,((((((ROUND((N15/5),0)*Settings!$F$7)+(O15*Settings!$I$7))+(P15*Settings!$I$11))+(ROUND((Q15/5),0)*Settings!$F$11))+(R15*Settings!$F$12))+(S15*Settings!$F$15)))</f>
        <v>209.5</v>
      </c>
      <c r="Y15" s="66">
        <f>ROUND((((V15*Settings!$B$21)+(W15*Settings!$B$22))+(X15*Settings!$B$23)),1)</f>
        <v>196.8</v>
      </c>
      <c r="Z15" s="66">
        <f>IF(ISERROR(VLOOKUP(RANK(Y15,$Y$4:$Y$182),Z$4:Z14,1,0)),RANK(Y15,$Y$4:$Y$182),IF(ISERROR(VLOOKUP((RANK(Y15,$Y$4:$Y$182)+1),Z$4:Z14,1,0)),(RANK(Y15,$Y$4:$Y$182)+1),IF(ISERROR(VLOOKUP((RANK(Y15,$Y$4:$Y$182)+2),Z$4:Z14,1,0)),(RANK(Y15,$Y$4:$Y$182)+2),(RANK(Y15,$Y$4:$Y$182)+3))))</f>
        <v>17</v>
      </c>
      <c r="AA15" t="str">
        <f t="shared" si="3"/>
        <v>Alfred Morris</v>
      </c>
    </row>
    <row r="16" spans="1:27" ht="12.75" customHeight="1">
      <c r="A16" s="33" t="str">
        <f>ESPNData!R15</f>
        <v>Montee Ball, Den RB  P</v>
      </c>
      <c r="B16" s="33" t="str">
        <f t="shared" si="0"/>
        <v>Montee Ball</v>
      </c>
      <c r="C16" s="64" t="str">
        <f t="shared" si="1"/>
        <v>DEN</v>
      </c>
      <c r="D16" s="117">
        <f>IF(OR(($A16=Settings!$A$30),ISERROR(VLOOKUP($B16,FFTodayData!$P:$Y,5,0))),"",VLOOKUP($B16,FFTodayData!$P:$Y,5,0))</f>
        <v>1106</v>
      </c>
      <c r="E16" s="33">
        <f>IF(OR(($A16=Settings!$A$30),ISERROR(VLOOKUP($B16,FFTodayData!$P:$Y,6,0))),"",VLOOKUP($B16,FFTodayData!$P:$Y,6,0))</f>
        <v>9</v>
      </c>
      <c r="F16" s="33">
        <f>IF(OR(($A16=Settings!$A$30),ISERROR(VLOOKUP($B16,FFTodayData!$P:$Y,7,0))),"",VLOOKUP($B16,FFTodayData!$P:$Y,7,0))</f>
        <v>43</v>
      </c>
      <c r="G16" s="33">
        <f>IF(OR(($A16=Settings!$A$30),ISERROR(VLOOKUP($B16,FFTodayData!$P:$Y,8,0))),"",VLOOKUP($B16,FFTodayData!$P:$Y,8,0))</f>
        <v>335</v>
      </c>
      <c r="H16" s="64">
        <f>IF(OR(($A16=Settings!$A$30),ISERROR(VLOOKUP($B16,FFTodayData!$P:$Y,9,0))),"",VLOOKUP($B16,FFTodayData!$P:$Y,9,0))</f>
        <v>2</v>
      </c>
      <c r="I16" s="117">
        <f>IF(ISERROR(VLOOKUP($A16,ESPNData!$R:$AE,9,0)),"",VLOOKUP($A16,ESPNData!$R:$AE,9,0))</f>
        <v>943</v>
      </c>
      <c r="J16" s="33">
        <f>IF(ISERROR(VLOOKUP($A16,ESPNData!$R:$AE,10,0)),"",VLOOKUP($A16,ESPNData!$R:$AE,10,0))</f>
        <v>9</v>
      </c>
      <c r="K16" s="33">
        <f>IF(ISERROR(VLOOKUP($A16,ESPNData!$R:$AE,11,0)),"",VLOOKUP($A16,ESPNData!$R:$AE,11,0))</f>
        <v>54</v>
      </c>
      <c r="L16" s="33">
        <f>IF(ISERROR(VLOOKUP($A16,ESPNData!$R:$AE,12,0)),"",VLOOKUP($A16,ESPNData!$R:$AE,12,0))</f>
        <v>333</v>
      </c>
      <c r="M16" s="64">
        <f>IF(ISERROR(VLOOKUP($A16,ESPNData!$R:$AE,13,0)),"",VLOOKUP($A16,ESPNData!$R:$AE,13,0))</f>
        <v>1</v>
      </c>
      <c r="N16" s="115">
        <f>IF(OR(($A16=Settings!$A$30),ISERROR(VLOOKUP($B16,SportslineData!$Q:$AB,4,0))),"",VLOOKUP($B16,SportslineData!$Q:$AB,4,0))</f>
        <v>1190.5</v>
      </c>
      <c r="O16" s="82">
        <f>IF(OR(($A16=Settings!$A$30),ISERROR(VLOOKUP($B16,SportslineData!$Q:$AB,6,0))),"",ROUND(VLOOKUP($B16,SportslineData!$Q:$AB,6,0),0))</f>
        <v>10</v>
      </c>
      <c r="P16" s="82">
        <f>IF(OR(($A16=Settings!$A$30),ISERROR(VLOOKUP($B16,SportslineData!$Q:$AB,7,0))),"",ROUND(VLOOKUP($B16,SportslineData!$Q:$AB,7,0),0))</f>
        <v>43</v>
      </c>
      <c r="Q16" s="82">
        <f>IF(OR(($A16=Settings!$A$30),ISERROR(VLOOKUP($B16,SportslineData!$Q:$AB,8,0))),"",VLOOKUP($B16,SportslineData!$Q:$AB,8,0))</f>
        <v>319</v>
      </c>
      <c r="R16" s="82">
        <f>IF(OR(($A16=Settings!$A$30),ISERROR(VLOOKUP($B16,SportslineData!$Q:$AB,10,0))),"",ROUND(VLOOKUP($B16,SportslineData!$Q:$AB,10,0),0))</f>
        <v>2</v>
      </c>
      <c r="S16" s="74">
        <f>IF(OR(($A16=Settings!$A$30),ISERROR(VLOOKUP($B16,SportslineData!$Q:$AB,11,0))),"",ROUND(VLOOKUP($B16,SportslineData!$Q:$AB,11,0),0))</f>
        <v>3</v>
      </c>
      <c r="T16" s="117"/>
      <c r="U16" s="131">
        <f t="shared" si="2"/>
        <v>13.919410907075054</v>
      </c>
      <c r="V16" s="38">
        <f>IF(ISERROR(ROUND((((((ROUNDDOWN((D16/5),0)*Settings!$F$7)+(E16*Settings!$I$7))+(F16*Settings!$I$11))+(ROUNDDOWN((G16/5),0)*Settings!$F$11))+(H16*Settings!$F$12)),1)),0,ROUND((((((ROUNDDOWN((D16/5),0)*Settings!$F$7)+(E16*Settings!$I$7))+(F16*Settings!$I$11))+(ROUNDDOWN((G16/5),0)*Settings!$F$11))+(H16*Settings!$F$12)),1))</f>
        <v>231.5</v>
      </c>
      <c r="W16" s="38">
        <f>IF(ISERROR(ROUND((((((ROUNDDOWN((I16/5),0)*Settings!$F$7)+(J16*Settings!$I$7))+(K16*Settings!$I$11))+(ROUNDDOWN((L16/5),0)*Settings!$F$11))+(M16*Settings!$F$12)),1)),0,ROUND((((((ROUNDDOWN((I16/5),0)*Settings!$F$7)+(J16*Settings!$I$7))+(K16*Settings!$I$11))+(ROUNDDOWN((L16/5),0)*Settings!$F$11))+(M16*Settings!$F$12)),1))</f>
        <v>214</v>
      </c>
      <c r="X16" s="38">
        <f>IF(AND((N16=""),(P16="")),0,((((((ROUND((N16/5),0)*Settings!$F$7)+(O16*Settings!$I$7))+(P16*Settings!$I$11))+(ROUND((Q16/5),0)*Settings!$F$11))+(R16*Settings!$F$12))+(S16*Settings!$F$15)))</f>
        <v>241.5</v>
      </c>
      <c r="Y16" s="66">
        <f>ROUND((((V16*Settings!$B$21)+(W16*Settings!$B$22))+(X16*Settings!$B$23)),1)</f>
        <v>229.1</v>
      </c>
      <c r="Z16" s="66">
        <f>IF(ISERROR(VLOOKUP(RANK(Y16,$Y$4:$Y$182),Z$4:Z15,1,0)),RANK(Y16,$Y$4:$Y$182),IF(ISERROR(VLOOKUP((RANK(Y16,$Y$4:$Y$182)+1),Z$4:Z15,1,0)),(RANK(Y16,$Y$4:$Y$182)+1),IF(ISERROR(VLOOKUP((RANK(Y16,$Y$4:$Y$182)+2),Z$4:Z15,1,0)),(RANK(Y16,$Y$4:$Y$182)+2),(RANK(Y16,$Y$4:$Y$182)+3))))</f>
        <v>7</v>
      </c>
      <c r="AA16" t="str">
        <f t="shared" si="3"/>
        <v>Montee Ball</v>
      </c>
    </row>
    <row r="17" spans="1:27" ht="12.75" customHeight="1">
      <c r="A17" s="33" t="str">
        <f>ESPNData!R16</f>
        <v>Giovani Bernard, Cin RB</v>
      </c>
      <c r="B17" s="33" t="str">
        <f t="shared" si="0"/>
        <v>Giovani Bernard</v>
      </c>
      <c r="C17" s="64" t="str">
        <f t="shared" si="1"/>
        <v>CIN</v>
      </c>
      <c r="D17" s="117">
        <f>IF(OR(($A17=Settings!$A$30),ISERROR(VLOOKUP($B17,FFTodayData!$P:$Y,5,0))),"",VLOOKUP($B17,FFTodayData!$P:$Y,5,0))</f>
        <v>937</v>
      </c>
      <c r="E17" s="33">
        <f>IF(OR(($A17=Settings!$A$30),ISERROR(VLOOKUP($B17,FFTodayData!$P:$Y,6,0))),"",VLOOKUP($B17,FFTodayData!$P:$Y,6,0))</f>
        <v>6</v>
      </c>
      <c r="F17" s="33">
        <f>IF(OR(($A17=Settings!$A$30),ISERROR(VLOOKUP($B17,FFTodayData!$P:$Y,7,0))),"",VLOOKUP($B17,FFTodayData!$P:$Y,7,0))</f>
        <v>72</v>
      </c>
      <c r="G17" s="33">
        <f>IF(OR(($A17=Settings!$A$30),ISERROR(VLOOKUP($B17,FFTodayData!$P:$Y,8,0))),"",VLOOKUP($B17,FFTodayData!$P:$Y,8,0))</f>
        <v>537</v>
      </c>
      <c r="H17" s="64">
        <f>IF(OR(($A17=Settings!$A$30),ISERROR(VLOOKUP($B17,FFTodayData!$P:$Y,9,0))),"",VLOOKUP($B17,FFTodayData!$P:$Y,9,0))</f>
        <v>3</v>
      </c>
      <c r="I17" s="117">
        <f>IF(ISERROR(VLOOKUP($A17,ESPNData!$R:$AE,9,0)),"",VLOOKUP($A17,ESPNData!$R:$AE,9,0))</f>
        <v>927</v>
      </c>
      <c r="J17" s="33">
        <f>IF(ISERROR(VLOOKUP($A17,ESPNData!$R:$AE,10,0)),"",VLOOKUP($A17,ESPNData!$R:$AE,10,0))</f>
        <v>3</v>
      </c>
      <c r="K17" s="33">
        <f>IF(ISERROR(VLOOKUP($A17,ESPNData!$R:$AE,11,0)),"",VLOOKUP($A17,ESPNData!$R:$AE,11,0))</f>
        <v>52</v>
      </c>
      <c r="L17" s="33">
        <f>IF(ISERROR(VLOOKUP($A17,ESPNData!$R:$AE,12,0)),"",VLOOKUP($A17,ESPNData!$R:$AE,12,0))</f>
        <v>478</v>
      </c>
      <c r="M17" s="64">
        <f>IF(ISERROR(VLOOKUP($A17,ESPNData!$R:$AE,13,0)),"",VLOOKUP($A17,ESPNData!$R:$AE,13,0))</f>
        <v>4</v>
      </c>
      <c r="N17" s="115">
        <f>IF(OR(($A17=Settings!$A$30),ISERROR(VLOOKUP($B17,SportslineData!$Q:$AB,4,0))),"",VLOOKUP($B17,SportslineData!$Q:$AB,4,0))</f>
        <v>1173.5</v>
      </c>
      <c r="O17" s="82">
        <f>IF(OR(($A17=Settings!$A$30),ISERROR(VLOOKUP($B17,SportslineData!$Q:$AB,6,0))),"",ROUND(VLOOKUP($B17,SportslineData!$Q:$AB,6,0),0))</f>
        <v>6</v>
      </c>
      <c r="P17" s="82">
        <f>IF(OR(($A17=Settings!$A$30),ISERROR(VLOOKUP($B17,SportslineData!$Q:$AB,7,0))),"",ROUND(VLOOKUP($B17,SportslineData!$Q:$AB,7,0),0))</f>
        <v>56</v>
      </c>
      <c r="Q17" s="82">
        <f>IF(OR(($A17=Settings!$A$30),ISERROR(VLOOKUP($B17,SportslineData!$Q:$AB,8,0))),"",VLOOKUP($B17,SportslineData!$Q:$AB,8,0))</f>
        <v>497</v>
      </c>
      <c r="R17" s="82">
        <f>IF(OR(($A17=Settings!$A$30),ISERROR(VLOOKUP($B17,SportslineData!$Q:$AB,10,0))),"",ROUND(VLOOKUP($B17,SportslineData!$Q:$AB,10,0),0))</f>
        <v>2</v>
      </c>
      <c r="S17" s="74">
        <f>IF(OR(($A17=Settings!$A$30),ISERROR(VLOOKUP($B17,SportslineData!$Q:$AB,11,0))),"",ROUND(VLOOKUP($B17,SportslineData!$Q:$AB,11,0),0))</f>
        <v>3</v>
      </c>
      <c r="T17" s="117"/>
      <c r="U17" s="131">
        <f t="shared" si="2"/>
        <v>17.672954855748749</v>
      </c>
      <c r="V17" s="38">
        <f>IF(ISERROR(ROUND((((((ROUNDDOWN((D17/5),0)*Settings!$F$7)+(E17*Settings!$I$7))+(F17*Settings!$I$11))+(ROUNDDOWN((G17/5),0)*Settings!$F$11))+(H17*Settings!$F$12)),1)),0,ROUND((((((ROUNDDOWN((D17/5),0)*Settings!$F$7)+(E17*Settings!$I$7))+(F17*Settings!$I$11))+(ROUNDDOWN((G17/5),0)*Settings!$F$11))+(H17*Settings!$F$12)),1))</f>
        <v>237</v>
      </c>
      <c r="W17" s="38">
        <f>IF(ISERROR(ROUND((((((ROUNDDOWN((I17/5),0)*Settings!$F$7)+(J17*Settings!$I$7))+(K17*Settings!$I$11))+(ROUNDDOWN((L17/5),0)*Settings!$F$11))+(M17*Settings!$F$12)),1)),0,ROUND((((((ROUNDDOWN((I17/5),0)*Settings!$F$7)+(J17*Settings!$I$7))+(K17*Settings!$I$11))+(ROUNDDOWN((L17/5),0)*Settings!$F$11))+(M17*Settings!$F$12)),1))</f>
        <v>208</v>
      </c>
      <c r="X17" s="38">
        <f>IF(AND((N17=""),(P17="")),0,((((((ROUND((N17/5),0)*Settings!$F$7)+(O17*Settings!$I$7))+(P17*Settings!$I$11))+(ROUND((Q17/5),0)*Settings!$F$11))+(R17*Settings!$F$12))+(S17*Settings!$F$15)))</f>
        <v>240</v>
      </c>
      <c r="Y17" s="66">
        <f>ROUND((((V17*Settings!$B$21)+(W17*Settings!$B$22))+(X17*Settings!$B$23)),1)</f>
        <v>228.5</v>
      </c>
      <c r="Z17" s="66">
        <f>IF(ISERROR(VLOOKUP(RANK(Y17,$Y$4:$Y$182),Z$4:Z16,1,0)),RANK(Y17,$Y$4:$Y$182),IF(ISERROR(VLOOKUP((RANK(Y17,$Y$4:$Y$182)+1),Z$4:Z16,1,0)),(RANK(Y17,$Y$4:$Y$182)+1),IF(ISERROR(VLOOKUP((RANK(Y17,$Y$4:$Y$182)+2),Z$4:Z16,1,0)),(RANK(Y17,$Y$4:$Y$182)+2),(RANK(Y17,$Y$4:$Y$182)+3))))</f>
        <v>8</v>
      </c>
      <c r="AA17" t="str">
        <f t="shared" si="3"/>
        <v>Giovani Bernard</v>
      </c>
    </row>
    <row r="18" spans="1:27" ht="12.75" customHeight="1">
      <c r="A18" s="33" t="str">
        <f>ESPNData!R17</f>
        <v>Reggie Bush, Det RB</v>
      </c>
      <c r="B18" s="33" t="str">
        <f t="shared" si="0"/>
        <v>Reggie Bush</v>
      </c>
      <c r="C18" s="64" t="str">
        <f t="shared" si="1"/>
        <v>DET</v>
      </c>
      <c r="D18" s="117">
        <f>IF(OR(($A18=Settings!$A$30),ISERROR(VLOOKUP($B18,FFTodayData!$P:$Y,5,0))),"",VLOOKUP($B18,FFTodayData!$P:$Y,5,0))</f>
        <v>667</v>
      </c>
      <c r="E18" s="33">
        <f>IF(OR(($A18=Settings!$A$30),ISERROR(VLOOKUP($B18,FFTodayData!$P:$Y,6,0))),"",VLOOKUP($B18,FFTodayData!$P:$Y,6,0))</f>
        <v>4</v>
      </c>
      <c r="F18" s="33">
        <f>IF(OR(($A18=Settings!$A$30),ISERROR(VLOOKUP($B18,FFTodayData!$P:$Y,7,0))),"",VLOOKUP($B18,FFTodayData!$P:$Y,7,0))</f>
        <v>51</v>
      </c>
      <c r="G18" s="33">
        <f>IF(OR(($A18=Settings!$A$30),ISERROR(VLOOKUP($B18,FFTodayData!$P:$Y,8,0))),"",VLOOKUP($B18,FFTodayData!$P:$Y,8,0))</f>
        <v>419</v>
      </c>
      <c r="H18" s="64">
        <f>IF(OR(($A18=Settings!$A$30),ISERROR(VLOOKUP($B18,FFTodayData!$P:$Y,9,0))),"",VLOOKUP($B18,FFTodayData!$P:$Y,9,0))</f>
        <v>2</v>
      </c>
      <c r="I18" s="117">
        <f>IF(ISERROR(VLOOKUP($A18,ESPNData!$R:$AE,9,0)),"",VLOOKUP($A18,ESPNData!$R:$AE,9,0))</f>
        <v>904</v>
      </c>
      <c r="J18" s="33">
        <f>IF(ISERROR(VLOOKUP($A18,ESPNData!$R:$AE,10,0)),"",VLOOKUP($A18,ESPNData!$R:$AE,10,0))</f>
        <v>5</v>
      </c>
      <c r="K18" s="33">
        <f>IF(ISERROR(VLOOKUP($A18,ESPNData!$R:$AE,11,0)),"",VLOOKUP($A18,ESPNData!$R:$AE,11,0))</f>
        <v>50</v>
      </c>
      <c r="L18" s="33">
        <f>IF(ISERROR(VLOOKUP($A18,ESPNData!$R:$AE,12,0)),"",VLOOKUP($A18,ESPNData!$R:$AE,12,0))</f>
        <v>456</v>
      </c>
      <c r="M18" s="64">
        <f>IF(ISERROR(VLOOKUP($A18,ESPNData!$R:$AE,13,0)),"",VLOOKUP($A18,ESPNData!$R:$AE,13,0))</f>
        <v>3</v>
      </c>
      <c r="N18" s="115">
        <f>IF(OR(($A18=Settings!$A$30),ISERROR(VLOOKUP($B18,SportslineData!$Q:$AB,4,0))),"",VLOOKUP($B18,SportslineData!$Q:$AB,4,0))</f>
        <v>910.5</v>
      </c>
      <c r="O18" s="82">
        <f>IF(OR(($A18=Settings!$A$30),ISERROR(VLOOKUP($B18,SportslineData!$Q:$AB,6,0))),"",ROUND(VLOOKUP($B18,SportslineData!$Q:$AB,6,0),0))</f>
        <v>4</v>
      </c>
      <c r="P18" s="82">
        <f>IF(OR(($A18=Settings!$A$30),ISERROR(VLOOKUP($B18,SportslineData!$Q:$AB,7,0))),"",ROUND(VLOOKUP($B18,SportslineData!$Q:$AB,7,0),0))</f>
        <v>47</v>
      </c>
      <c r="Q18" s="82">
        <f>IF(OR(($A18=Settings!$A$30),ISERROR(VLOOKUP($B18,SportslineData!$Q:$AB,8,0))),"",VLOOKUP($B18,SportslineData!$Q:$AB,8,0))</f>
        <v>425</v>
      </c>
      <c r="R18" s="82">
        <f>IF(OR(($A18=Settings!$A$30),ISERROR(VLOOKUP($B18,SportslineData!$Q:$AB,10,0))),"",ROUND(VLOOKUP($B18,SportslineData!$Q:$AB,10,0),0))</f>
        <v>3</v>
      </c>
      <c r="S18" s="74">
        <f>IF(OR(($A18=Settings!$A$30),ISERROR(VLOOKUP($B18,SportslineData!$Q:$AB,11,0))),"",ROUND(VLOOKUP($B18,SportslineData!$Q:$AB,11,0),0))</f>
        <v>3</v>
      </c>
      <c r="T18" s="117"/>
      <c r="U18" s="131">
        <f t="shared" si="2"/>
        <v>19.914400149975226</v>
      </c>
      <c r="V18" s="38">
        <f>IF(ISERROR(ROUND((((((ROUNDDOWN((D18/5),0)*Settings!$F$7)+(E18*Settings!$I$7))+(F18*Settings!$I$11))+(ROUNDDOWN((G18/5),0)*Settings!$F$11))+(H18*Settings!$F$12)),1)),0,ROUND((((((ROUNDDOWN((D18/5),0)*Settings!$F$7)+(E18*Settings!$I$7))+(F18*Settings!$I$11))+(ROUNDDOWN((G18/5),0)*Settings!$F$11))+(H18*Settings!$F$12)),1))</f>
        <v>169.5</v>
      </c>
      <c r="W18" s="38">
        <f>IF(ISERROR(ROUND((((((ROUNDDOWN((I18/5),0)*Settings!$F$7)+(J18*Settings!$I$7))+(K18*Settings!$I$11))+(ROUNDDOWN((L18/5),0)*Settings!$F$11))+(M18*Settings!$F$12)),1)),0,ROUND((((((ROUNDDOWN((I18/5),0)*Settings!$F$7)+(J18*Settings!$I$7))+(K18*Settings!$I$11))+(ROUNDDOWN((L18/5),0)*Settings!$F$11))+(M18*Settings!$F$12)),1))</f>
        <v>208.5</v>
      </c>
      <c r="X18" s="38">
        <f>IF(AND((N18=""),(P18="")),0,((((((ROUND((N18/5),0)*Settings!$F$7)+(O18*Settings!$I$7))+(P18*Settings!$I$11))+(ROUND((Q18/5),0)*Settings!$F$11))+(R18*Settings!$F$12))+(S18*Settings!$F$15)))</f>
        <v>196</v>
      </c>
      <c r="Y18" s="66">
        <f>ROUND((((V18*Settings!$B$21)+(W18*Settings!$B$22))+(X18*Settings!$B$23)),1)</f>
        <v>191.4</v>
      </c>
      <c r="Z18" s="66">
        <f>IF(ISERROR(VLOOKUP(RANK(Y18,$Y$4:$Y$182),Z$4:Z17,1,0)),RANK(Y18,$Y$4:$Y$182),IF(ISERROR(VLOOKUP((RANK(Y18,$Y$4:$Y$182)+1),Z$4:Z17,1,0)),(RANK(Y18,$Y$4:$Y$182)+1),IF(ISERROR(VLOOKUP((RANK(Y18,$Y$4:$Y$182)+2),Z$4:Z17,1,0)),(RANK(Y18,$Y$4:$Y$182)+2),(RANK(Y18,$Y$4:$Y$182)+3))))</f>
        <v>19</v>
      </c>
      <c r="AA18" t="str">
        <f t="shared" si="3"/>
        <v>Reggie Bush</v>
      </c>
    </row>
    <row r="19" spans="1:27" ht="12.75" customHeight="1">
      <c r="A19" s="33" t="str">
        <f>ESPNData!R18</f>
        <v>Ben Tate, Cle RB</v>
      </c>
      <c r="B19" s="33" t="str">
        <f t="shared" si="0"/>
        <v>Ben Tate</v>
      </c>
      <c r="C19" s="64" t="str">
        <f t="shared" si="1"/>
        <v>CLE</v>
      </c>
      <c r="D19" s="117">
        <f>IF(OR(($A19=Settings!$A$30),ISERROR(VLOOKUP($B19,FFTodayData!$P:$Y,5,0))),"",VLOOKUP($B19,FFTodayData!$P:$Y,5,0))</f>
        <v>845</v>
      </c>
      <c r="E19" s="33">
        <f>IF(OR(($A19=Settings!$A$30),ISERROR(VLOOKUP($B19,FFTodayData!$P:$Y,6,0))),"",VLOOKUP($B19,FFTodayData!$P:$Y,6,0))</f>
        <v>5</v>
      </c>
      <c r="F19" s="33">
        <f>IF(OR(($A19=Settings!$A$30),ISERROR(VLOOKUP($B19,FFTodayData!$P:$Y,7,0))),"",VLOOKUP($B19,FFTodayData!$P:$Y,7,0))</f>
        <v>29</v>
      </c>
      <c r="G19" s="33">
        <f>IF(OR(($A19=Settings!$A$30),ISERROR(VLOOKUP($B19,FFTodayData!$P:$Y,8,0))),"",VLOOKUP($B19,FFTodayData!$P:$Y,8,0))</f>
        <v>217</v>
      </c>
      <c r="H19" s="64">
        <f>IF(OR(($A19=Settings!$A$30),ISERROR(VLOOKUP($B19,FFTodayData!$P:$Y,9,0))),"",VLOOKUP($B19,FFTodayData!$P:$Y,9,0))</f>
        <v>1</v>
      </c>
      <c r="I19" s="117">
        <f>IF(ISERROR(VLOOKUP($A19,ESPNData!$R:$AE,9,0)),"",VLOOKUP($A19,ESPNData!$R:$AE,9,0))</f>
        <v>1026</v>
      </c>
      <c r="J19" s="33">
        <f>IF(ISERROR(VLOOKUP($A19,ESPNData!$R:$AE,10,0)),"",VLOOKUP($A19,ESPNData!$R:$AE,10,0))</f>
        <v>7</v>
      </c>
      <c r="K19" s="33">
        <f>IF(ISERROR(VLOOKUP($A19,ESPNData!$R:$AE,11,0)),"",VLOOKUP($A19,ESPNData!$R:$AE,11,0))</f>
        <v>40</v>
      </c>
      <c r="L19" s="33">
        <f>IF(ISERROR(VLOOKUP($A19,ESPNData!$R:$AE,12,0)),"",VLOOKUP($A19,ESPNData!$R:$AE,12,0))</f>
        <v>311</v>
      </c>
      <c r="M19" s="64">
        <f>IF(ISERROR(VLOOKUP($A19,ESPNData!$R:$AE,13,0)),"",VLOOKUP($A19,ESPNData!$R:$AE,13,0))</f>
        <v>0</v>
      </c>
      <c r="N19" s="115">
        <f>IF(OR(($A19=Settings!$A$30),ISERROR(VLOOKUP($B19,SportslineData!$Q:$AB,4,0))),"",VLOOKUP($B19,SportslineData!$Q:$AB,4,0))</f>
        <v>1047</v>
      </c>
      <c r="O19" s="82">
        <f>IF(OR(($A19=Settings!$A$30),ISERROR(VLOOKUP($B19,SportslineData!$Q:$AB,6,0))),"",ROUND(VLOOKUP($B19,SportslineData!$Q:$AB,6,0),0))</f>
        <v>7</v>
      </c>
      <c r="P19" s="82">
        <f>IF(OR(($A19=Settings!$A$30),ISERROR(VLOOKUP($B19,SportslineData!$Q:$AB,7,0))),"",ROUND(VLOOKUP($B19,SportslineData!$Q:$AB,7,0),0))</f>
        <v>24</v>
      </c>
      <c r="Q19" s="82">
        <f>IF(OR(($A19=Settings!$A$30),ISERROR(VLOOKUP($B19,SportslineData!$Q:$AB,8,0))),"",VLOOKUP($B19,SportslineData!$Q:$AB,8,0))</f>
        <v>139.5</v>
      </c>
      <c r="R19" s="82">
        <f>IF(OR(($A19=Settings!$A$30),ISERROR(VLOOKUP($B19,SportslineData!$Q:$AB,10,0))),"",ROUND(VLOOKUP($B19,SportslineData!$Q:$AB,10,0),0))</f>
        <v>0</v>
      </c>
      <c r="S19" s="74">
        <f>IF(OR(($A19=Settings!$A$30),ISERROR(VLOOKUP($B19,SportslineData!$Q:$AB,11,0))),"",ROUND(VLOOKUP($B19,SportslineData!$Q:$AB,11,0),0))</f>
        <v>4</v>
      </c>
      <c r="T19" s="117"/>
      <c r="U19" s="131">
        <f t="shared" si="2"/>
        <v>19.974984355438178</v>
      </c>
      <c r="V19" s="38">
        <f>IF(ISERROR(ROUND((((((ROUNDDOWN((D19/5),0)*Settings!$F$7)+(E19*Settings!$I$7))+(F19*Settings!$I$11))+(ROUNDDOWN((G19/5),0)*Settings!$F$11))+(H19*Settings!$F$12)),1)),0,ROUND((((((ROUNDDOWN((D19/5),0)*Settings!$F$7)+(E19*Settings!$I$7))+(F19*Settings!$I$11))+(ROUNDDOWN((G19/5),0)*Settings!$F$11))+(H19*Settings!$F$12)),1))</f>
        <v>156.5</v>
      </c>
      <c r="W19" s="38">
        <f>IF(ISERROR(ROUND((((((ROUNDDOWN((I19/5),0)*Settings!$F$7)+(J19*Settings!$I$7))+(K19*Settings!$I$11))+(ROUNDDOWN((L19/5),0)*Settings!$F$11))+(M19*Settings!$F$12)),1)),0,ROUND((((((ROUNDDOWN((I19/5),0)*Settings!$F$7)+(J19*Settings!$I$7))+(K19*Settings!$I$11))+(ROUNDDOWN((L19/5),0)*Settings!$F$11))+(M19*Settings!$F$12)),1))</f>
        <v>195.5</v>
      </c>
      <c r="X19" s="38">
        <f>IF(AND((N19=""),(P19="")),0,((((((ROUND((N19/5),0)*Settings!$F$7)+(O19*Settings!$I$7))+(P19*Settings!$I$11))+(ROUND((Q19/5),0)*Settings!$F$11))+(R19*Settings!$F$12))+(S19*Settings!$F$15)))</f>
        <v>168.5</v>
      </c>
      <c r="Y19" s="66">
        <f>ROUND((((V19*Settings!$B$21)+(W19*Settings!$B$22))+(X19*Settings!$B$23)),1)</f>
        <v>173.5</v>
      </c>
      <c r="Z19" s="66">
        <f>IF(ISERROR(VLOOKUP(RANK(Y19,$Y$4:$Y$182),Z$4:Z18,1,0)),RANK(Y19,$Y$4:$Y$182),IF(ISERROR(VLOOKUP((RANK(Y19,$Y$4:$Y$182)+1),Z$4:Z18,1,0)),(RANK(Y19,$Y$4:$Y$182)+1),IF(ISERROR(VLOOKUP((RANK(Y19,$Y$4:$Y$182)+2),Z$4:Z18,1,0)),(RANK(Y19,$Y$4:$Y$182)+2),(RANK(Y19,$Y$4:$Y$182)+3))))</f>
        <v>28</v>
      </c>
      <c r="AA19" t="str">
        <f t="shared" si="3"/>
        <v>Ben Tate</v>
      </c>
    </row>
    <row r="20" spans="1:27" ht="12.75" customHeight="1">
      <c r="A20" s="33" t="str">
        <f>ESPNData!R19</f>
        <v>Ryan Mathews, SD RB</v>
      </c>
      <c r="B20" s="33" t="str">
        <f t="shared" si="0"/>
        <v>Ryan Mathews</v>
      </c>
      <c r="C20" s="64" t="str">
        <f t="shared" si="1"/>
        <v>SD</v>
      </c>
      <c r="D20" s="117">
        <f>IF(OR(($A20=Settings!$A$30),ISERROR(VLOOKUP($B20,FFTodayData!$P:$Y,5,0))),"",VLOOKUP($B20,FFTodayData!$P:$Y,5,0))</f>
        <v>1133</v>
      </c>
      <c r="E20" s="33">
        <f>IF(OR(($A20=Settings!$A$30),ISERROR(VLOOKUP($B20,FFTodayData!$P:$Y,6,0))),"",VLOOKUP($B20,FFTodayData!$P:$Y,6,0))</f>
        <v>5</v>
      </c>
      <c r="F20" s="33">
        <f>IF(OR(($A20=Settings!$A$30),ISERROR(VLOOKUP($B20,FFTodayData!$P:$Y,7,0))),"",VLOOKUP($B20,FFTodayData!$P:$Y,7,0))</f>
        <v>21</v>
      </c>
      <c r="G20" s="33">
        <f>IF(OR(($A20=Settings!$A$30),ISERROR(VLOOKUP($B20,FFTodayData!$P:$Y,8,0))),"",VLOOKUP($B20,FFTodayData!$P:$Y,8,0))</f>
        <v>167</v>
      </c>
      <c r="H20" s="64">
        <f>IF(OR(($A20=Settings!$A$30),ISERROR(VLOOKUP($B20,FFTodayData!$P:$Y,9,0))),"",VLOOKUP($B20,FFTodayData!$P:$Y,9,0))</f>
        <v>0</v>
      </c>
      <c r="I20" s="117">
        <f>IF(ISERROR(VLOOKUP($A20,ESPNData!$R:$AE,9,0)),"",VLOOKUP($A20,ESPNData!$R:$AE,9,0))</f>
        <v>1065</v>
      </c>
      <c r="J20" s="33">
        <f>IF(ISERROR(VLOOKUP($A20,ESPNData!$R:$AE,10,0)),"",VLOOKUP($A20,ESPNData!$R:$AE,10,0))</f>
        <v>7</v>
      </c>
      <c r="K20" s="33">
        <f>IF(ISERROR(VLOOKUP($A20,ESPNData!$R:$AE,11,0)),"",VLOOKUP($A20,ESPNData!$R:$AE,11,0))</f>
        <v>19</v>
      </c>
      <c r="L20" s="33">
        <f>IF(ISERROR(VLOOKUP($A20,ESPNData!$R:$AE,12,0)),"",VLOOKUP($A20,ESPNData!$R:$AE,12,0))</f>
        <v>176</v>
      </c>
      <c r="M20" s="64">
        <f>IF(ISERROR(VLOOKUP($A20,ESPNData!$R:$AE,13,0)),"",VLOOKUP($A20,ESPNData!$R:$AE,13,0))</f>
        <v>0</v>
      </c>
      <c r="N20" s="115">
        <f>IF(OR(($A20=Settings!$A$30),ISERROR(VLOOKUP($B20,SportslineData!$Q:$AB,4,0))),"",VLOOKUP($B20,SportslineData!$Q:$AB,4,0))</f>
        <v>1126.5</v>
      </c>
      <c r="O20" s="82">
        <f>IF(OR(($A20=Settings!$A$30),ISERROR(VLOOKUP($B20,SportslineData!$Q:$AB,6,0))),"",ROUND(VLOOKUP($B20,SportslineData!$Q:$AB,6,0),0))</f>
        <v>7</v>
      </c>
      <c r="P20" s="82">
        <f>IF(OR(($A20=Settings!$A$30),ISERROR(VLOOKUP($B20,SportslineData!$Q:$AB,7,0))),"",ROUND(VLOOKUP($B20,SportslineData!$Q:$AB,7,0),0))</f>
        <v>24</v>
      </c>
      <c r="Q20" s="82">
        <f>IF(OR(($A20=Settings!$A$30),ISERROR(VLOOKUP($B20,SportslineData!$Q:$AB,8,0))),"",VLOOKUP($B20,SportslineData!$Q:$AB,8,0))</f>
        <v>162</v>
      </c>
      <c r="R20" s="82">
        <f>IF(OR(($A20=Settings!$A$30),ISERROR(VLOOKUP($B20,SportslineData!$Q:$AB,10,0))),"",ROUND(VLOOKUP($B20,SportslineData!$Q:$AB,10,0),0))</f>
        <v>1</v>
      </c>
      <c r="S20" s="74">
        <f>IF(OR(($A20=Settings!$A$30),ISERROR(VLOOKUP($B20,SportslineData!$Q:$AB,11,0))),"",ROUND(VLOOKUP($B20,SportslineData!$Q:$AB,11,0),0))</f>
        <v>2</v>
      </c>
      <c r="T20" s="117"/>
      <c r="U20" s="131">
        <f t="shared" si="2"/>
        <v>8.4013887740857065</v>
      </c>
      <c r="V20" s="38">
        <f>IF(ISERROR(ROUND((((((ROUNDDOWN((D20/5),0)*Settings!$F$7)+(E20*Settings!$I$7))+(F20*Settings!$I$11))+(ROUNDDOWN((G20/5),0)*Settings!$F$11))+(H20*Settings!$F$12)),1)),0,ROUND((((((ROUNDDOWN((D20/5),0)*Settings!$F$7)+(E20*Settings!$I$7))+(F20*Settings!$I$11))+(ROUNDDOWN((G20/5),0)*Settings!$F$11))+(H20*Settings!$F$12)),1))</f>
        <v>170</v>
      </c>
      <c r="W20" s="38">
        <f>IF(ISERROR(ROUND((((((ROUNDDOWN((I20/5),0)*Settings!$F$7)+(J20*Settings!$I$7))+(K20*Settings!$I$11))+(ROUNDDOWN((L20/5),0)*Settings!$F$11))+(M20*Settings!$F$12)),1)),0,ROUND((((((ROUNDDOWN((I20/5),0)*Settings!$F$7)+(J20*Settings!$I$7))+(K20*Settings!$I$11))+(ROUNDDOWN((L20/5),0)*Settings!$F$11))+(M20*Settings!$F$12)),1))</f>
        <v>175.5</v>
      </c>
      <c r="X20" s="38">
        <f>IF(AND((N20=""),(P20="")),0,((((((ROUND((N20/5),0)*Settings!$F$7)+(O20*Settings!$I$7))+(P20*Settings!$I$11))+(ROUND((Q20/5),0)*Settings!$F$11))+(R20*Settings!$F$12))+(S20*Settings!$F$15)))</f>
        <v>186.5</v>
      </c>
      <c r="Y20" s="66">
        <f>ROUND((((V20*Settings!$B$21)+(W20*Settings!$B$22))+(X20*Settings!$B$23)),1)</f>
        <v>177.4</v>
      </c>
      <c r="Z20" s="66">
        <f>IF(ISERROR(VLOOKUP(RANK(Y20,$Y$4:$Y$182),Z$4:Z19,1,0)),RANK(Y20,$Y$4:$Y$182),IF(ISERROR(VLOOKUP((RANK(Y20,$Y$4:$Y$182)+1),Z$4:Z19,1,0)),(RANK(Y20,$Y$4:$Y$182)+1),IF(ISERROR(VLOOKUP((RANK(Y20,$Y$4:$Y$182)+2),Z$4:Z19,1,0)),(RANK(Y20,$Y$4:$Y$182)+2),(RANK(Y20,$Y$4:$Y$182)+3))))</f>
        <v>27</v>
      </c>
      <c r="AA20" t="str">
        <f t="shared" si="3"/>
        <v>Ryan Mathews</v>
      </c>
    </row>
    <row r="21" spans="1:27" ht="12.75" customHeight="1">
      <c r="A21" s="33" t="str">
        <f>ESPNData!R20</f>
        <v>C.J. Spiller, Buf RB</v>
      </c>
      <c r="B21" s="33" t="str">
        <f t="shared" si="0"/>
        <v>C.J. Spiller</v>
      </c>
      <c r="C21" s="64" t="str">
        <f t="shared" si="1"/>
        <v>BUF</v>
      </c>
      <c r="D21" s="117">
        <f>IF(OR(($A21=Settings!$A$30),ISERROR(VLOOKUP($B21,FFTodayData!$P:$Y,5,0))),"",VLOOKUP($B21,FFTodayData!$P:$Y,5,0))</f>
        <v>956</v>
      </c>
      <c r="E21" s="33">
        <f>IF(OR(($A21=Settings!$A$30),ISERROR(VLOOKUP($B21,FFTodayData!$P:$Y,6,0))),"",VLOOKUP($B21,FFTodayData!$P:$Y,6,0))</f>
        <v>6</v>
      </c>
      <c r="F21" s="33">
        <f>IF(OR(($A21=Settings!$A$30),ISERROR(VLOOKUP($B21,FFTodayData!$P:$Y,7,0))),"",VLOOKUP($B21,FFTodayData!$P:$Y,7,0))</f>
        <v>30</v>
      </c>
      <c r="G21" s="33">
        <f>IF(OR(($A21=Settings!$A$30),ISERROR(VLOOKUP($B21,FFTodayData!$P:$Y,8,0))),"",VLOOKUP($B21,FFTodayData!$P:$Y,8,0))</f>
        <v>214</v>
      </c>
      <c r="H21" s="64">
        <f>IF(OR(($A21=Settings!$A$30),ISERROR(VLOOKUP($B21,FFTodayData!$P:$Y,9,0))),"",VLOOKUP($B21,FFTodayData!$P:$Y,9,0))</f>
        <v>0</v>
      </c>
      <c r="I21" s="117">
        <f>IF(ISERROR(VLOOKUP($A21,ESPNData!$R:$AE,9,0)),"",VLOOKUP($A21,ESPNData!$R:$AE,9,0))</f>
        <v>1001</v>
      </c>
      <c r="J21" s="33">
        <f>IF(ISERROR(VLOOKUP($A21,ESPNData!$R:$AE,10,0)),"",VLOOKUP($A21,ESPNData!$R:$AE,10,0))</f>
        <v>5</v>
      </c>
      <c r="K21" s="33">
        <f>IF(ISERROR(VLOOKUP($A21,ESPNData!$R:$AE,11,0)),"",VLOOKUP($A21,ESPNData!$R:$AE,11,0))</f>
        <v>37</v>
      </c>
      <c r="L21" s="33">
        <f>IF(ISERROR(VLOOKUP($A21,ESPNData!$R:$AE,12,0)),"",VLOOKUP($A21,ESPNData!$R:$AE,12,0))</f>
        <v>316</v>
      </c>
      <c r="M21" s="64">
        <f>IF(ISERROR(VLOOKUP($A21,ESPNData!$R:$AE,13,0)),"",VLOOKUP($A21,ESPNData!$R:$AE,13,0))</f>
        <v>1</v>
      </c>
      <c r="N21" s="115">
        <f>IF(OR(($A21=Settings!$A$30),ISERROR(VLOOKUP($B21,SportslineData!$Q:$AB,4,0))),"",VLOOKUP($B21,SportslineData!$Q:$AB,4,0))</f>
        <v>1057.5</v>
      </c>
      <c r="O21" s="82">
        <f>IF(OR(($A21=Settings!$A$30),ISERROR(VLOOKUP($B21,SportslineData!$Q:$AB,6,0))),"",ROUND(VLOOKUP($B21,SportslineData!$Q:$AB,6,0),0))</f>
        <v>5</v>
      </c>
      <c r="P21" s="82">
        <f>IF(OR(($A21=Settings!$A$30),ISERROR(VLOOKUP($B21,SportslineData!$Q:$AB,7,0))),"",ROUND(VLOOKUP($B21,SportslineData!$Q:$AB,7,0),0))</f>
        <v>38</v>
      </c>
      <c r="Q21" s="82">
        <f>IF(OR(($A21=Settings!$A$30),ISERROR(VLOOKUP($B21,SportslineData!$Q:$AB,8,0))),"",VLOOKUP($B21,SportslineData!$Q:$AB,8,0))</f>
        <v>280.5</v>
      </c>
      <c r="R21" s="82">
        <f>IF(OR(($A21=Settings!$A$30),ISERROR(VLOOKUP($B21,SportslineData!$Q:$AB,10,0))),"",ROUND(VLOOKUP($B21,SportslineData!$Q:$AB,10,0),0))</f>
        <v>2</v>
      </c>
      <c r="S21" s="74">
        <f>IF(OR(($A21=Settings!$A$30),ISERROR(VLOOKUP($B21,SportslineData!$Q:$AB,11,0))),"",ROUND(VLOOKUP($B21,SportslineData!$Q:$AB,11,0),0))</f>
        <v>3</v>
      </c>
      <c r="T21" s="117"/>
      <c r="U21" s="131">
        <f t="shared" si="2"/>
        <v>12.770408502993682</v>
      </c>
      <c r="V21" s="38">
        <f>IF(ISERROR(ROUND((((((ROUNDDOWN((D21/5),0)*Settings!$F$7)+(E21*Settings!$I$7))+(F21*Settings!$I$11))+(ROUNDDOWN((G21/5),0)*Settings!$F$11))+(H21*Settings!$F$12)),1)),0,ROUND((((((ROUNDDOWN((D21/5),0)*Settings!$F$7)+(E21*Settings!$I$7))+(F21*Settings!$I$11))+(ROUNDDOWN((G21/5),0)*Settings!$F$11))+(H21*Settings!$F$12)),1))</f>
        <v>167.5</v>
      </c>
      <c r="W21" s="38">
        <f>IF(ISERROR(ROUND((((((ROUNDDOWN((I21/5),0)*Settings!$F$7)+(J21*Settings!$I$7))+(K21*Settings!$I$11))+(ROUNDDOWN((L21/5),0)*Settings!$F$11))+(M21*Settings!$F$12)),1)),0,ROUND((((((ROUNDDOWN((I21/5),0)*Settings!$F$7)+(J21*Settings!$I$7))+(K21*Settings!$I$11))+(ROUNDDOWN((L21/5),0)*Settings!$F$11))+(M21*Settings!$F$12)),1))</f>
        <v>186</v>
      </c>
      <c r="X21" s="38">
        <f>IF(AND((N21=""),(P21="")),0,((((((ROUND((N21/5),0)*Settings!$F$7)+(O21*Settings!$I$7))+(P21*Settings!$I$11))+(ROUND((Q21/5),0)*Settings!$F$11))+(R21*Settings!$F$12))+(S21*Settings!$F$15)))</f>
        <v>192</v>
      </c>
      <c r="Y21" s="66">
        <f>ROUND((((V21*Settings!$B$21)+(W21*Settings!$B$22))+(X21*Settings!$B$23)),1)</f>
        <v>181.9</v>
      </c>
      <c r="Z21" s="66">
        <f>IF(ISERROR(VLOOKUP(RANK(Y21,$Y$4:$Y$182),Z$4:Z20,1,0)),RANK(Y21,$Y$4:$Y$182),IF(ISERROR(VLOOKUP((RANK(Y21,$Y$4:$Y$182)+1),Z$4:Z20,1,0)),(RANK(Y21,$Y$4:$Y$182)+1),IF(ISERROR(VLOOKUP((RANK(Y21,$Y$4:$Y$182)+2),Z$4:Z20,1,0)),(RANK(Y21,$Y$4:$Y$182)+2),(RANK(Y21,$Y$4:$Y$182)+3))))</f>
        <v>25</v>
      </c>
      <c r="AA21" t="str">
        <f t="shared" si="3"/>
        <v>C.J. Spiller</v>
      </c>
    </row>
    <row r="22" spans="1:27" ht="12.75" customHeight="1">
      <c r="A22" s="33" t="str">
        <f>ESPNData!R21</f>
        <v>Frank Gore, SF RB</v>
      </c>
      <c r="B22" s="33" t="str">
        <f t="shared" si="0"/>
        <v>Frank Gore</v>
      </c>
      <c r="C22" s="64" t="str">
        <f t="shared" si="1"/>
        <v>SF</v>
      </c>
      <c r="D22" s="117">
        <f>IF(OR(($A22=Settings!$A$30),ISERROR(VLOOKUP($B22,FFTodayData!$P:$Y,5,0))),"",VLOOKUP($B22,FFTodayData!$P:$Y,5,0))</f>
        <v>1089</v>
      </c>
      <c r="E22" s="33">
        <f>IF(OR(($A22=Settings!$A$30),ISERROR(VLOOKUP($B22,FFTodayData!$P:$Y,6,0))),"",VLOOKUP($B22,FFTodayData!$P:$Y,6,0))</f>
        <v>8</v>
      </c>
      <c r="F22" s="33">
        <f>IF(OR(($A22=Settings!$A$30),ISERROR(VLOOKUP($B22,FFTodayData!$P:$Y,7,0))),"",VLOOKUP($B22,FFTodayData!$P:$Y,7,0))</f>
        <v>23</v>
      </c>
      <c r="G22" s="33">
        <f>IF(OR(($A22=Settings!$A$30),ISERROR(VLOOKUP($B22,FFTodayData!$P:$Y,8,0))),"",VLOOKUP($B22,FFTodayData!$P:$Y,8,0))</f>
        <v>179</v>
      </c>
      <c r="H22" s="64">
        <f>IF(OR(($A22=Settings!$A$30),ISERROR(VLOOKUP($B22,FFTodayData!$P:$Y,9,0))),"",VLOOKUP($B22,FFTodayData!$P:$Y,9,0))</f>
        <v>0</v>
      </c>
      <c r="I22" s="117">
        <f>IF(ISERROR(VLOOKUP($A22,ESPNData!$R:$AE,9,0)),"",VLOOKUP($A22,ESPNData!$R:$AE,9,0))</f>
        <v>1123</v>
      </c>
      <c r="J22" s="33">
        <f>IF(ISERROR(VLOOKUP($A22,ESPNData!$R:$AE,10,0)),"",VLOOKUP($A22,ESPNData!$R:$AE,10,0))</f>
        <v>8</v>
      </c>
      <c r="K22" s="33">
        <f>IF(ISERROR(VLOOKUP($A22,ESPNData!$R:$AE,11,0)),"",VLOOKUP($A22,ESPNData!$R:$AE,11,0))</f>
        <v>15</v>
      </c>
      <c r="L22" s="33">
        <f>IF(ISERROR(VLOOKUP($A22,ESPNData!$R:$AE,12,0)),"",VLOOKUP($A22,ESPNData!$R:$AE,12,0))</f>
        <v>130</v>
      </c>
      <c r="M22" s="64">
        <f>IF(ISERROR(VLOOKUP($A22,ESPNData!$R:$AE,13,0)),"",VLOOKUP($A22,ESPNData!$R:$AE,13,0))</f>
        <v>0</v>
      </c>
      <c r="N22" s="115">
        <f>IF(OR(($A22=Settings!$A$30),ISERROR(VLOOKUP($B22,SportslineData!$Q:$AB,4,0))),"",VLOOKUP($B22,SportslineData!$Q:$AB,4,0))</f>
        <v>1043.5</v>
      </c>
      <c r="O22" s="82">
        <f>IF(OR(($A22=Settings!$A$30),ISERROR(VLOOKUP($B22,SportslineData!$Q:$AB,6,0))),"",ROUND(VLOOKUP($B22,SportslineData!$Q:$AB,6,0),0))</f>
        <v>8</v>
      </c>
      <c r="P22" s="82">
        <f>IF(OR(($A22=Settings!$A$30),ISERROR(VLOOKUP($B22,SportslineData!$Q:$AB,7,0))),"",ROUND(VLOOKUP($B22,SportslineData!$Q:$AB,7,0),0))</f>
        <v>16</v>
      </c>
      <c r="Q22" s="82">
        <f>IF(OR(($A22=Settings!$A$30),ISERROR(VLOOKUP($B22,SportslineData!$Q:$AB,8,0))),"",VLOOKUP($B22,SportslineData!$Q:$AB,8,0))</f>
        <v>127.5</v>
      </c>
      <c r="R22" s="82">
        <f>IF(OR(($A22=Settings!$A$30),ISERROR(VLOOKUP($B22,SportslineData!$Q:$AB,10,0))),"",ROUND(VLOOKUP($B22,SportslineData!$Q:$AB,10,0),0))</f>
        <v>0</v>
      </c>
      <c r="S22" s="74">
        <f>IF(OR(($A22=Settings!$A$30),ISERROR(VLOOKUP($B22,SportslineData!$Q:$AB,11,0))),"",ROUND(VLOOKUP($B22,SportslineData!$Q:$AB,11,0),0))</f>
        <v>1</v>
      </c>
      <c r="T22" s="117"/>
      <c r="U22" s="131">
        <f t="shared" si="2"/>
        <v>6.5574385243020004</v>
      </c>
      <c r="V22" s="38">
        <f>IF(ISERROR(ROUND((((((ROUNDDOWN((D22/5),0)*Settings!$F$7)+(E22*Settings!$I$7))+(F22*Settings!$I$11))+(ROUNDDOWN((G22/5),0)*Settings!$F$11))+(H22*Settings!$F$12)),1)),0,ROUND((((((ROUNDDOWN((D22/5),0)*Settings!$F$7)+(E22*Settings!$I$7))+(F22*Settings!$I$11))+(ROUNDDOWN((G22/5),0)*Settings!$F$11))+(H22*Settings!$F$12)),1))</f>
        <v>185.5</v>
      </c>
      <c r="W22" s="38">
        <f>IF(ISERROR(ROUND((((((ROUNDDOWN((I22/5),0)*Settings!$F$7)+(J22*Settings!$I$7))+(K22*Settings!$I$11))+(ROUNDDOWN((L22/5),0)*Settings!$F$11))+(M22*Settings!$F$12)),1)),0,ROUND((((((ROUNDDOWN((I22/5),0)*Settings!$F$7)+(J22*Settings!$I$7))+(K22*Settings!$I$11))+(ROUNDDOWN((L22/5),0)*Settings!$F$11))+(M22*Settings!$F$12)),1))</f>
        <v>180.5</v>
      </c>
      <c r="X22" s="38">
        <f>IF(AND((N22=""),(P22="")),0,((((((ROUND((N22/5),0)*Settings!$F$7)+(O22*Settings!$I$7))+(P22*Settings!$I$11))+(ROUND((Q22/5),0)*Settings!$F$11))+(R22*Settings!$F$12))+(S22*Settings!$F$15)))</f>
        <v>172.5</v>
      </c>
      <c r="Y22" s="66">
        <f>ROUND((((V22*Settings!$B$21)+(W22*Settings!$B$22))+(X22*Settings!$B$23)),1)</f>
        <v>179.4</v>
      </c>
      <c r="Z22" s="66">
        <f>IF(ISERROR(VLOOKUP(RANK(Y22,$Y$4:$Y$182),Z$4:Z21,1,0)),RANK(Y22,$Y$4:$Y$182),IF(ISERROR(VLOOKUP((RANK(Y22,$Y$4:$Y$182)+1),Z$4:Z21,1,0)),(RANK(Y22,$Y$4:$Y$182)+1),IF(ISERROR(VLOOKUP((RANK(Y22,$Y$4:$Y$182)+2),Z$4:Z21,1,0)),(RANK(Y22,$Y$4:$Y$182)+2),(RANK(Y22,$Y$4:$Y$182)+3))))</f>
        <v>26</v>
      </c>
      <c r="AA22" t="str">
        <f t="shared" si="3"/>
        <v>Frank Gore</v>
      </c>
    </row>
    <row r="23" spans="1:27" ht="12.75" customHeight="1">
      <c r="A23" s="33" t="str">
        <f>ESPNData!R22</f>
        <v>Andre Ellington, Ari RB</v>
      </c>
      <c r="B23" s="33" t="str">
        <f t="shared" si="0"/>
        <v>Andre Ellington</v>
      </c>
      <c r="C23" s="64" t="str">
        <f t="shared" si="1"/>
        <v>ARI</v>
      </c>
      <c r="D23" s="117">
        <f>IF(OR(($A23=Settings!$A$30),ISERROR(VLOOKUP($B23,FFTodayData!$P:$Y,5,0))),"",VLOOKUP($B23,FFTodayData!$P:$Y,5,0))</f>
        <v>1046</v>
      </c>
      <c r="E23" s="33">
        <f>IF(OR(($A23=Settings!$A$30),ISERROR(VLOOKUP($B23,FFTodayData!$P:$Y,6,0))),"",VLOOKUP($B23,FFTodayData!$P:$Y,6,0))</f>
        <v>5</v>
      </c>
      <c r="F23" s="33">
        <f>IF(OR(($A23=Settings!$A$30),ISERROR(VLOOKUP($B23,FFTodayData!$P:$Y,7,0))),"",VLOOKUP($B23,FFTodayData!$P:$Y,7,0))</f>
        <v>58</v>
      </c>
      <c r="G23" s="33">
        <f>IF(OR(($A23=Settings!$A$30),ISERROR(VLOOKUP($B23,FFTodayData!$P:$Y,8,0))),"",VLOOKUP($B23,FFTodayData!$P:$Y,8,0))</f>
        <v>455</v>
      </c>
      <c r="H23" s="64">
        <f>IF(OR(($A23=Settings!$A$30),ISERROR(VLOOKUP($B23,FFTodayData!$P:$Y,9,0))),"",VLOOKUP($B23,FFTodayData!$P:$Y,9,0))</f>
        <v>2</v>
      </c>
      <c r="I23" s="117">
        <f>IF(ISERROR(VLOOKUP($A23,ESPNData!$R:$AE,9,0)),"",VLOOKUP($A23,ESPNData!$R:$AE,9,0))</f>
        <v>867</v>
      </c>
      <c r="J23" s="33">
        <f>IF(ISERROR(VLOOKUP($A23,ESPNData!$R:$AE,10,0)),"",VLOOKUP($A23,ESPNData!$R:$AE,10,0))</f>
        <v>3</v>
      </c>
      <c r="K23" s="33">
        <f>IF(ISERROR(VLOOKUP($A23,ESPNData!$R:$AE,11,0)),"",VLOOKUP($A23,ESPNData!$R:$AE,11,0))</f>
        <v>48</v>
      </c>
      <c r="L23" s="33">
        <f>IF(ISERROR(VLOOKUP($A23,ESPNData!$R:$AE,12,0)),"",VLOOKUP($A23,ESPNData!$R:$AE,12,0))</f>
        <v>457</v>
      </c>
      <c r="M23" s="64">
        <f>IF(ISERROR(VLOOKUP($A23,ESPNData!$R:$AE,13,0)),"",VLOOKUP($A23,ESPNData!$R:$AE,13,0))</f>
        <v>3</v>
      </c>
      <c r="N23" s="115">
        <f>IF(OR(($A23=Settings!$A$30),ISERROR(VLOOKUP($B23,SportslineData!$Q:$AB,4,0))),"",VLOOKUP($B23,SportslineData!$Q:$AB,4,0))</f>
        <v>985</v>
      </c>
      <c r="O23" s="82">
        <f>IF(OR(($A23=Settings!$A$30),ISERROR(VLOOKUP($B23,SportslineData!$Q:$AB,6,0))),"",ROUND(VLOOKUP($B23,SportslineData!$Q:$AB,6,0),0))</f>
        <v>5</v>
      </c>
      <c r="P23" s="82">
        <f>IF(OR(($A23=Settings!$A$30),ISERROR(VLOOKUP($B23,SportslineData!$Q:$AB,7,0))),"",ROUND(VLOOKUP($B23,SportslineData!$Q:$AB,7,0),0))</f>
        <v>55</v>
      </c>
      <c r="Q23" s="82">
        <f>IF(OR(($A23=Settings!$A$30),ISERROR(VLOOKUP($B23,SportslineData!$Q:$AB,8,0))),"",VLOOKUP($B23,SportslineData!$Q:$AB,8,0))</f>
        <v>485</v>
      </c>
      <c r="R23" s="82">
        <f>IF(OR(($A23=Settings!$A$30),ISERROR(VLOOKUP($B23,SportslineData!$Q:$AB,10,0))),"",ROUND(VLOOKUP($B23,SportslineData!$Q:$AB,10,0),0))</f>
        <v>2</v>
      </c>
      <c r="S23" s="74">
        <f>IF(OR(($A23=Settings!$A$30),ISERROR(VLOOKUP($B23,SportslineData!$Q:$AB,11,0))),"",ROUND(VLOOKUP($B23,SportslineData!$Q:$AB,11,0),0))</f>
        <v>2</v>
      </c>
      <c r="T23" s="117"/>
      <c r="U23" s="131">
        <f t="shared" si="2"/>
        <v>15.217862311551295</v>
      </c>
      <c r="V23" s="38">
        <f>IF(ISERROR(ROUND((((((ROUNDDOWN((D23/5),0)*Settings!$F$7)+(E23*Settings!$I$7))+(F23*Settings!$I$11))+(ROUNDDOWN((G23/5),0)*Settings!$F$11))+(H23*Settings!$F$12)),1)),0,ROUND((((((ROUNDDOWN((D23/5),0)*Settings!$F$7)+(E23*Settings!$I$7))+(F23*Settings!$I$11))+(ROUNDDOWN((G23/5),0)*Settings!$F$11))+(H23*Settings!$F$12)),1))</f>
        <v>221</v>
      </c>
      <c r="W23" s="38">
        <f>IF(ISERROR(ROUND((((((ROUNDDOWN((I23/5),0)*Settings!$F$7)+(J23*Settings!$I$7))+(K23*Settings!$I$11))+(ROUNDDOWN((L23/5),0)*Settings!$F$11))+(M23*Settings!$F$12)),1)),0,ROUND((((((ROUNDDOWN((I23/5),0)*Settings!$F$7)+(J23*Settings!$I$7))+(K23*Settings!$I$11))+(ROUNDDOWN((L23/5),0)*Settings!$F$11))+(M23*Settings!$F$12)),1))</f>
        <v>192</v>
      </c>
      <c r="X23" s="38">
        <f>IF(AND((N23=""),(P23="")),0,((((((ROUND((N23/5),0)*Settings!$F$7)+(O23*Settings!$I$7))+(P23*Settings!$I$11))+(ROUND((Q23/5),0)*Settings!$F$11))+(R23*Settings!$F$12))+(S23*Settings!$F$15)))</f>
        <v>214.5</v>
      </c>
      <c r="Y23" s="66">
        <f>ROUND((((V23*Settings!$B$21)+(W23*Settings!$B$22))+(X23*Settings!$B$23)),1)</f>
        <v>209.2</v>
      </c>
      <c r="Z23" s="66">
        <f>IF(ISERROR(VLOOKUP(RANK(Y23,$Y$4:$Y$182),Z$4:Z22,1,0)),RANK(Y23,$Y$4:$Y$182),IF(ISERROR(VLOOKUP((RANK(Y23,$Y$4:$Y$182)+1),Z$4:Z22,1,0)),(RANK(Y23,$Y$4:$Y$182)+1),IF(ISERROR(VLOOKUP((RANK(Y23,$Y$4:$Y$182)+2),Z$4:Z22,1,0)),(RANK(Y23,$Y$4:$Y$182)+2),(RANK(Y23,$Y$4:$Y$182)+3))))</f>
        <v>14</v>
      </c>
      <c r="AA23" t="str">
        <f t="shared" si="3"/>
        <v>Andre Ellington</v>
      </c>
    </row>
    <row r="24" spans="1:27" ht="12.75" customHeight="1">
      <c r="A24" s="33" t="str">
        <f>ESPNData!R23</f>
        <v>Trent Richardson, Ind RB</v>
      </c>
      <c r="B24" s="33" t="str">
        <f t="shared" si="0"/>
        <v>Trent Richardson</v>
      </c>
      <c r="C24" s="64" t="str">
        <f t="shared" si="1"/>
        <v>IND</v>
      </c>
      <c r="D24" s="117">
        <f>IF(OR(($A24=Settings!$A$30),ISERROR(VLOOKUP($B24,FFTodayData!$P:$Y,5,0))),"",VLOOKUP($B24,FFTodayData!$P:$Y,5,0))</f>
        <v>977</v>
      </c>
      <c r="E24" s="33">
        <f>IF(OR(($A24=Settings!$A$30),ISERROR(VLOOKUP($B24,FFTodayData!$P:$Y,6,0))),"",VLOOKUP($B24,FFTodayData!$P:$Y,6,0))</f>
        <v>6</v>
      </c>
      <c r="F24" s="33">
        <f>IF(OR(($A24=Settings!$A$30),ISERROR(VLOOKUP($B24,FFTodayData!$P:$Y,7,0))),"",VLOOKUP($B24,FFTodayData!$P:$Y,7,0))</f>
        <v>50</v>
      </c>
      <c r="G24" s="33">
        <f>IF(OR(($A24=Settings!$A$30),ISERROR(VLOOKUP($B24,FFTodayData!$P:$Y,8,0))),"",VLOOKUP($B24,FFTodayData!$P:$Y,8,0))</f>
        <v>377</v>
      </c>
      <c r="H24" s="64">
        <f>IF(OR(($A24=Settings!$A$30),ISERROR(VLOOKUP($B24,FFTodayData!$P:$Y,9,0))),"",VLOOKUP($B24,FFTodayData!$P:$Y,9,0))</f>
        <v>1</v>
      </c>
      <c r="I24" s="117">
        <f>IF(ISERROR(VLOOKUP($A24,ESPNData!$R:$AE,9,0)),"",VLOOKUP($A24,ESPNData!$R:$AE,9,0))</f>
        <v>987</v>
      </c>
      <c r="J24" s="33">
        <f>IF(ISERROR(VLOOKUP($A24,ESPNData!$R:$AE,10,0)),"",VLOOKUP($A24,ESPNData!$R:$AE,10,0))</f>
        <v>6</v>
      </c>
      <c r="K24" s="33">
        <f>IF(ISERROR(VLOOKUP($A24,ESPNData!$R:$AE,11,0)),"",VLOOKUP($A24,ESPNData!$R:$AE,11,0))</f>
        <v>43</v>
      </c>
      <c r="L24" s="33">
        <f>IF(ISERROR(VLOOKUP($A24,ESPNData!$R:$AE,12,0)),"",VLOOKUP($A24,ESPNData!$R:$AE,12,0))</f>
        <v>326</v>
      </c>
      <c r="M24" s="64">
        <f>IF(ISERROR(VLOOKUP($A24,ESPNData!$R:$AE,13,0)),"",VLOOKUP($A24,ESPNData!$R:$AE,13,0))</f>
        <v>1</v>
      </c>
      <c r="N24" s="115">
        <f>IF(OR(($A24=Settings!$A$30),ISERROR(VLOOKUP($B24,SportslineData!$Q:$AB,4,0))),"",VLOOKUP($B24,SportslineData!$Q:$AB,4,0))</f>
        <v>914.5</v>
      </c>
      <c r="O24" s="82">
        <f>IF(OR(($A24=Settings!$A$30),ISERROR(VLOOKUP($B24,SportslineData!$Q:$AB,6,0))),"",ROUND(VLOOKUP($B24,SportslineData!$Q:$AB,6,0),0))</f>
        <v>7</v>
      </c>
      <c r="P24" s="82">
        <f>IF(OR(($A24=Settings!$A$30),ISERROR(VLOOKUP($B24,SportslineData!$Q:$AB,7,0))),"",ROUND(VLOOKUP($B24,SportslineData!$Q:$AB,7,0),0))</f>
        <v>40</v>
      </c>
      <c r="Q24" s="82">
        <f>IF(OR(($A24=Settings!$A$30),ISERROR(VLOOKUP($B24,SportslineData!$Q:$AB,8,0))),"",VLOOKUP($B24,SportslineData!$Q:$AB,8,0))</f>
        <v>302</v>
      </c>
      <c r="R24" s="82">
        <f>IF(OR(($A24=Settings!$A$30),ISERROR(VLOOKUP($B24,SportslineData!$Q:$AB,10,0))),"",ROUND(VLOOKUP($B24,SportslineData!$Q:$AB,10,0),0))</f>
        <v>1</v>
      </c>
      <c r="S24" s="74">
        <f>IF(OR(($A24=Settings!$A$30),ISERROR(VLOOKUP($B24,SportslineData!$Q:$AB,11,0))),"",ROUND(VLOOKUP($B24,SportslineData!$Q:$AB,11,0),0))</f>
        <v>3</v>
      </c>
      <c r="T24" s="117"/>
      <c r="U24" s="131">
        <f t="shared" si="2"/>
        <v>7.7513439694889898</v>
      </c>
      <c r="V24" s="38">
        <f>IF(ISERROR(ROUND((((((ROUNDDOWN((D24/5),0)*Settings!$F$7)+(E24*Settings!$I$7))+(F24*Settings!$I$11))+(ROUNDDOWN((G24/5),0)*Settings!$F$11))+(H24*Settings!$F$12)),1)),0,ROUND((((((ROUNDDOWN((D24/5),0)*Settings!$F$7)+(E24*Settings!$I$7))+(F24*Settings!$I$11))+(ROUNDDOWN((G24/5),0)*Settings!$F$11))+(H24*Settings!$F$12)),1))</f>
        <v>202</v>
      </c>
      <c r="W24" s="38">
        <f>IF(ISERROR(ROUND((((((ROUNDDOWN((I24/5),0)*Settings!$F$7)+(J24*Settings!$I$7))+(K24*Settings!$I$11))+(ROUNDDOWN((L24/5),0)*Settings!$F$11))+(M24*Settings!$F$12)),1)),0,ROUND((((((ROUNDDOWN((I24/5),0)*Settings!$F$7)+(J24*Settings!$I$7))+(K24*Settings!$I$11))+(ROUNDDOWN((L24/5),0)*Settings!$F$11))+(M24*Settings!$F$12)),1))</f>
        <v>194.5</v>
      </c>
      <c r="X24" s="38">
        <f>IF(AND((N24=""),(P24="")),0,((((((ROUND((N24/5),0)*Settings!$F$7)+(O24*Settings!$I$7))+(P24*Settings!$I$11))+(ROUND((Q24/5),0)*Settings!$F$11))+(R24*Settings!$F$12))+(S24*Settings!$F$15)))</f>
        <v>186.5</v>
      </c>
      <c r="Y24" s="66">
        <f>ROUND((((V24*Settings!$B$21)+(W24*Settings!$B$22))+(X24*Settings!$B$23)),1)</f>
        <v>194.3</v>
      </c>
      <c r="Z24" s="66">
        <f>IF(ISERROR(VLOOKUP(RANK(Y24,$Y$4:$Y$182),Z$4:Z23,1,0)),RANK(Y24,$Y$4:$Y$182),IF(ISERROR(VLOOKUP((RANK(Y24,$Y$4:$Y$182)+1),Z$4:Z23,1,0)),(RANK(Y24,$Y$4:$Y$182)+1),IF(ISERROR(VLOOKUP((RANK(Y24,$Y$4:$Y$182)+2),Z$4:Z23,1,0)),(RANK(Y24,$Y$4:$Y$182)+2),(RANK(Y24,$Y$4:$Y$182)+3))))</f>
        <v>18</v>
      </c>
      <c r="AA24" t="str">
        <f t="shared" si="3"/>
        <v>Trent Richardson</v>
      </c>
    </row>
    <row r="25" spans="1:27" ht="12.75" customHeight="1">
      <c r="A25" s="33" t="str">
        <f>ESPNData!R24</f>
        <v>Toby Gerhart, Jac RB</v>
      </c>
      <c r="B25" s="33" t="str">
        <f t="shared" si="0"/>
        <v>Toby Gerhart</v>
      </c>
      <c r="C25" s="64" t="str">
        <f t="shared" si="1"/>
        <v>JAC</v>
      </c>
      <c r="D25" s="117">
        <f>IF(OR(($A25=Settings!$A$30),ISERROR(VLOOKUP($B25,FFTodayData!$P:$Y,5,0))),"",VLOOKUP($B25,FFTodayData!$P:$Y,5,0))</f>
        <v>1139</v>
      </c>
      <c r="E25" s="33">
        <f>IF(OR(($A25=Settings!$A$30),ISERROR(VLOOKUP($B25,FFTodayData!$P:$Y,6,0))),"",VLOOKUP($B25,FFTodayData!$P:$Y,6,0))</f>
        <v>9</v>
      </c>
      <c r="F25" s="33">
        <f>IF(OR(($A25=Settings!$A$30),ISERROR(VLOOKUP($B25,FFTodayData!$P:$Y,7,0))),"",VLOOKUP($B25,FFTodayData!$P:$Y,7,0))</f>
        <v>49</v>
      </c>
      <c r="G25" s="33">
        <f>IF(OR(($A25=Settings!$A$30),ISERROR(VLOOKUP($B25,FFTodayData!$P:$Y,8,0))),"",VLOOKUP($B25,FFTodayData!$P:$Y,8,0))</f>
        <v>385</v>
      </c>
      <c r="H25" s="64">
        <f>IF(OR(($A25=Settings!$A$30),ISERROR(VLOOKUP($B25,FFTodayData!$P:$Y,9,0))),"",VLOOKUP($B25,FFTodayData!$P:$Y,9,0))</f>
        <v>2</v>
      </c>
      <c r="I25" s="117">
        <f>IF(ISERROR(VLOOKUP($A25,ESPNData!$R:$AE,9,0)),"",VLOOKUP($A25,ESPNData!$R:$AE,9,0))</f>
        <v>931</v>
      </c>
      <c r="J25" s="33">
        <f>IF(ISERROR(VLOOKUP($A25,ESPNData!$R:$AE,10,0)),"",VLOOKUP($A25,ESPNData!$R:$AE,10,0))</f>
        <v>6</v>
      </c>
      <c r="K25" s="33">
        <f>IF(ISERROR(VLOOKUP($A25,ESPNData!$R:$AE,11,0)),"",VLOOKUP($A25,ESPNData!$R:$AE,11,0))</f>
        <v>33</v>
      </c>
      <c r="L25" s="33">
        <f>IF(ISERROR(VLOOKUP($A25,ESPNData!$R:$AE,12,0)),"",VLOOKUP($A25,ESPNData!$R:$AE,12,0))</f>
        <v>253</v>
      </c>
      <c r="M25" s="64">
        <f>IF(ISERROR(VLOOKUP($A25,ESPNData!$R:$AE,13,0)),"",VLOOKUP($A25,ESPNData!$R:$AE,13,0))</f>
        <v>0</v>
      </c>
      <c r="N25" s="115">
        <f>IF(OR(($A25=Settings!$A$30),ISERROR(VLOOKUP($B25,SportslineData!$Q:$AB,4,0))),"",VLOOKUP($B25,SportslineData!$Q:$AB,4,0))</f>
        <v>1188.5</v>
      </c>
      <c r="O25" s="82">
        <f>IF(OR(($A25=Settings!$A$30),ISERROR(VLOOKUP($B25,SportslineData!$Q:$AB,6,0))),"",ROUND(VLOOKUP($B25,SportslineData!$Q:$AB,6,0),0))</f>
        <v>7</v>
      </c>
      <c r="P25" s="82">
        <f>IF(OR(($A25=Settings!$A$30),ISERROR(VLOOKUP($B25,SportslineData!$Q:$AB,7,0))),"",ROUND(VLOOKUP($B25,SportslineData!$Q:$AB,7,0),0))</f>
        <v>35</v>
      </c>
      <c r="Q25" s="82">
        <f>IF(OR(($A25=Settings!$A$30),ISERROR(VLOOKUP($B25,SportslineData!$Q:$AB,8,0))),"",VLOOKUP($B25,SportslineData!$Q:$AB,8,0))</f>
        <v>242</v>
      </c>
      <c r="R25" s="82">
        <f>IF(OR(($A25=Settings!$A$30),ISERROR(VLOOKUP($B25,SportslineData!$Q:$AB,10,0))),"",ROUND(VLOOKUP($B25,SportslineData!$Q:$AB,10,0),0))</f>
        <v>1</v>
      </c>
      <c r="S25" s="74">
        <f>IF(OR(($A25=Settings!$A$30),ISERROR(VLOOKUP($B25,SportslineData!$Q:$AB,11,0))),"",ROUND(VLOOKUP($B25,SportslineData!$Q:$AB,11,0),0))</f>
        <v>2</v>
      </c>
      <c r="T25" s="117"/>
      <c r="U25" s="131">
        <f t="shared" si="2"/>
        <v>36</v>
      </c>
      <c r="V25" s="38">
        <f>IF(ISERROR(ROUND((((((ROUNDDOWN((D25/5),0)*Settings!$F$7)+(E25*Settings!$I$7))+(F25*Settings!$I$11))+(ROUNDDOWN((G25/5),0)*Settings!$F$11))+(H25*Settings!$F$12)),1)),0,ROUND((((((ROUNDDOWN((D25/5),0)*Settings!$F$7)+(E25*Settings!$I$7))+(F25*Settings!$I$11))+(ROUNDDOWN((G25/5),0)*Settings!$F$11))+(H25*Settings!$F$12)),1))</f>
        <v>242.5</v>
      </c>
      <c r="W25" s="38">
        <f>IF(ISERROR(ROUND((((((ROUNDDOWN((I25/5),0)*Settings!$F$7)+(J25*Settings!$I$7))+(K25*Settings!$I$11))+(ROUNDDOWN((L25/5),0)*Settings!$F$11))+(M25*Settings!$F$12)),1)),0,ROUND((((((ROUNDDOWN((I25/5),0)*Settings!$F$7)+(J25*Settings!$I$7))+(K25*Settings!$I$11))+(ROUNDDOWN((L25/5),0)*Settings!$F$11))+(M25*Settings!$F$12)),1))</f>
        <v>170.5</v>
      </c>
      <c r="X25" s="38">
        <f>IF(AND((N25=""),(P25="")),0,((((((ROUND((N25/5),0)*Settings!$F$7)+(O25*Settings!$I$7))+(P25*Settings!$I$11))+(ROUND((Q25/5),0)*Settings!$F$11))+(R25*Settings!$F$12))+(S25*Settings!$F$15)))</f>
        <v>206.5</v>
      </c>
      <c r="Y25" s="66">
        <f>ROUND((((V25*Settings!$B$21)+(W25*Settings!$B$22))+(X25*Settings!$B$23)),1)</f>
        <v>206.5</v>
      </c>
      <c r="Z25" s="66">
        <f>IF(ISERROR(VLOOKUP(RANK(Y25,$Y$4:$Y$182),Z$4:Z24,1,0)),RANK(Y25,$Y$4:$Y$182),IF(ISERROR(VLOOKUP((RANK(Y25,$Y$4:$Y$182)+1),Z$4:Z24,1,0)),(RANK(Y25,$Y$4:$Y$182)+1),IF(ISERROR(VLOOKUP((RANK(Y25,$Y$4:$Y$182)+2),Z$4:Z24,1,0)),(RANK(Y25,$Y$4:$Y$182)+2),(RANK(Y25,$Y$4:$Y$182)+3))))</f>
        <v>15</v>
      </c>
      <c r="AA25" t="str">
        <f t="shared" si="3"/>
        <v>Toby Gerhart</v>
      </c>
    </row>
    <row r="26" spans="1:27" ht="12.75" customHeight="1">
      <c r="A26" s="33" t="str">
        <f>ESPNData!R25</f>
        <v>Ray Rice, Bal RB  SSPD</v>
      </c>
      <c r="B26" s="33" t="str">
        <f t="shared" si="0"/>
        <v>Ray Rice</v>
      </c>
      <c r="C26" s="64" t="str">
        <f t="shared" si="1"/>
        <v>BAL</v>
      </c>
      <c r="D26" s="117">
        <f>IF(OR(($A26=Settings!$A$30),ISERROR(VLOOKUP($B26,FFTodayData!$P:$Y,5,0))),"",VLOOKUP($B26,FFTodayData!$P:$Y,5,0))</f>
        <v>976</v>
      </c>
      <c r="E26" s="33">
        <f>IF(OR(($A26=Settings!$A$30),ISERROR(VLOOKUP($B26,FFTodayData!$P:$Y,6,0))),"",VLOOKUP($B26,FFTodayData!$P:$Y,6,0))</f>
        <v>6</v>
      </c>
      <c r="F26" s="33">
        <f>IF(OR(($A26=Settings!$A$30),ISERROR(VLOOKUP($B26,FFTodayData!$P:$Y,7,0))),"",VLOOKUP($B26,FFTodayData!$P:$Y,7,0))</f>
        <v>50</v>
      </c>
      <c r="G26" s="33">
        <f>IF(OR(($A26=Settings!$A$30),ISERROR(VLOOKUP($B26,FFTodayData!$P:$Y,8,0))),"",VLOOKUP($B26,FFTodayData!$P:$Y,8,0))</f>
        <v>387</v>
      </c>
      <c r="H26" s="64">
        <f>IF(OR(($A26=Settings!$A$30),ISERROR(VLOOKUP($B26,FFTodayData!$P:$Y,9,0))),"",VLOOKUP($B26,FFTodayData!$P:$Y,9,0))</f>
        <v>2</v>
      </c>
      <c r="I26" s="117">
        <f>IF(ISERROR(VLOOKUP($A26,ESPNData!$R:$AE,9,0)),"",VLOOKUP($A26,ESPNData!$R:$AE,9,0))</f>
        <v>901</v>
      </c>
      <c r="J26" s="33">
        <f>IF(ISERROR(VLOOKUP($A26,ESPNData!$R:$AE,10,0)),"",VLOOKUP($A26,ESPNData!$R:$AE,10,0))</f>
        <v>6</v>
      </c>
      <c r="K26" s="33">
        <f>IF(ISERROR(VLOOKUP($A26,ESPNData!$R:$AE,11,0)),"",VLOOKUP($A26,ESPNData!$R:$AE,11,0))</f>
        <v>54</v>
      </c>
      <c r="L26" s="33">
        <f>IF(ISERROR(VLOOKUP($A26,ESPNData!$R:$AE,12,0)),"",VLOOKUP($A26,ESPNData!$R:$AE,12,0))</f>
        <v>330</v>
      </c>
      <c r="M26" s="64">
        <f>IF(ISERROR(VLOOKUP($A26,ESPNData!$R:$AE,13,0)),"",VLOOKUP($A26,ESPNData!$R:$AE,13,0))</f>
        <v>1</v>
      </c>
      <c r="N26" s="115">
        <f>IF(OR(($A26=Settings!$A$30),ISERROR(VLOOKUP($B26,SportslineData!$Q:$AB,4,0))),"",VLOOKUP($B26,SportslineData!$Q:$AB,4,0))</f>
        <v>857</v>
      </c>
      <c r="O26" s="82">
        <f>IF(OR(($A26=Settings!$A$30),ISERROR(VLOOKUP($B26,SportslineData!$Q:$AB,6,0))),"",ROUND(VLOOKUP($B26,SportslineData!$Q:$AB,6,0),0))</f>
        <v>6</v>
      </c>
      <c r="P26" s="82">
        <f>IF(OR(($A26=Settings!$A$30),ISERROR(VLOOKUP($B26,SportslineData!$Q:$AB,7,0))),"",ROUND(VLOOKUP($B26,SportslineData!$Q:$AB,7,0),0))</f>
        <v>44</v>
      </c>
      <c r="Q26" s="82">
        <f>IF(OR(($A26=Settings!$A$30),ISERROR(VLOOKUP($B26,SportslineData!$Q:$AB,8,0))),"",VLOOKUP($B26,SportslineData!$Q:$AB,8,0))</f>
        <v>371</v>
      </c>
      <c r="R26" s="82">
        <f>IF(OR(($A26=Settings!$A$30),ISERROR(VLOOKUP($B26,SportslineData!$Q:$AB,10,0))),"",ROUND(VLOOKUP($B26,SportslineData!$Q:$AB,10,0),0))</f>
        <v>2</v>
      </c>
      <c r="S26" s="74">
        <f>IF(OR(($A26=Settings!$A$30),ISERROR(VLOOKUP($B26,SportslineData!$Q:$AB,11,0))),"",ROUND(VLOOKUP($B26,SportslineData!$Q:$AB,11,0),0))</f>
        <v>2</v>
      </c>
      <c r="T26" s="117"/>
      <c r="U26" s="131">
        <f t="shared" si="2"/>
        <v>10.275375094532235</v>
      </c>
      <c r="V26" s="38">
        <f>IF(ISERROR(ROUND((((((ROUNDDOWN((D26/5),0)*Settings!$F$7)+(E26*Settings!$I$7))+(F26*Settings!$I$11))+(ROUNDDOWN((G26/5),0)*Settings!$F$11))+(H26*Settings!$F$12)),1)),0,ROUND((((((ROUNDDOWN((D26/5),0)*Settings!$F$7)+(E26*Settings!$I$7))+(F26*Settings!$I$11))+(ROUNDDOWN((G26/5),0)*Settings!$F$11))+(H26*Settings!$F$12)),1))</f>
        <v>209</v>
      </c>
      <c r="W26" s="38">
        <f>IF(ISERROR(ROUND((((((ROUNDDOWN((I26/5),0)*Settings!$F$7)+(J26*Settings!$I$7))+(K26*Settings!$I$11))+(ROUNDDOWN((L26/5),0)*Settings!$F$11))+(M26*Settings!$F$12)),1)),0,ROUND((((((ROUNDDOWN((I26/5),0)*Settings!$F$7)+(J26*Settings!$I$7))+(K26*Settings!$I$11))+(ROUNDDOWN((L26/5),0)*Settings!$F$11))+(M26*Settings!$F$12)),1))</f>
        <v>192</v>
      </c>
      <c r="X26" s="38">
        <f>IF(AND((N26=""),(P26="")),0,((((((ROUND((N26/5),0)*Settings!$F$7)+(O26*Settings!$I$7))+(P26*Settings!$I$11))+(ROUND((Q26/5),0)*Settings!$F$11))+(R26*Settings!$F$12))+(S26*Settings!$F$15)))</f>
        <v>190.5</v>
      </c>
      <c r="Y26" s="66">
        <f>ROUND((((V26*Settings!$B$21)+(W26*Settings!$B$22))+(X26*Settings!$B$23)),1)</f>
        <v>197.1</v>
      </c>
      <c r="Z26" s="66">
        <f>IF(ISERROR(VLOOKUP(RANK(Y26,$Y$4:$Y$182),Z$4:Z25,1,0)),RANK(Y26,$Y$4:$Y$182),IF(ISERROR(VLOOKUP((RANK(Y26,$Y$4:$Y$182)+1),Z$4:Z25,1,0)),(RANK(Y26,$Y$4:$Y$182)+1),IF(ISERROR(VLOOKUP((RANK(Y26,$Y$4:$Y$182)+2),Z$4:Z25,1,0)),(RANK(Y26,$Y$4:$Y$182)+2),(RANK(Y26,$Y$4:$Y$182)+3))))</f>
        <v>16</v>
      </c>
      <c r="AA26" t="str">
        <f t="shared" si="3"/>
        <v>Ray Rice</v>
      </c>
    </row>
    <row r="27" spans="1:27" ht="12.75" customHeight="1">
      <c r="A27" s="33" t="str">
        <f>ESPNData!R26</f>
        <v>Rashad Jennings, NYG RB</v>
      </c>
      <c r="B27" s="33" t="str">
        <f t="shared" si="0"/>
        <v>Rashad Jennings</v>
      </c>
      <c r="C27" s="64" t="str">
        <f t="shared" si="1"/>
        <v>NYG</v>
      </c>
      <c r="D27" s="117">
        <f>IF(OR(($A27=Settings!$A$30),ISERROR(VLOOKUP($B27,FFTodayData!$P:$Y,5,0))),"",VLOOKUP($B27,FFTodayData!$P:$Y,5,0))</f>
        <v>969</v>
      </c>
      <c r="E27" s="33">
        <f>IF(OR(($A27=Settings!$A$30),ISERROR(VLOOKUP($B27,FFTodayData!$P:$Y,6,0))),"",VLOOKUP($B27,FFTodayData!$P:$Y,6,0))</f>
        <v>8</v>
      </c>
      <c r="F27" s="33">
        <f>IF(OR(($A27=Settings!$A$30),ISERROR(VLOOKUP($B27,FFTodayData!$P:$Y,7,0))),"",VLOOKUP($B27,FFTodayData!$P:$Y,7,0))</f>
        <v>40</v>
      </c>
      <c r="G27" s="33">
        <f>IF(OR(($A27=Settings!$A$30),ISERROR(VLOOKUP($B27,FFTodayData!$P:$Y,8,0))),"",VLOOKUP($B27,FFTodayData!$P:$Y,8,0))</f>
        <v>314</v>
      </c>
      <c r="H27" s="64">
        <f>IF(OR(($A27=Settings!$A$30),ISERROR(VLOOKUP($B27,FFTodayData!$P:$Y,9,0))),"",VLOOKUP($B27,FFTodayData!$P:$Y,9,0))</f>
        <v>2</v>
      </c>
      <c r="I27" s="117">
        <f>IF(ISERROR(VLOOKUP($A27,ESPNData!$R:$AE,9,0)),"",VLOOKUP($A27,ESPNData!$R:$AE,9,0))</f>
        <v>960</v>
      </c>
      <c r="J27" s="33">
        <f>IF(ISERROR(VLOOKUP($A27,ESPNData!$R:$AE,10,0)),"",VLOOKUP($A27,ESPNData!$R:$AE,10,0))</f>
        <v>7</v>
      </c>
      <c r="K27" s="33">
        <f>IF(ISERROR(VLOOKUP($A27,ESPNData!$R:$AE,11,0)),"",VLOOKUP($A27,ESPNData!$R:$AE,11,0))</f>
        <v>31</v>
      </c>
      <c r="L27" s="33">
        <f>IF(ISERROR(VLOOKUP($A27,ESPNData!$R:$AE,12,0)),"",VLOOKUP($A27,ESPNData!$R:$AE,12,0))</f>
        <v>218</v>
      </c>
      <c r="M27" s="64">
        <f>IF(ISERROR(VLOOKUP($A27,ESPNData!$R:$AE,13,0)),"",VLOOKUP($A27,ESPNData!$R:$AE,13,0))</f>
        <v>0</v>
      </c>
      <c r="N27" s="115">
        <f>IF(OR(($A27=Settings!$A$30),ISERROR(VLOOKUP($B27,SportslineData!$Q:$AB,4,0))),"",VLOOKUP($B27,SportslineData!$Q:$AB,4,0))</f>
        <v>937</v>
      </c>
      <c r="O27" s="82">
        <f>IF(OR(($A27=Settings!$A$30),ISERROR(VLOOKUP($B27,SportslineData!$Q:$AB,6,0))),"",ROUND(VLOOKUP($B27,SportslineData!$Q:$AB,6,0),0))</f>
        <v>6</v>
      </c>
      <c r="P27" s="82">
        <f>IF(OR(($A27=Settings!$A$30),ISERROR(VLOOKUP($B27,SportslineData!$Q:$AB,7,0))),"",ROUND(VLOOKUP($B27,SportslineData!$Q:$AB,7,0),0))</f>
        <v>40</v>
      </c>
      <c r="Q27" s="82">
        <f>IF(OR(($A27=Settings!$A$30),ISERROR(VLOOKUP($B27,SportslineData!$Q:$AB,8,0))),"",VLOOKUP($B27,SportslineData!$Q:$AB,8,0))</f>
        <v>304</v>
      </c>
      <c r="R27" s="82">
        <f>IF(OR(($A27=Settings!$A$30),ISERROR(VLOOKUP($B27,SportslineData!$Q:$AB,10,0))),"",ROUND(VLOOKUP($B27,SportslineData!$Q:$AB,10,0),0))</f>
        <v>1</v>
      </c>
      <c r="S27" s="74">
        <f>IF(OR(($A27=Settings!$A$30),ISERROR(VLOOKUP($B27,SportslineData!$Q:$AB,11,0))),"",ROUND(VLOOKUP($B27,SportslineData!$Q:$AB,11,0),0))</f>
        <v>3</v>
      </c>
      <c r="T27" s="117"/>
      <c r="U27" s="131">
        <f t="shared" si="2"/>
        <v>16.933694221876099</v>
      </c>
      <c r="V27" s="38">
        <f>IF(ISERROR(ROUND((((((ROUNDDOWN((D27/5),0)*Settings!$F$7)+(E27*Settings!$I$7))+(F27*Settings!$I$11))+(ROUNDDOWN((G27/5),0)*Settings!$F$11))+(H27*Settings!$F$12)),1)),0,ROUND((((((ROUNDDOWN((D27/5),0)*Settings!$F$7)+(E27*Settings!$I$7))+(F27*Settings!$I$11))+(ROUNDDOWN((G27/5),0)*Settings!$F$11))+(H27*Settings!$F$12)),1))</f>
        <v>207.5</v>
      </c>
      <c r="W27" s="38">
        <f>IF(ISERROR(ROUND((((((ROUNDDOWN((I27/5),0)*Settings!$F$7)+(J27*Settings!$I$7))+(K27*Settings!$I$11))+(ROUNDDOWN((L27/5),0)*Settings!$F$11))+(M27*Settings!$F$12)),1)),0,ROUND((((((ROUNDDOWN((I27/5),0)*Settings!$F$7)+(J27*Settings!$I$7))+(K27*Settings!$I$11))+(ROUNDDOWN((L27/5),0)*Settings!$F$11))+(M27*Settings!$F$12)),1))</f>
        <v>175</v>
      </c>
      <c r="X27" s="38">
        <f>IF(AND((N27=""),(P27="")),0,((((((ROUND((N27/5),0)*Settings!$F$7)+(O27*Settings!$I$7))+(P27*Settings!$I$11))+(ROUND((Q27/5),0)*Settings!$F$11))+(R27*Settings!$F$12))+(S27*Settings!$F$15)))</f>
        <v>183</v>
      </c>
      <c r="Y27" s="66">
        <f>ROUND((((V27*Settings!$B$21)+(W27*Settings!$B$22))+(X27*Settings!$B$23)),1)</f>
        <v>188.4</v>
      </c>
      <c r="Z27" s="66">
        <f>IF(ISERROR(VLOOKUP(RANK(Y27,$Y$4:$Y$182),Z$4:Z26,1,0)),RANK(Y27,$Y$4:$Y$182),IF(ISERROR(VLOOKUP((RANK(Y27,$Y$4:$Y$182)+1),Z$4:Z26,1,0)),(RANK(Y27,$Y$4:$Y$182)+1),IF(ISERROR(VLOOKUP((RANK(Y27,$Y$4:$Y$182)+2),Z$4:Z26,1,0)),(RANK(Y27,$Y$4:$Y$182)+2),(RANK(Y27,$Y$4:$Y$182)+3))))</f>
        <v>21</v>
      </c>
      <c r="AA27" t="str">
        <f t="shared" si="3"/>
        <v>Rashad Jennings</v>
      </c>
    </row>
    <row r="28" spans="1:27" ht="12.75" customHeight="1">
      <c r="A28" s="33" t="str">
        <f>ESPNData!R27</f>
        <v>Chris Johnson, NYJ RB</v>
      </c>
      <c r="B28" s="33" t="str">
        <f t="shared" si="0"/>
        <v>Chris Johnson</v>
      </c>
      <c r="C28" s="64" t="str">
        <f t="shared" si="1"/>
        <v>NYJ</v>
      </c>
      <c r="D28" s="117">
        <f>IF(OR(($A28=Settings!$A$30),ISERROR(VLOOKUP($B28,FFTodayData!$P:$Y,5,0))),"",VLOOKUP($B28,FFTodayData!$P:$Y,5,0))</f>
        <v>965</v>
      </c>
      <c r="E28" s="33">
        <f>IF(OR(($A28=Settings!$A$30),ISERROR(VLOOKUP($B28,FFTodayData!$P:$Y,6,0))),"",VLOOKUP($B28,FFTodayData!$P:$Y,6,0))</f>
        <v>6</v>
      </c>
      <c r="F28" s="33">
        <f>IF(OR(($A28=Settings!$A$30),ISERROR(VLOOKUP($B28,FFTodayData!$P:$Y,7,0))),"",VLOOKUP($B28,FFTodayData!$P:$Y,7,0))</f>
        <v>44</v>
      </c>
      <c r="G28" s="33">
        <f>IF(OR(($A28=Settings!$A$30),ISERROR(VLOOKUP($B28,FFTodayData!$P:$Y,8,0))),"",VLOOKUP($B28,FFTodayData!$P:$Y,8,0))</f>
        <v>314</v>
      </c>
      <c r="H28" s="64">
        <f>IF(OR(($A28=Settings!$A$30),ISERROR(VLOOKUP($B28,FFTodayData!$P:$Y,9,0))),"",VLOOKUP($B28,FFTodayData!$P:$Y,9,0))</f>
        <v>2</v>
      </c>
      <c r="I28" s="117">
        <f>IF(ISERROR(VLOOKUP($A28,ESPNData!$R:$AE,9,0)),"",VLOOKUP($A28,ESPNData!$R:$AE,9,0))</f>
        <v>802</v>
      </c>
      <c r="J28" s="33">
        <f>IF(ISERROR(VLOOKUP($A28,ESPNData!$R:$AE,10,0)),"",VLOOKUP($A28,ESPNData!$R:$AE,10,0))</f>
        <v>6</v>
      </c>
      <c r="K28" s="33">
        <f>IF(ISERROR(VLOOKUP($A28,ESPNData!$R:$AE,11,0)),"",VLOOKUP($A28,ESPNData!$R:$AE,11,0))</f>
        <v>38</v>
      </c>
      <c r="L28" s="33">
        <f>IF(ISERROR(VLOOKUP($A28,ESPNData!$R:$AE,12,0)),"",VLOOKUP($A28,ESPNData!$R:$AE,12,0))</f>
        <v>330</v>
      </c>
      <c r="M28" s="64">
        <f>IF(ISERROR(VLOOKUP($A28,ESPNData!$R:$AE,13,0)),"",VLOOKUP($A28,ESPNData!$R:$AE,13,0))</f>
        <v>2</v>
      </c>
      <c r="N28" s="115">
        <f>IF(OR(($A28=Settings!$A$30),ISERROR(VLOOKUP($B28,SportslineData!$Q:$AB,4,0))),"",VLOOKUP($B28,SportslineData!$Q:$AB,4,0))</f>
        <v>1004.5</v>
      </c>
      <c r="O28" s="82">
        <f>IF(OR(($A28=Settings!$A$30),ISERROR(VLOOKUP($B28,SportslineData!$Q:$AB,6,0))),"",ROUND(VLOOKUP($B28,SportslineData!$Q:$AB,6,0),0))</f>
        <v>5</v>
      </c>
      <c r="P28" s="82">
        <f>IF(OR(($A28=Settings!$A$30),ISERROR(VLOOKUP($B28,SportslineData!$Q:$AB,7,0))),"",ROUND(VLOOKUP($B28,SportslineData!$Q:$AB,7,0),0))</f>
        <v>36</v>
      </c>
      <c r="Q28" s="82">
        <f>IF(OR(($A28=Settings!$A$30),ISERROR(VLOOKUP($B28,SportslineData!$Q:$AB,8,0))),"",VLOOKUP($B28,SportslineData!$Q:$AB,8,0))</f>
        <v>271</v>
      </c>
      <c r="R28" s="82">
        <f>IF(OR(($A28=Settings!$A$30),ISERROR(VLOOKUP($B28,SportslineData!$Q:$AB,10,0))),"",ROUND(VLOOKUP($B28,SportslineData!$Q:$AB,10,0),0))</f>
        <v>1</v>
      </c>
      <c r="S28" s="74">
        <f>IF(OR(($A28=Settings!$A$30),ISERROR(VLOOKUP($B28,SportslineData!$Q:$AB,11,0))),"",ROUND(VLOOKUP($B28,SportslineData!$Q:$AB,11,0),0))</f>
        <v>3</v>
      </c>
      <c r="T28" s="117"/>
      <c r="U28" s="131">
        <f t="shared" si="2"/>
        <v>10.563301251660549</v>
      </c>
      <c r="V28" s="38">
        <f>IF(ISERROR(ROUND((((((ROUNDDOWN((D28/5),0)*Settings!$F$7)+(E28*Settings!$I$7))+(F28*Settings!$I$11))+(ROUNDDOWN((G28/5),0)*Settings!$F$11))+(H28*Settings!$F$12)),1)),0,ROUND((((((ROUNDDOWN((D28/5),0)*Settings!$F$7)+(E28*Settings!$I$7))+(F28*Settings!$I$11))+(ROUNDDOWN((G28/5),0)*Settings!$F$11))+(H28*Settings!$F$12)),1))</f>
        <v>197.5</v>
      </c>
      <c r="W28" s="38">
        <f>IF(ISERROR(ROUND((((((ROUNDDOWN((I28/5),0)*Settings!$F$7)+(J28*Settings!$I$7))+(K28*Settings!$I$11))+(ROUNDDOWN((L28/5),0)*Settings!$F$11))+(M28*Settings!$F$12)),1)),0,ROUND((((((ROUNDDOWN((I28/5),0)*Settings!$F$7)+(J28*Settings!$I$7))+(K28*Settings!$I$11))+(ROUNDDOWN((L28/5),0)*Settings!$F$11))+(M28*Settings!$F$12)),1))</f>
        <v>180</v>
      </c>
      <c r="X28" s="38">
        <f>IF(AND((N28=""),(P28="")),0,((((((ROUND((N28/5),0)*Settings!$F$7)+(O28*Settings!$I$7))+(P28*Settings!$I$11))+(ROUND((Q28/5),0)*Settings!$F$11))+(R28*Settings!$F$12))+(S28*Settings!$F$15)))</f>
        <v>178.5</v>
      </c>
      <c r="Y28" s="66">
        <f>ROUND((((V28*Settings!$B$21)+(W28*Settings!$B$22))+(X28*Settings!$B$23)),1)</f>
        <v>185.3</v>
      </c>
      <c r="Z28" s="66">
        <f>IF(ISERROR(VLOOKUP(RANK(Y28,$Y$4:$Y$182),Z$4:Z27,1,0)),RANK(Y28,$Y$4:$Y$182),IF(ISERROR(VLOOKUP((RANK(Y28,$Y$4:$Y$182)+1),Z$4:Z27,1,0)),(RANK(Y28,$Y$4:$Y$182)+1),IF(ISERROR(VLOOKUP((RANK(Y28,$Y$4:$Y$182)+2),Z$4:Z27,1,0)),(RANK(Y28,$Y$4:$Y$182)+2),(RANK(Y28,$Y$4:$Y$182)+3))))</f>
        <v>23</v>
      </c>
      <c r="AA28" t="str">
        <f t="shared" si="3"/>
        <v>Chris Johnson</v>
      </c>
    </row>
    <row r="29" spans="1:27" ht="12.75" customHeight="1">
      <c r="A29" s="33" t="str">
        <f>ESPNData!R28</f>
        <v>Steven Jackson, Atl RB  P</v>
      </c>
      <c r="B29" s="33" t="str">
        <f t="shared" si="0"/>
        <v>Steven Jackson</v>
      </c>
      <c r="C29" s="64" t="str">
        <f t="shared" si="1"/>
        <v>ATL</v>
      </c>
      <c r="D29" s="117">
        <f>IF(OR(($A29=Settings!$A$30),ISERROR(VLOOKUP($B29,FFTodayData!$P:$Y,5,0))),"",VLOOKUP($B29,FFTodayData!$P:$Y,5,0))</f>
        <v>635</v>
      </c>
      <c r="E29" s="33">
        <f>IF(OR(($A29=Settings!$A$30),ISERROR(VLOOKUP($B29,FFTodayData!$P:$Y,6,0))),"",VLOOKUP($B29,FFTodayData!$P:$Y,6,0))</f>
        <v>5</v>
      </c>
      <c r="F29" s="33">
        <f>IF(OR(($A29=Settings!$A$30),ISERROR(VLOOKUP($B29,FFTodayData!$P:$Y,7,0))),"",VLOOKUP($B29,FFTodayData!$P:$Y,7,0))</f>
        <v>35</v>
      </c>
      <c r="G29" s="33">
        <f>IF(OR(($A29=Settings!$A$30),ISERROR(VLOOKUP($B29,FFTodayData!$P:$Y,8,0))),"",VLOOKUP($B29,FFTodayData!$P:$Y,8,0))</f>
        <v>225</v>
      </c>
      <c r="H29" s="64">
        <f>IF(OR(($A29=Settings!$A$30),ISERROR(VLOOKUP($B29,FFTodayData!$P:$Y,9,0))),"",VLOOKUP($B29,FFTodayData!$P:$Y,9,0))</f>
        <v>1</v>
      </c>
      <c r="I29" s="117">
        <f>IF(ISERROR(VLOOKUP($A29,ESPNData!$R:$AE,9,0)),"",VLOOKUP($A29,ESPNData!$R:$AE,9,0))</f>
        <v>877</v>
      </c>
      <c r="J29" s="33">
        <f>IF(ISERROR(VLOOKUP($A29,ESPNData!$R:$AE,10,0)),"",VLOOKUP($A29,ESPNData!$R:$AE,10,0))</f>
        <v>6</v>
      </c>
      <c r="K29" s="33">
        <f>IF(ISERROR(VLOOKUP($A29,ESPNData!$R:$AE,11,0)),"",VLOOKUP($A29,ESPNData!$R:$AE,11,0))</f>
        <v>27</v>
      </c>
      <c r="L29" s="33">
        <f>IF(ISERROR(VLOOKUP($A29,ESPNData!$R:$AE,12,0)),"",VLOOKUP($A29,ESPNData!$R:$AE,12,0))</f>
        <v>221</v>
      </c>
      <c r="M29" s="64">
        <f>IF(ISERROR(VLOOKUP($A29,ESPNData!$R:$AE,13,0)),"",VLOOKUP($A29,ESPNData!$R:$AE,13,0))</f>
        <v>1</v>
      </c>
      <c r="N29" s="115">
        <f>IF(OR(($A29=Settings!$A$30),ISERROR(VLOOKUP($B29,SportslineData!$Q:$AB,4,0))),"",VLOOKUP($B29,SportslineData!$Q:$AB,4,0))</f>
        <v>742</v>
      </c>
      <c r="O29" s="82">
        <f>IF(OR(($A29=Settings!$A$30),ISERROR(VLOOKUP($B29,SportslineData!$Q:$AB,6,0))),"",ROUND(VLOOKUP($B29,SportslineData!$Q:$AB,6,0),0))</f>
        <v>6</v>
      </c>
      <c r="P29" s="82">
        <f>IF(OR(($A29=Settings!$A$30),ISERROR(VLOOKUP($B29,SportslineData!$Q:$AB,7,0))),"",ROUND(VLOOKUP($B29,SportslineData!$Q:$AB,7,0),0))</f>
        <v>29</v>
      </c>
      <c r="Q29" s="82">
        <f>IF(OR(($A29=Settings!$A$30),ISERROR(VLOOKUP($B29,SportslineData!$Q:$AB,8,0))),"",VLOOKUP($B29,SportslineData!$Q:$AB,8,0))</f>
        <v>179.5</v>
      </c>
      <c r="R29" s="82">
        <f>IF(OR(($A29=Settings!$A$30),ISERROR(VLOOKUP($B29,SportslineData!$Q:$AB,10,0))),"",ROUND(VLOOKUP($B29,SportslineData!$Q:$AB,10,0),0))</f>
        <v>1</v>
      </c>
      <c r="S29" s="74">
        <f>IF(OR(($A29=Settings!$A$30),ISERROR(VLOOKUP($B29,SportslineData!$Q:$AB,11,0))),"",ROUND(VLOOKUP($B29,SportslineData!$Q:$AB,11,0),0))</f>
        <v>1</v>
      </c>
      <c r="T29" s="117"/>
      <c r="U29" s="131">
        <f t="shared" si="2"/>
        <v>13.04160010632642</v>
      </c>
      <c r="V29" s="38">
        <f>IF(ISERROR(ROUND((((((ROUNDDOWN((D29/5),0)*Settings!$F$7)+(E29*Settings!$I$7))+(F29*Settings!$I$11))+(ROUNDDOWN((G29/5),0)*Settings!$F$11))+(H29*Settings!$F$12)),1)),0,ROUND((((((ROUNDDOWN((D29/5),0)*Settings!$F$7)+(E29*Settings!$I$7))+(F29*Settings!$I$11))+(ROUNDDOWN((G29/5),0)*Settings!$F$11))+(H29*Settings!$F$12)),1))</f>
        <v>139.5</v>
      </c>
      <c r="W29" s="38">
        <f>IF(ISERROR(ROUND((((((ROUNDDOWN((I29/5),0)*Settings!$F$7)+(J29*Settings!$I$7))+(K29*Settings!$I$11))+(ROUNDDOWN((L29/5),0)*Settings!$F$11))+(M29*Settings!$F$12)),1)),0,ROUND((((((ROUNDDOWN((I29/5),0)*Settings!$F$7)+(J29*Settings!$I$7))+(K29*Settings!$I$11))+(ROUNDDOWN((L29/5),0)*Settings!$F$11))+(M29*Settings!$F$12)),1))</f>
        <v>165</v>
      </c>
      <c r="X29" s="38">
        <f>IF(AND((N29=""),(P29="")),0,((((((ROUND((N29/5),0)*Settings!$F$7)+(O29*Settings!$I$7))+(P29*Settings!$I$11))+(ROUND((Q29/5),0)*Settings!$F$11))+(R29*Settings!$F$12))+(S29*Settings!$F$15)))</f>
        <v>147.5</v>
      </c>
      <c r="Y29" s="66">
        <f>ROUND((((V29*Settings!$B$21)+(W29*Settings!$B$22))+(X29*Settings!$B$23)),1)</f>
        <v>150.6</v>
      </c>
      <c r="Z29" s="66">
        <f>IF(ISERROR(VLOOKUP(RANK(Y29,$Y$4:$Y$182),Z$4:Z28,1,0)),RANK(Y29,$Y$4:$Y$182),IF(ISERROR(VLOOKUP((RANK(Y29,$Y$4:$Y$182)+1),Z$4:Z28,1,0)),(RANK(Y29,$Y$4:$Y$182)+1),IF(ISERROR(VLOOKUP((RANK(Y29,$Y$4:$Y$182)+2),Z$4:Z28,1,0)),(RANK(Y29,$Y$4:$Y$182)+2),(RANK(Y29,$Y$4:$Y$182)+3))))</f>
        <v>33</v>
      </c>
      <c r="AA29" t="str">
        <f t="shared" si="3"/>
        <v>Steven Jackson</v>
      </c>
    </row>
    <row r="30" spans="1:27" ht="12.75" customHeight="1">
      <c r="A30" s="33" t="str">
        <f>ESPNData!R29</f>
        <v>Joique Bell, Det RB</v>
      </c>
      <c r="B30" s="33" t="str">
        <f t="shared" si="0"/>
        <v>Joique Bell</v>
      </c>
      <c r="C30" s="64" t="str">
        <f t="shared" si="1"/>
        <v>DET</v>
      </c>
      <c r="D30" s="117">
        <f>IF(OR(($A30=Settings!$A$30),ISERROR(VLOOKUP($B30,FFTodayData!$P:$Y,5,0))),"",VLOOKUP($B30,FFTodayData!$P:$Y,5,0))</f>
        <v>887</v>
      </c>
      <c r="E30" s="33">
        <f>IF(OR(($A30=Settings!$A$30),ISERROR(VLOOKUP($B30,FFTodayData!$P:$Y,6,0))),"",VLOOKUP($B30,FFTodayData!$P:$Y,6,0))</f>
        <v>6</v>
      </c>
      <c r="F30" s="33">
        <f>IF(OR(($A30=Settings!$A$30),ISERROR(VLOOKUP($B30,FFTodayData!$P:$Y,7,0))),"",VLOOKUP($B30,FFTodayData!$P:$Y,7,0))</f>
        <v>40</v>
      </c>
      <c r="G30" s="33">
        <f>IF(OR(($A30=Settings!$A$30),ISERROR(VLOOKUP($B30,FFTodayData!$P:$Y,8,0))),"",VLOOKUP($B30,FFTodayData!$P:$Y,8,0))</f>
        <v>335</v>
      </c>
      <c r="H30" s="64">
        <f>IF(OR(($A30=Settings!$A$30),ISERROR(VLOOKUP($B30,FFTodayData!$P:$Y,9,0))),"",VLOOKUP($B30,FFTodayData!$P:$Y,9,0))</f>
        <v>2</v>
      </c>
      <c r="I30" s="117">
        <f>IF(ISERROR(VLOOKUP($A30,ESPNData!$R:$AE,9,0)),"",VLOOKUP($A30,ESPNData!$R:$AE,9,0))</f>
        <v>812</v>
      </c>
      <c r="J30" s="33">
        <f>IF(ISERROR(VLOOKUP($A30,ESPNData!$R:$AE,10,0)),"",VLOOKUP($A30,ESPNData!$R:$AE,10,0))</f>
        <v>6</v>
      </c>
      <c r="K30" s="33">
        <f>IF(ISERROR(VLOOKUP($A30,ESPNData!$R:$AE,11,0)),"",VLOOKUP($A30,ESPNData!$R:$AE,11,0))</f>
        <v>43</v>
      </c>
      <c r="L30" s="33">
        <f>IF(ISERROR(VLOOKUP($A30,ESPNData!$R:$AE,12,0)),"",VLOOKUP($A30,ESPNData!$R:$AE,12,0))</f>
        <v>417</v>
      </c>
      <c r="M30" s="64">
        <f>IF(ISERROR(VLOOKUP($A30,ESPNData!$R:$AE,13,0)),"",VLOOKUP($A30,ESPNData!$R:$AE,13,0))</f>
        <v>1</v>
      </c>
      <c r="N30" s="115">
        <f>IF(OR(($A30=Settings!$A$30),ISERROR(VLOOKUP($B30,SportslineData!$Q:$AB,4,0))),"",VLOOKUP($B30,SportslineData!$Q:$AB,4,0))</f>
        <v>889.5</v>
      </c>
      <c r="O30" s="82">
        <f>IF(OR(($A30=Settings!$A$30),ISERROR(VLOOKUP($B30,SportslineData!$Q:$AB,6,0))),"",ROUND(VLOOKUP($B30,SportslineData!$Q:$AB,6,0),0))</f>
        <v>8</v>
      </c>
      <c r="P30" s="82">
        <f>IF(OR(($A30=Settings!$A$30),ISERROR(VLOOKUP($B30,SportslineData!$Q:$AB,7,0))),"",ROUND(VLOOKUP($B30,SportslineData!$Q:$AB,7,0),0))</f>
        <v>44</v>
      </c>
      <c r="Q30" s="82">
        <f>IF(OR(($A30=Settings!$A$30),ISERROR(VLOOKUP($B30,SportslineData!$Q:$AB,8,0))),"",VLOOKUP($B30,SportslineData!$Q:$AB,8,0))</f>
        <v>351.5</v>
      </c>
      <c r="R30" s="82">
        <f>IF(OR(($A30=Settings!$A$30),ISERROR(VLOOKUP($B30,SportslineData!$Q:$AB,10,0))),"",ROUND(VLOOKUP($B30,SportslineData!$Q:$AB,10,0),0))</f>
        <v>1</v>
      </c>
      <c r="S30" s="74">
        <f>IF(OR(($A30=Settings!$A$30),ISERROR(VLOOKUP($B30,SportslineData!$Q:$AB,11,0))),"",ROUND(VLOOKUP($B30,SportslineData!$Q:$AB,11,0),0))</f>
        <v>3</v>
      </c>
      <c r="T30" s="117"/>
      <c r="U30" s="131">
        <f t="shared" si="2"/>
        <v>5.5677643628300215</v>
      </c>
      <c r="V30" s="38">
        <f>IF(ISERROR(ROUND((((((ROUNDDOWN((D30/5),0)*Settings!$F$7)+(E30*Settings!$I$7))+(F30*Settings!$I$11))+(ROUNDDOWN((G30/5),0)*Settings!$F$11))+(H30*Settings!$F$12)),1)),0,ROUND((((((ROUNDDOWN((D30/5),0)*Settings!$F$7)+(E30*Settings!$I$7))+(F30*Settings!$I$11))+(ROUNDDOWN((G30/5),0)*Settings!$F$11))+(H30*Settings!$F$12)),1))</f>
        <v>190</v>
      </c>
      <c r="W30" s="38">
        <f>IF(ISERROR(ROUND((((((ROUNDDOWN((I30/5),0)*Settings!$F$7)+(J30*Settings!$I$7))+(K30*Settings!$I$11))+(ROUNDDOWN((L30/5),0)*Settings!$F$11))+(M30*Settings!$F$12)),1)),0,ROUND((((((ROUNDDOWN((I30/5),0)*Settings!$F$7)+(J30*Settings!$I$7))+(K30*Settings!$I$11))+(ROUNDDOWN((L30/5),0)*Settings!$F$11))+(M30*Settings!$F$12)),1))</f>
        <v>186</v>
      </c>
      <c r="X30" s="38">
        <f>IF(AND((N30=""),(P30="")),0,((((((ROUND((N30/5),0)*Settings!$F$7)+(O30*Settings!$I$7))+(P30*Settings!$I$11))+(ROUND((Q30/5),0)*Settings!$F$11))+(R30*Settings!$F$12))+(S30*Settings!$F$15)))</f>
        <v>197</v>
      </c>
      <c r="Y30" s="66">
        <f>ROUND((((V30*Settings!$B$21)+(W30*Settings!$B$22))+(X30*Settings!$B$23)),1)</f>
        <v>191.1</v>
      </c>
      <c r="Z30" s="66">
        <f>IF(ISERROR(VLOOKUP(RANK(Y30,$Y$4:$Y$182),Z$4:Z29,1,0)),RANK(Y30,$Y$4:$Y$182),IF(ISERROR(VLOOKUP((RANK(Y30,$Y$4:$Y$182)+1),Z$4:Z29,1,0)),(RANK(Y30,$Y$4:$Y$182)+1),IF(ISERROR(VLOOKUP((RANK(Y30,$Y$4:$Y$182)+2),Z$4:Z29,1,0)),(RANK(Y30,$Y$4:$Y$182)+2),(RANK(Y30,$Y$4:$Y$182)+3))))</f>
        <v>20</v>
      </c>
      <c r="AA30" t="str">
        <f t="shared" si="3"/>
        <v>Joique Bell</v>
      </c>
    </row>
    <row r="31" spans="1:27" ht="12.75" customHeight="1">
      <c r="A31" s="33" t="str">
        <f>ESPNData!R30</f>
        <v>Shane Vereen, NE RB</v>
      </c>
      <c r="B31" s="33" t="str">
        <f t="shared" si="0"/>
        <v>Shane Vereen</v>
      </c>
      <c r="C31" s="64" t="str">
        <f t="shared" si="1"/>
        <v>NE</v>
      </c>
      <c r="D31" s="117">
        <f>IF(OR(($A31=Settings!$A$30),ISERROR(VLOOKUP($B31,FFTodayData!$P:$Y,5,0))),"",VLOOKUP($B31,FFTodayData!$P:$Y,5,0))</f>
        <v>535</v>
      </c>
      <c r="E31" s="33">
        <f>IF(OR(($A31=Settings!$A$30),ISERROR(VLOOKUP($B31,FFTodayData!$P:$Y,6,0))),"",VLOOKUP($B31,FFTodayData!$P:$Y,6,0))</f>
        <v>2</v>
      </c>
      <c r="F31" s="33">
        <f>IF(OR(($A31=Settings!$A$30),ISERROR(VLOOKUP($B31,FFTodayData!$P:$Y,7,0))),"",VLOOKUP($B31,FFTodayData!$P:$Y,7,0))</f>
        <v>65</v>
      </c>
      <c r="G31" s="33">
        <f>IF(OR(($A31=Settings!$A$30),ISERROR(VLOOKUP($B31,FFTodayData!$P:$Y,8,0))),"",VLOOKUP($B31,FFTodayData!$P:$Y,8,0))</f>
        <v>545</v>
      </c>
      <c r="H31" s="64">
        <f>IF(OR(($A31=Settings!$A$30),ISERROR(VLOOKUP($B31,FFTodayData!$P:$Y,9,0))),"",VLOOKUP($B31,FFTodayData!$P:$Y,9,0))</f>
        <v>3</v>
      </c>
      <c r="I31" s="117">
        <f>IF(ISERROR(VLOOKUP($A31,ESPNData!$R:$AE,9,0)),"",VLOOKUP($A31,ESPNData!$R:$AE,9,0))</f>
        <v>436</v>
      </c>
      <c r="J31" s="33">
        <f>IF(ISERROR(VLOOKUP($A31,ESPNData!$R:$AE,10,0)),"",VLOOKUP($A31,ESPNData!$R:$AE,10,0))</f>
        <v>2</v>
      </c>
      <c r="K31" s="33">
        <f>IF(ISERROR(VLOOKUP($A31,ESPNData!$R:$AE,11,0)),"",VLOOKUP($A31,ESPNData!$R:$AE,11,0))</f>
        <v>72</v>
      </c>
      <c r="L31" s="33">
        <f>IF(ISERROR(VLOOKUP($A31,ESPNData!$R:$AE,12,0)),"",VLOOKUP($A31,ESPNData!$R:$AE,12,0))</f>
        <v>687</v>
      </c>
      <c r="M31" s="64">
        <f>IF(ISERROR(VLOOKUP($A31,ESPNData!$R:$AE,13,0)),"",VLOOKUP($A31,ESPNData!$R:$AE,13,0))</f>
        <v>4</v>
      </c>
      <c r="N31" s="115">
        <f>IF(OR(($A31=Settings!$A$30),ISERROR(VLOOKUP($B31,SportslineData!$Q:$AB,4,0))),"",VLOOKUP($B31,SportslineData!$Q:$AB,4,0))</f>
        <v>642</v>
      </c>
      <c r="O31" s="82">
        <f>IF(OR(($A31=Settings!$A$30),ISERROR(VLOOKUP($B31,SportslineData!$Q:$AB,6,0))),"",ROUND(VLOOKUP($B31,SportslineData!$Q:$AB,6,0),0))</f>
        <v>3</v>
      </c>
      <c r="P31" s="82">
        <f>IF(OR(($A31=Settings!$A$30),ISERROR(VLOOKUP($B31,SportslineData!$Q:$AB,7,0))),"",ROUND(VLOOKUP($B31,SportslineData!$Q:$AB,7,0),0))</f>
        <v>65</v>
      </c>
      <c r="Q31" s="82">
        <f>IF(OR(($A31=Settings!$A$30),ISERROR(VLOOKUP($B31,SportslineData!$Q:$AB,8,0))),"",VLOOKUP($B31,SportslineData!$Q:$AB,8,0))</f>
        <v>598</v>
      </c>
      <c r="R31" s="82">
        <f>IF(OR(($A31=Settings!$A$30),ISERROR(VLOOKUP($B31,SportslineData!$Q:$AB,10,0))),"",ROUND(VLOOKUP($B31,SportslineData!$Q:$AB,10,0),0))</f>
        <v>5</v>
      </c>
      <c r="S31" s="74">
        <f>IF(OR(($A31=Settings!$A$30),ISERROR(VLOOKUP($B31,SportslineData!$Q:$AB,11,0))),"",ROUND(VLOOKUP($B31,SportslineData!$Q:$AB,11,0),0))</f>
        <v>1</v>
      </c>
      <c r="T31" s="117"/>
      <c r="U31" s="131">
        <f t="shared" si="2"/>
        <v>16.590660023037056</v>
      </c>
      <c r="V31" s="38">
        <f>IF(ISERROR(ROUND((((((ROUNDDOWN((D31/5),0)*Settings!$F$7)+(E31*Settings!$I$7))+(F31*Settings!$I$11))+(ROUNDDOWN((G31/5),0)*Settings!$F$11))+(H31*Settings!$F$12)),1)),0,ROUND((((((ROUNDDOWN((D31/5),0)*Settings!$F$7)+(E31*Settings!$I$7))+(F31*Settings!$I$11))+(ROUNDDOWN((G31/5),0)*Settings!$F$11))+(H31*Settings!$F$12)),1))</f>
        <v>170.5</v>
      </c>
      <c r="W31" s="38">
        <f>IF(ISERROR(ROUND((((((ROUNDDOWN((I31/5),0)*Settings!$F$7)+(J31*Settings!$I$7))+(K31*Settings!$I$11))+(ROUNDDOWN((L31/5),0)*Settings!$F$11))+(M31*Settings!$F$12)),1)),0,ROUND((((((ROUNDDOWN((I31/5),0)*Settings!$F$7)+(J31*Settings!$I$7))+(K31*Settings!$I$11))+(ROUNDDOWN((L31/5),0)*Settings!$F$11))+(M31*Settings!$F$12)),1))</f>
        <v>184</v>
      </c>
      <c r="X31" s="38">
        <f>IF(AND((N31=""),(P31="")),0,((((((ROUND((N31/5),0)*Settings!$F$7)+(O31*Settings!$I$7))+(P31*Settings!$I$11))+(ROUND((Q31/5),0)*Settings!$F$11))+(R31*Settings!$F$12))+(S31*Settings!$F$15)))</f>
        <v>203.5</v>
      </c>
      <c r="Y31" s="66">
        <f>ROUND((((V31*Settings!$B$21)+(W31*Settings!$B$22))+(X31*Settings!$B$23)),1)</f>
        <v>186.2</v>
      </c>
      <c r="Z31" s="66">
        <f>IF(ISERROR(VLOOKUP(RANK(Y31,$Y$4:$Y$182),Z$4:Z30,1,0)),RANK(Y31,$Y$4:$Y$182),IF(ISERROR(VLOOKUP((RANK(Y31,$Y$4:$Y$182)+1),Z$4:Z30,1,0)),(RANK(Y31,$Y$4:$Y$182)+1),IF(ISERROR(VLOOKUP((RANK(Y31,$Y$4:$Y$182)+2),Z$4:Z30,1,0)),(RANK(Y31,$Y$4:$Y$182)+2),(RANK(Y31,$Y$4:$Y$182)+3))))</f>
        <v>22</v>
      </c>
      <c r="AA31" t="str">
        <f t="shared" si="3"/>
        <v>Shane Vereen</v>
      </c>
    </row>
    <row r="32" spans="1:27" ht="12.75" customHeight="1">
      <c r="A32" s="33" t="str">
        <f>ESPNData!R31</f>
        <v>Stevan Ridley, NE RB</v>
      </c>
      <c r="B32" s="33" t="str">
        <f t="shared" si="0"/>
        <v>Stevan Ridley</v>
      </c>
      <c r="C32" s="64" t="str">
        <f t="shared" si="1"/>
        <v>NE</v>
      </c>
      <c r="D32" s="117">
        <f>IF(OR(($A32=Settings!$A$30),ISERROR(VLOOKUP($B32,FFTodayData!$P:$Y,5,0))),"",VLOOKUP($B32,FFTodayData!$P:$Y,5,0))</f>
        <v>878</v>
      </c>
      <c r="E32" s="33">
        <f>IF(OR(($A32=Settings!$A$30),ISERROR(VLOOKUP($B32,FFTodayData!$P:$Y,6,0))),"",VLOOKUP($B32,FFTodayData!$P:$Y,6,0))</f>
        <v>8</v>
      </c>
      <c r="F32" s="33">
        <f>IF(OR(($A32=Settings!$A$30),ISERROR(VLOOKUP($B32,FFTodayData!$P:$Y,7,0))),"",VLOOKUP($B32,FFTodayData!$P:$Y,7,0))</f>
        <v>9</v>
      </c>
      <c r="G32" s="33">
        <f>IF(OR(($A32=Settings!$A$30),ISERROR(VLOOKUP($B32,FFTodayData!$P:$Y,8,0))),"",VLOOKUP($B32,FFTodayData!$P:$Y,8,0))</f>
        <v>57</v>
      </c>
      <c r="H32" s="64">
        <f>IF(OR(($A32=Settings!$A$30),ISERROR(VLOOKUP($B32,FFTodayData!$P:$Y,9,0))),"",VLOOKUP($B32,FFTodayData!$P:$Y,9,0))</f>
        <v>0</v>
      </c>
      <c r="I32" s="117">
        <f>IF(ISERROR(VLOOKUP($A32,ESPNData!$R:$AE,9,0)),"",VLOOKUP($A32,ESPNData!$R:$AE,9,0))</f>
        <v>1107</v>
      </c>
      <c r="J32" s="33">
        <f>IF(ISERROR(VLOOKUP($A32,ESPNData!$R:$AE,10,0)),"",VLOOKUP($A32,ESPNData!$R:$AE,10,0))</f>
        <v>8</v>
      </c>
      <c r="K32" s="33">
        <f>IF(ISERROR(VLOOKUP($A32,ESPNData!$R:$AE,11,0)),"",VLOOKUP($A32,ESPNData!$R:$AE,11,0))</f>
        <v>8</v>
      </c>
      <c r="L32" s="33">
        <f>IF(ISERROR(VLOOKUP($A32,ESPNData!$R:$AE,12,0)),"",VLOOKUP($A32,ESPNData!$R:$AE,12,0))</f>
        <v>60</v>
      </c>
      <c r="M32" s="64">
        <f>IF(ISERROR(VLOOKUP($A32,ESPNData!$R:$AE,13,0)),"",VLOOKUP($A32,ESPNData!$R:$AE,13,0))</f>
        <v>0</v>
      </c>
      <c r="N32" s="115">
        <f>IF(OR(($A32=Settings!$A$30),ISERROR(VLOOKUP($B32,SportslineData!$Q:$AB,4,0))),"",VLOOKUP($B32,SportslineData!$Q:$AB,4,0))</f>
        <v>994.5</v>
      </c>
      <c r="O32" s="82">
        <f>IF(OR(($A32=Settings!$A$30),ISERROR(VLOOKUP($B32,SportslineData!$Q:$AB,6,0))),"",ROUND(VLOOKUP($B32,SportslineData!$Q:$AB,6,0),0))</f>
        <v>8</v>
      </c>
      <c r="P32" s="82">
        <f>IF(OR(($A32=Settings!$A$30),ISERROR(VLOOKUP($B32,SportslineData!$Q:$AB,7,0))),"",ROUND(VLOOKUP($B32,SportslineData!$Q:$AB,7,0),0))</f>
        <v>9</v>
      </c>
      <c r="Q32" s="82">
        <f>IF(OR(($A32=Settings!$A$30),ISERROR(VLOOKUP($B32,SportslineData!$Q:$AB,8,0))),"",VLOOKUP($B32,SportslineData!$Q:$AB,8,0))</f>
        <v>56.5</v>
      </c>
      <c r="R32" s="82">
        <f>IF(OR(($A32=Settings!$A$30),ISERROR(VLOOKUP($B32,SportslineData!$Q:$AB,10,0))),"",ROUND(VLOOKUP($B32,SportslineData!$Q:$AB,10,0),0))</f>
        <v>0</v>
      </c>
      <c r="S32" s="74">
        <f>IF(OR(($A32=Settings!$A$30),ISERROR(VLOOKUP($B32,SportslineData!$Q:$AB,11,0))),"",ROUND(VLOOKUP($B32,SportslineData!$Q:$AB,11,0),0))</f>
        <v>2</v>
      </c>
      <c r="T32" s="117"/>
      <c r="U32" s="131">
        <f t="shared" si="2"/>
        <v>11.532562594670797</v>
      </c>
      <c r="V32" s="38">
        <f>IF(ISERROR(ROUND((((((ROUNDDOWN((D32/5),0)*Settings!$F$7)+(E32*Settings!$I$7))+(F32*Settings!$I$11))+(ROUNDDOWN((G32/5),0)*Settings!$F$11))+(H32*Settings!$F$12)),1)),0,ROUND((((((ROUNDDOWN((D32/5),0)*Settings!$F$7)+(E32*Settings!$I$7))+(F32*Settings!$I$11))+(ROUNDDOWN((G32/5),0)*Settings!$F$11))+(H32*Settings!$F$12)),1))</f>
        <v>145.5</v>
      </c>
      <c r="W32" s="38">
        <f>IF(ISERROR(ROUND((((((ROUNDDOWN((I32/5),0)*Settings!$F$7)+(J32*Settings!$I$7))+(K32*Settings!$I$11))+(ROUNDDOWN((L32/5),0)*Settings!$F$11))+(M32*Settings!$F$12)),1)),0,ROUND((((((ROUNDDOWN((I32/5),0)*Settings!$F$7)+(J32*Settings!$I$7))+(K32*Settings!$I$11))+(ROUNDDOWN((L32/5),0)*Settings!$F$11))+(M32*Settings!$F$12)),1))</f>
        <v>168.5</v>
      </c>
      <c r="X32" s="38">
        <f>IF(AND((N32=""),(P32="")),0,((((((ROUND((N32/5),0)*Settings!$F$7)+(O32*Settings!$I$7))+(P32*Settings!$I$11))+(ROUND((Q32/5),0)*Settings!$F$11))+(R32*Settings!$F$12))+(S32*Settings!$F$15)))</f>
        <v>155.5</v>
      </c>
      <c r="Y32" s="66">
        <f>ROUND((((V32*Settings!$B$21)+(W32*Settings!$B$22))+(X32*Settings!$B$23)),1)</f>
        <v>156.5</v>
      </c>
      <c r="Z32" s="66">
        <f>IF(ISERROR(VLOOKUP(RANK(Y32,$Y$4:$Y$182),Z$4:Z31,1,0)),RANK(Y32,$Y$4:$Y$182),IF(ISERROR(VLOOKUP((RANK(Y32,$Y$4:$Y$182)+1),Z$4:Z31,1,0)),(RANK(Y32,$Y$4:$Y$182)+1),IF(ISERROR(VLOOKUP((RANK(Y32,$Y$4:$Y$182)+2),Z$4:Z31,1,0)),(RANK(Y32,$Y$4:$Y$182)+2),(RANK(Y32,$Y$4:$Y$182)+3))))</f>
        <v>30</v>
      </c>
      <c r="AA32" t="str">
        <f t="shared" si="3"/>
        <v>Stevan Ridley</v>
      </c>
    </row>
    <row r="33" spans="1:27" ht="12.75" customHeight="1">
      <c r="A33" s="33" t="str">
        <f>ESPNData!R32</f>
        <v>Bishop Sankey, Ten RB</v>
      </c>
      <c r="B33" s="33" t="str">
        <f t="shared" si="0"/>
        <v>Bishop Sankey</v>
      </c>
      <c r="C33" s="64" t="str">
        <f t="shared" si="1"/>
        <v>TEN</v>
      </c>
      <c r="D33" s="117">
        <f>IF(OR(($A33=Settings!$A$30),ISERROR(VLOOKUP($B33,FFTodayData!$P:$Y,5,0))),"",VLOOKUP($B33,FFTodayData!$P:$Y,5,0))</f>
        <v>1060</v>
      </c>
      <c r="E33" s="33">
        <f>IF(OR(($A33=Settings!$A$30),ISERROR(VLOOKUP($B33,FFTodayData!$P:$Y,6,0))),"",VLOOKUP($B33,FFTodayData!$P:$Y,6,0))</f>
        <v>7</v>
      </c>
      <c r="F33" s="33">
        <f>IF(OR(($A33=Settings!$A$30),ISERROR(VLOOKUP($B33,FFTodayData!$P:$Y,7,0))),"",VLOOKUP($B33,FFTodayData!$P:$Y,7,0))</f>
        <v>44</v>
      </c>
      <c r="G33" s="33">
        <f>IF(OR(($A33=Settings!$A$30),ISERROR(VLOOKUP($B33,FFTodayData!$P:$Y,8,0))),"",VLOOKUP($B33,FFTodayData!$P:$Y,8,0))</f>
        <v>314</v>
      </c>
      <c r="H33" s="64">
        <f>IF(OR(($A33=Settings!$A$30),ISERROR(VLOOKUP($B33,FFTodayData!$P:$Y,9,0))),"",VLOOKUP($B33,FFTodayData!$P:$Y,9,0))</f>
        <v>2</v>
      </c>
      <c r="I33" s="117">
        <f>IF(ISERROR(VLOOKUP($A33,ESPNData!$R:$AE,9,0)),"",VLOOKUP($A33,ESPNData!$R:$AE,9,0))</f>
        <v>745</v>
      </c>
      <c r="J33" s="33">
        <f>IF(ISERROR(VLOOKUP($A33,ESPNData!$R:$AE,10,0)),"",VLOOKUP($A33,ESPNData!$R:$AE,10,0))</f>
        <v>5</v>
      </c>
      <c r="K33" s="33">
        <f>IF(ISERROR(VLOOKUP($A33,ESPNData!$R:$AE,11,0)),"",VLOOKUP($A33,ESPNData!$R:$AE,11,0))</f>
        <v>26</v>
      </c>
      <c r="L33" s="33">
        <f>IF(ISERROR(VLOOKUP($A33,ESPNData!$R:$AE,12,0)),"",VLOOKUP($A33,ESPNData!$R:$AE,12,0))</f>
        <v>191</v>
      </c>
      <c r="M33" s="64">
        <f>IF(ISERROR(VLOOKUP($A33,ESPNData!$R:$AE,13,0)),"",VLOOKUP($A33,ESPNData!$R:$AE,13,0))</f>
        <v>1</v>
      </c>
      <c r="N33" s="115">
        <f>IF(OR(($A33=Settings!$A$30),ISERROR(VLOOKUP($B33,SportslineData!$Q:$AB,4,0))),"",VLOOKUP($B33,SportslineData!$Q:$AB,4,0))</f>
        <v>1173</v>
      </c>
      <c r="O33" s="82">
        <f>IF(OR(($A33=Settings!$A$30),ISERROR(VLOOKUP($B33,SportslineData!$Q:$AB,6,0))),"",ROUND(VLOOKUP($B33,SportslineData!$Q:$AB,6,0),0))</f>
        <v>6</v>
      </c>
      <c r="P33" s="82">
        <f>IF(OR(($A33=Settings!$A$30),ISERROR(VLOOKUP($B33,SportslineData!$Q:$AB,7,0))),"",ROUND(VLOOKUP($B33,SportslineData!$Q:$AB,7,0),0))</f>
        <v>31</v>
      </c>
      <c r="Q33" s="82">
        <f>IF(OR(($A33=Settings!$A$30),ISERROR(VLOOKUP($B33,SportslineData!$Q:$AB,8,0))),"",VLOOKUP($B33,SportslineData!$Q:$AB,8,0))</f>
        <v>248.5</v>
      </c>
      <c r="R33" s="82">
        <f>IF(OR(($A33=Settings!$A$30),ISERROR(VLOOKUP($B33,SportslineData!$Q:$AB,10,0))),"",ROUND(VLOOKUP($B33,SportslineData!$Q:$AB,10,0),0))</f>
        <v>1</v>
      </c>
      <c r="S33" s="74">
        <f>IF(OR(($A33=Settings!$A$30),ISERROR(VLOOKUP($B33,SportslineData!$Q:$AB,11,0))),"",ROUND(VLOOKUP($B33,SportslineData!$Q:$AB,11,0),0))</f>
        <v>2</v>
      </c>
      <c r="T33" s="117"/>
      <c r="U33" s="131">
        <f t="shared" si="2"/>
        <v>37.138255209419839</v>
      </c>
      <c r="V33" s="38">
        <f>IF(ISERROR(ROUND((((((ROUNDDOWN((D33/5),0)*Settings!$F$7)+(E33*Settings!$I$7))+(F33*Settings!$I$11))+(ROUNDDOWN((G33/5),0)*Settings!$F$11))+(H33*Settings!$F$12)),1)),0,ROUND((((((ROUNDDOWN((D33/5),0)*Settings!$F$7)+(E33*Settings!$I$7))+(F33*Settings!$I$11))+(ROUNDDOWN((G33/5),0)*Settings!$F$11))+(H33*Settings!$F$12)),1))</f>
        <v>213</v>
      </c>
      <c r="W33" s="38">
        <f>IF(ISERROR(ROUND((((((ROUNDDOWN((I33/5),0)*Settings!$F$7)+(J33*Settings!$I$7))+(K33*Settings!$I$11))+(ROUNDDOWN((L33/5),0)*Settings!$F$11))+(M33*Settings!$F$12)),1)),0,ROUND((((((ROUNDDOWN((I33/5),0)*Settings!$F$7)+(J33*Settings!$I$7))+(K33*Settings!$I$11))+(ROUNDDOWN((L33/5),0)*Settings!$F$11))+(M33*Settings!$F$12)),1))</f>
        <v>142.5</v>
      </c>
      <c r="X33" s="38">
        <f>IF(AND((N33=""),(P33="")),0,((((((ROUND((N33/5),0)*Settings!$F$7)+(O33*Settings!$I$7))+(P33*Settings!$I$11))+(ROUND((Q33/5),0)*Settings!$F$11))+(R33*Settings!$F$12))+(S33*Settings!$F$15)))</f>
        <v>198</v>
      </c>
      <c r="Y33" s="66">
        <f>ROUND((((V33*Settings!$B$21)+(W33*Settings!$B$22))+(X33*Settings!$B$23)),1)</f>
        <v>184.6</v>
      </c>
      <c r="Z33" s="66">
        <f>IF(ISERROR(VLOOKUP(RANK(Y33,$Y$4:$Y$182),Z$4:Z32,1,0)),RANK(Y33,$Y$4:$Y$182),IF(ISERROR(VLOOKUP((RANK(Y33,$Y$4:$Y$182)+1),Z$4:Z32,1,0)),(RANK(Y33,$Y$4:$Y$182)+1),IF(ISERROR(VLOOKUP((RANK(Y33,$Y$4:$Y$182)+2),Z$4:Z32,1,0)),(RANK(Y33,$Y$4:$Y$182)+2),(RANK(Y33,$Y$4:$Y$182)+3))))</f>
        <v>24</v>
      </c>
      <c r="AA33" t="str">
        <f t="shared" si="3"/>
        <v>Bishop Sankey</v>
      </c>
    </row>
    <row r="34" spans="1:27" ht="12.75" customHeight="1">
      <c r="A34" s="33" t="str">
        <f>ESPNData!R33</f>
        <v>Pierre Thomas, NO RB</v>
      </c>
      <c r="B34" s="33" t="str">
        <f t="shared" si="0"/>
        <v>Pierre Thomas</v>
      </c>
      <c r="C34" s="64" t="str">
        <f t="shared" si="1"/>
        <v>NO</v>
      </c>
      <c r="D34" s="117">
        <f>IF(OR(($A34=Settings!$A$30),ISERROR(VLOOKUP($B34,FFTodayData!$P:$Y,5,0))),"",VLOOKUP($B34,FFTodayData!$P:$Y,5,0))</f>
        <v>533</v>
      </c>
      <c r="E34" s="33">
        <f>IF(OR(($A34=Settings!$A$30),ISERROR(VLOOKUP($B34,FFTodayData!$P:$Y,6,0))),"",VLOOKUP($B34,FFTodayData!$P:$Y,6,0))</f>
        <v>4</v>
      </c>
      <c r="F34" s="33">
        <f>IF(OR(($A34=Settings!$A$30),ISERROR(VLOOKUP($B34,FFTodayData!$P:$Y,7,0))),"",VLOOKUP($B34,FFTodayData!$P:$Y,7,0))</f>
        <v>70</v>
      </c>
      <c r="G34" s="33">
        <f>IF(OR(($A34=Settings!$A$30),ISERROR(VLOOKUP($B34,FFTodayData!$P:$Y,8,0))),"",VLOOKUP($B34,FFTodayData!$P:$Y,8,0))</f>
        <v>478</v>
      </c>
      <c r="H34" s="64">
        <f>IF(OR(($A34=Settings!$A$30),ISERROR(VLOOKUP($B34,FFTodayData!$P:$Y,9,0))),"",VLOOKUP($B34,FFTodayData!$P:$Y,9,0))</f>
        <v>2</v>
      </c>
      <c r="I34" s="117">
        <f>IF(ISERROR(VLOOKUP($A34,ESPNData!$R:$AE,9,0)),"",VLOOKUP($A34,ESPNData!$R:$AE,9,0))</f>
        <v>380</v>
      </c>
      <c r="J34" s="33">
        <f>IF(ISERROR(VLOOKUP($A34,ESPNData!$R:$AE,10,0)),"",VLOOKUP($A34,ESPNData!$R:$AE,10,0))</f>
        <v>2</v>
      </c>
      <c r="K34" s="33">
        <f>IF(ISERROR(VLOOKUP($A34,ESPNData!$R:$AE,11,0)),"",VLOOKUP($A34,ESPNData!$R:$AE,11,0))</f>
        <v>69</v>
      </c>
      <c r="L34" s="33">
        <f>IF(ISERROR(VLOOKUP($A34,ESPNData!$R:$AE,12,0)),"",VLOOKUP($A34,ESPNData!$R:$AE,12,0))</f>
        <v>469</v>
      </c>
      <c r="M34" s="64">
        <f>IF(ISERROR(VLOOKUP($A34,ESPNData!$R:$AE,13,0)),"",VLOOKUP($A34,ESPNData!$R:$AE,13,0))</f>
        <v>4</v>
      </c>
      <c r="N34" s="115">
        <f>IF(OR(($A34=Settings!$A$30),ISERROR(VLOOKUP($B34,SportslineData!$Q:$AB,4,0))),"",VLOOKUP($B34,SportslineData!$Q:$AB,4,0))</f>
        <v>647.5</v>
      </c>
      <c r="O34" s="82">
        <f>IF(OR(($A34=Settings!$A$30),ISERROR(VLOOKUP($B34,SportslineData!$Q:$AB,6,0))),"",ROUND(VLOOKUP($B34,SportslineData!$Q:$AB,6,0),0))</f>
        <v>4</v>
      </c>
      <c r="P34" s="82">
        <f>IF(OR(($A34=Settings!$A$30),ISERROR(VLOOKUP($B34,SportslineData!$Q:$AB,7,0))),"",ROUND(VLOOKUP($B34,SportslineData!$Q:$AB,7,0),0))</f>
        <v>57</v>
      </c>
      <c r="Q34" s="82">
        <f>IF(OR(($A34=Settings!$A$30),ISERROR(VLOOKUP($B34,SportslineData!$Q:$AB,8,0))),"",VLOOKUP($B34,SportslineData!$Q:$AB,8,0))</f>
        <v>393.5</v>
      </c>
      <c r="R34" s="82">
        <f>IF(OR(($A34=Settings!$A$30),ISERROR(VLOOKUP($B34,SportslineData!$Q:$AB,10,0))),"",ROUND(VLOOKUP($B34,SportslineData!$Q:$AB,10,0),0))</f>
        <v>3</v>
      </c>
      <c r="S34" s="74">
        <f>IF(OR(($A34=Settings!$A$30),ISERROR(VLOOKUP($B34,SportslineData!$Q:$AB,11,0))),"",ROUND(VLOOKUP($B34,SportslineData!$Q:$AB,11,0),0))</f>
        <v>1</v>
      </c>
      <c r="T34" s="117"/>
      <c r="U34" s="131">
        <f t="shared" si="2"/>
        <v>10.323920443965719</v>
      </c>
      <c r="V34" s="38">
        <f>IF(ISERROR(ROUND((((((ROUNDDOWN((D34/5),0)*Settings!$F$7)+(E34*Settings!$I$7))+(F34*Settings!$I$11))+(ROUNDDOWN((G34/5),0)*Settings!$F$11))+(H34*Settings!$F$12)),1)),0,ROUND((((((ROUNDDOWN((D34/5),0)*Settings!$F$7)+(E34*Settings!$I$7))+(F34*Settings!$I$11))+(ROUNDDOWN((G34/5),0)*Settings!$F$11))+(H34*Settings!$F$12)),1))</f>
        <v>171.5</v>
      </c>
      <c r="W34" s="38">
        <f>IF(ISERROR(ROUND((((((ROUNDDOWN((I34/5),0)*Settings!$F$7)+(J34*Settings!$I$7))+(K34*Settings!$I$11))+(ROUNDDOWN((L34/5),0)*Settings!$F$11))+(M34*Settings!$F$12)),1)),0,ROUND((((((ROUNDDOWN((I34/5),0)*Settings!$F$7)+(J34*Settings!$I$7))+(K34*Settings!$I$11))+(ROUNDDOWN((L34/5),0)*Settings!$F$11))+(M34*Settings!$F$12)),1))</f>
        <v>155</v>
      </c>
      <c r="X34" s="38">
        <f>IF(AND((N34=""),(P34="")),0,((((((ROUND((N34/5),0)*Settings!$F$7)+(O34*Settings!$I$7))+(P34*Settings!$I$11))+(ROUND((Q34/5),0)*Settings!$F$11))+(R34*Settings!$F$12))+(S34*Settings!$F$15)))</f>
        <v>174</v>
      </c>
      <c r="Y34" s="66">
        <f>ROUND((((V34*Settings!$B$21)+(W34*Settings!$B$22))+(X34*Settings!$B$23)),1)</f>
        <v>166.9</v>
      </c>
      <c r="Z34" s="66">
        <f>IF(ISERROR(VLOOKUP(RANK(Y34,$Y$4:$Y$182),Z$4:Z33,1,0)),RANK(Y34,$Y$4:$Y$182),IF(ISERROR(VLOOKUP((RANK(Y34,$Y$4:$Y$182)+1),Z$4:Z33,1,0)),(RANK(Y34,$Y$4:$Y$182)+1),IF(ISERROR(VLOOKUP((RANK(Y34,$Y$4:$Y$182)+2),Z$4:Z33,1,0)),(RANK(Y34,$Y$4:$Y$182)+2),(RANK(Y34,$Y$4:$Y$182)+3))))</f>
        <v>29</v>
      </c>
      <c r="AA34" t="str">
        <f t="shared" si="3"/>
        <v>Pierre Thomas</v>
      </c>
    </row>
    <row r="35" spans="1:27" ht="12.75" customHeight="1">
      <c r="A35" s="33" t="str">
        <f>ESPNData!R34</f>
        <v>Maurice Jones-Drew, Oak RB  P</v>
      </c>
      <c r="B35" s="33" t="str">
        <f t="shared" si="0"/>
        <v>Maurice Jones-Drew</v>
      </c>
      <c r="C35" s="64" t="str">
        <f t="shared" si="1"/>
        <v>OAK</v>
      </c>
      <c r="D35" s="117">
        <f>IF(OR(($A35=Settings!$A$30),ISERROR(VLOOKUP($B35,FFTodayData!$P:$Y,5,0))),"",VLOOKUP($B35,FFTodayData!$P:$Y,5,0))</f>
        <v>789</v>
      </c>
      <c r="E35" s="33">
        <f>IF(OR(($A35=Settings!$A$30),ISERROR(VLOOKUP($B35,FFTodayData!$P:$Y,6,0))),"",VLOOKUP($B35,FFTodayData!$P:$Y,6,0))</f>
        <v>5</v>
      </c>
      <c r="F35" s="33">
        <f>IF(OR(($A35=Settings!$A$30),ISERROR(VLOOKUP($B35,FFTodayData!$P:$Y,7,0))),"",VLOOKUP($B35,FFTodayData!$P:$Y,7,0))</f>
        <v>36</v>
      </c>
      <c r="G35" s="33">
        <f>IF(OR(($A35=Settings!$A$30),ISERROR(VLOOKUP($B35,FFTodayData!$P:$Y,8,0))),"",VLOOKUP($B35,FFTodayData!$P:$Y,8,0))</f>
        <v>245</v>
      </c>
      <c r="H35" s="64">
        <f>IF(OR(($A35=Settings!$A$30),ISERROR(VLOOKUP($B35,FFTodayData!$P:$Y,9,0))),"",VLOOKUP($B35,FFTodayData!$P:$Y,9,0))</f>
        <v>1</v>
      </c>
      <c r="I35" s="117">
        <f>IF(ISERROR(VLOOKUP($A35,ESPNData!$R:$AE,9,0)),"",VLOOKUP($A35,ESPNData!$R:$AE,9,0))</f>
        <v>559</v>
      </c>
      <c r="J35" s="33">
        <f>IF(ISERROR(VLOOKUP($A35,ESPNData!$R:$AE,10,0)),"",VLOOKUP($A35,ESPNData!$R:$AE,10,0))</f>
        <v>6</v>
      </c>
      <c r="K35" s="33">
        <f>IF(ISERROR(VLOOKUP($A35,ESPNData!$R:$AE,11,0)),"",VLOOKUP($A35,ESPNData!$R:$AE,11,0))</f>
        <v>36</v>
      </c>
      <c r="L35" s="33">
        <f>IF(ISERROR(VLOOKUP($A35,ESPNData!$R:$AE,12,0)),"",VLOOKUP($A35,ESPNData!$R:$AE,12,0))</f>
        <v>260</v>
      </c>
      <c r="M35" s="64">
        <f>IF(ISERROR(VLOOKUP($A35,ESPNData!$R:$AE,13,0)),"",VLOOKUP($A35,ESPNData!$R:$AE,13,0))</f>
        <v>1</v>
      </c>
      <c r="N35" s="115">
        <f>IF(OR(($A35=Settings!$A$30),ISERROR(VLOOKUP($B35,SportslineData!$Q:$AB,4,0))),"",VLOOKUP($B35,SportslineData!$Q:$AB,4,0))</f>
        <v>867.5</v>
      </c>
      <c r="O35" s="82">
        <f>IF(OR(($A35=Settings!$A$30),ISERROR(VLOOKUP($B35,SportslineData!$Q:$AB,6,0))),"",ROUND(VLOOKUP($B35,SportslineData!$Q:$AB,6,0),0))</f>
        <v>5</v>
      </c>
      <c r="P35" s="82">
        <f>IF(OR(($A35=Settings!$A$30),ISERROR(VLOOKUP($B35,SportslineData!$Q:$AB,7,0))),"",ROUND(VLOOKUP($B35,SportslineData!$Q:$AB,7,0),0))</f>
        <v>33</v>
      </c>
      <c r="Q35" s="82">
        <f>IF(OR(($A35=Settings!$A$30),ISERROR(VLOOKUP($B35,SportslineData!$Q:$AB,8,0))),"",VLOOKUP($B35,SportslineData!$Q:$AB,8,0))</f>
        <v>252</v>
      </c>
      <c r="R35" s="82">
        <f>IF(OR(($A35=Settings!$A$30),ISERROR(VLOOKUP($B35,SportslineData!$Q:$AB,10,0))),"",ROUND(VLOOKUP($B35,SportslineData!$Q:$AB,10,0),0))</f>
        <v>1</v>
      </c>
      <c r="S35" s="74">
        <f>IF(OR(($A35=Settings!$A$30),ISERROR(VLOOKUP($B35,SportslineData!$Q:$AB,11,0))),"",ROUND(VLOOKUP($B35,SportslineData!$Q:$AB,11,0),0))</f>
        <v>1</v>
      </c>
      <c r="T35" s="117"/>
      <c r="U35" s="131">
        <f t="shared" si="2"/>
        <v>11.302654555457314</v>
      </c>
      <c r="V35" s="38">
        <f>IF(ISERROR(ROUND((((((ROUNDDOWN((D35/5),0)*Settings!$F$7)+(E35*Settings!$I$7))+(F35*Settings!$I$11))+(ROUNDDOWN((G35/5),0)*Settings!$F$11))+(H35*Settings!$F$12)),1)),0,ROUND((((((ROUNDDOWN((D35/5),0)*Settings!$F$7)+(E35*Settings!$I$7))+(F35*Settings!$I$11))+(ROUNDDOWN((G35/5),0)*Settings!$F$11))+(H35*Settings!$F$12)),1))</f>
        <v>157</v>
      </c>
      <c r="W35" s="38">
        <f>IF(ISERROR(ROUND((((((ROUNDDOWN((I35/5),0)*Settings!$F$7)+(J35*Settings!$I$7))+(K35*Settings!$I$11))+(ROUNDDOWN((L35/5),0)*Settings!$F$11))+(M35*Settings!$F$12)),1)),0,ROUND((((((ROUNDDOWN((I35/5),0)*Settings!$F$7)+(J35*Settings!$I$7))+(K35*Settings!$I$11))+(ROUNDDOWN((L35/5),0)*Settings!$F$11))+(M35*Settings!$F$12)),1))</f>
        <v>141.5</v>
      </c>
      <c r="X35" s="38">
        <f>IF(AND((N35=""),(P35="")),0,((((((ROUND((N35/5),0)*Settings!$F$7)+(O35*Settings!$I$7))+(P35*Settings!$I$11))+(ROUND((Q35/5),0)*Settings!$F$11))+(R35*Settings!$F$12))+(S35*Settings!$F$15)))</f>
        <v>163.5</v>
      </c>
      <c r="Y35" s="66">
        <f>ROUND((((V35*Settings!$B$21)+(W35*Settings!$B$22))+(X35*Settings!$B$23)),1)</f>
        <v>154.1</v>
      </c>
      <c r="Z35" s="66">
        <f>IF(ISERROR(VLOOKUP(RANK(Y35,$Y$4:$Y$182),Z$4:Z34,1,0)),RANK(Y35,$Y$4:$Y$182),IF(ISERROR(VLOOKUP((RANK(Y35,$Y$4:$Y$182)+1),Z$4:Z34,1,0)),(RANK(Y35,$Y$4:$Y$182)+1),IF(ISERROR(VLOOKUP((RANK(Y35,$Y$4:$Y$182)+2),Z$4:Z34,1,0)),(RANK(Y35,$Y$4:$Y$182)+2),(RANK(Y35,$Y$4:$Y$182)+3))))</f>
        <v>32</v>
      </c>
      <c r="AA35" t="str">
        <f t="shared" si="3"/>
        <v>Maurice Jones-Drew</v>
      </c>
    </row>
    <row r="36" spans="1:27" ht="12.75" customHeight="1">
      <c r="A36" s="33" t="str">
        <f>ESPNData!R35</f>
        <v>Fred Jackson, Buf RB</v>
      </c>
      <c r="B36" s="33" t="str">
        <f t="shared" ref="B36:B67" si="4">IF(OR((A36=""),(A36=0)),"",IF(ISERROR(FIND("*",A36)),LEFT(A36,(FIND(",",A36)-1)),LEFT(A36,(FIND("*",A36)-1))))</f>
        <v>Fred Jackson</v>
      </c>
      <c r="C36" s="64" t="str">
        <f t="shared" ref="C36:C67" si="5">IF((A36=""),"",UPPER(RIGHT(LEFT(A36,(FIND("RB",A36)-2)),(LEN(LEFT(A36,(FIND("RB",A36)-2)))-(FIND(",",LEFT(A36,(FIND("RB",A36)-2)))+1)))))</f>
        <v>BUF</v>
      </c>
      <c r="D36" s="117">
        <f>IF(OR(($A36=Settings!$A$30),ISERROR(VLOOKUP($B36,FFTodayData!$P:$Y,5,0))),"",VLOOKUP($B36,FFTodayData!$P:$Y,5,0))</f>
        <v>735</v>
      </c>
      <c r="E36" s="33">
        <f>IF(OR(($A36=Settings!$A$30),ISERROR(VLOOKUP($B36,FFTodayData!$P:$Y,6,0))),"",VLOOKUP($B36,FFTodayData!$P:$Y,6,0))</f>
        <v>5</v>
      </c>
      <c r="F36" s="33">
        <f>IF(OR(($A36=Settings!$A$30),ISERROR(VLOOKUP($B36,FFTodayData!$P:$Y,7,0))),"",VLOOKUP($B36,FFTodayData!$P:$Y,7,0))</f>
        <v>33</v>
      </c>
      <c r="G36" s="33">
        <f>IF(OR(($A36=Settings!$A$30),ISERROR(VLOOKUP($B36,FFTodayData!$P:$Y,8,0))),"",VLOOKUP($B36,FFTodayData!$P:$Y,8,0))</f>
        <v>229</v>
      </c>
      <c r="H36" s="64">
        <f>IF(OR(($A36=Settings!$A$30),ISERROR(VLOOKUP($B36,FFTodayData!$P:$Y,9,0))),"",VLOOKUP($B36,FFTodayData!$P:$Y,9,0))</f>
        <v>1</v>
      </c>
      <c r="I36" s="117">
        <f>IF(ISERROR(VLOOKUP($A36,ESPNData!$R:$AE,9,0)),"",VLOOKUP($A36,ESPNData!$R:$AE,9,0))</f>
        <v>563</v>
      </c>
      <c r="J36" s="33">
        <f>IF(ISERROR(VLOOKUP($A36,ESPNData!$R:$AE,10,0)),"",VLOOKUP($A36,ESPNData!$R:$AE,10,0))</f>
        <v>4</v>
      </c>
      <c r="K36" s="33">
        <f>IF(ISERROR(VLOOKUP($A36,ESPNData!$R:$AE,11,0)),"",VLOOKUP($A36,ESPNData!$R:$AE,11,0))</f>
        <v>36</v>
      </c>
      <c r="L36" s="33">
        <f>IF(ISERROR(VLOOKUP($A36,ESPNData!$R:$AE,12,0)),"",VLOOKUP($A36,ESPNData!$R:$AE,12,0))</f>
        <v>286</v>
      </c>
      <c r="M36" s="64">
        <f>IF(ISERROR(VLOOKUP($A36,ESPNData!$R:$AE,13,0)),"",VLOOKUP($A36,ESPNData!$R:$AE,13,0))</f>
        <v>1</v>
      </c>
      <c r="N36" s="115">
        <f>IF(OR(($A36=Settings!$A$30),ISERROR(VLOOKUP($B36,SportslineData!$Q:$AB,4,0))),"",VLOOKUP($B36,SportslineData!$Q:$AB,4,0))</f>
        <v>718</v>
      </c>
      <c r="O36" s="82">
        <f>IF(OR(($A36=Settings!$A$30),ISERROR(VLOOKUP($B36,SportslineData!$Q:$AB,6,0))),"",ROUND(VLOOKUP($B36,SportslineData!$Q:$AB,6,0),0))</f>
        <v>6</v>
      </c>
      <c r="P36" s="82">
        <f>IF(OR(($A36=Settings!$A$30),ISERROR(VLOOKUP($B36,SportslineData!$Q:$AB,7,0))),"",ROUND(VLOOKUP($B36,SportslineData!$Q:$AB,7,0),0))</f>
        <v>40</v>
      </c>
      <c r="Q36" s="82">
        <f>IF(OR(($A36=Settings!$A$30),ISERROR(VLOOKUP($B36,SportslineData!$Q:$AB,8,0))),"",VLOOKUP($B36,SportslineData!$Q:$AB,8,0))</f>
        <v>342.5</v>
      </c>
      <c r="R36" s="82">
        <f>IF(OR(($A36=Settings!$A$30),ISERROR(VLOOKUP($B36,SportslineData!$Q:$AB,10,0))),"",ROUND(VLOOKUP($B36,SportslineData!$Q:$AB,10,0),0))</f>
        <v>1</v>
      </c>
      <c r="S36" s="74">
        <f>IF(OR(($A36=Settings!$A$30),ISERROR(VLOOKUP($B36,SportslineData!$Q:$AB,11,0))),"",ROUND(VLOOKUP($B36,SportslineData!$Q:$AB,11,0),0))</f>
        <v>2</v>
      </c>
      <c r="T36" s="117"/>
      <c r="U36" s="131">
        <f t="shared" ref="U36:U67" si="6">STDEV(V36:X36)</f>
        <v>17.009801096230767</v>
      </c>
      <c r="V36" s="38">
        <f>IF(ISERROR(ROUND((((((ROUNDDOWN((D36/5),0)*Settings!$F$7)+(E36*Settings!$I$7))+(F36*Settings!$I$11))+(ROUNDDOWN((G36/5),0)*Settings!$F$11))+(H36*Settings!$F$12)),1)),0,ROUND((((((ROUNDDOWN((D36/5),0)*Settings!$F$7)+(E36*Settings!$I$7))+(F36*Settings!$I$11))+(ROUNDDOWN((G36/5),0)*Settings!$F$11))+(H36*Settings!$F$12)),1))</f>
        <v>148.5</v>
      </c>
      <c r="W36" s="38">
        <f>IF(ISERROR(ROUND((((((ROUNDDOWN((I36/5),0)*Settings!$F$7)+(J36*Settings!$I$7))+(K36*Settings!$I$11))+(ROUNDDOWN((L36/5),0)*Settings!$F$11))+(M36*Settings!$F$12)),1)),0,ROUND((((((ROUNDDOWN((I36/5),0)*Settings!$F$7)+(J36*Settings!$I$7))+(K36*Settings!$I$11))+(ROUNDDOWN((L36/5),0)*Settings!$F$11))+(M36*Settings!$F$12)),1))</f>
        <v>132.5</v>
      </c>
      <c r="X36" s="38">
        <f>IF(AND((N36=""),(P36="")),0,((((((ROUND((N36/5),0)*Settings!$F$7)+(O36*Settings!$I$7))+(P36*Settings!$I$11))+(ROUND((Q36/5),0)*Settings!$F$11))+(R36*Settings!$F$12))+(S36*Settings!$F$15)))</f>
        <v>166.5</v>
      </c>
      <c r="Y36" s="66">
        <f>ROUND((((V36*Settings!$B$21)+(W36*Settings!$B$22))+(X36*Settings!$B$23)),1)</f>
        <v>149.30000000000001</v>
      </c>
      <c r="Z36" s="66">
        <f>IF(ISERROR(VLOOKUP(RANK(Y36,$Y$4:$Y$182),Z$4:Z35,1,0)),RANK(Y36,$Y$4:$Y$182),IF(ISERROR(VLOOKUP((RANK(Y36,$Y$4:$Y$182)+1),Z$4:Z35,1,0)),(RANK(Y36,$Y$4:$Y$182)+1),IF(ISERROR(VLOOKUP((RANK(Y36,$Y$4:$Y$182)+2),Z$4:Z35,1,0)),(RANK(Y36,$Y$4:$Y$182)+2),(RANK(Y36,$Y$4:$Y$182)+3))))</f>
        <v>34</v>
      </c>
      <c r="AA36" t="str">
        <f t="shared" ref="AA36:AA67" si="7">B36</f>
        <v>Fred Jackson</v>
      </c>
    </row>
    <row r="37" spans="1:27" ht="12.75" customHeight="1">
      <c r="A37" s="33" t="str">
        <f>ESPNData!R36</f>
        <v>Darren Sproles, Phi RB</v>
      </c>
      <c r="B37" s="33" t="str">
        <f t="shared" si="4"/>
        <v>Darren Sproles</v>
      </c>
      <c r="C37" s="64" t="str">
        <f t="shared" si="5"/>
        <v>PHI</v>
      </c>
      <c r="D37" s="117">
        <f>IF(OR(($A37=Settings!$A$30),ISERROR(VLOOKUP($B37,FFTodayData!$P:$Y,5,0))),"",VLOOKUP($B37,FFTodayData!$P:$Y,5,0))</f>
        <v>231</v>
      </c>
      <c r="E37" s="33">
        <f>IF(OR(($A37=Settings!$A$30),ISERROR(VLOOKUP($B37,FFTodayData!$P:$Y,6,0))),"",VLOOKUP($B37,FFTodayData!$P:$Y,6,0))</f>
        <v>1</v>
      </c>
      <c r="F37" s="33">
        <f>IF(OR(($A37=Settings!$A$30),ISERROR(VLOOKUP($B37,FFTodayData!$P:$Y,7,0))),"",VLOOKUP($B37,FFTodayData!$P:$Y,7,0))</f>
        <v>63</v>
      </c>
      <c r="G37" s="33">
        <f>IF(OR(($A37=Settings!$A$30),ISERROR(VLOOKUP($B37,FFTodayData!$P:$Y,8,0))),"",VLOOKUP($B37,FFTodayData!$P:$Y,8,0))</f>
        <v>545</v>
      </c>
      <c r="H37" s="64">
        <f>IF(OR(($A37=Settings!$A$30),ISERROR(VLOOKUP($B37,FFTodayData!$P:$Y,9,0))),"",VLOOKUP($B37,FFTodayData!$P:$Y,9,0))</f>
        <v>2</v>
      </c>
      <c r="I37" s="117">
        <f>IF(ISERROR(VLOOKUP($A37,ESPNData!$R:$AE,9,0)),"",VLOOKUP($A37,ESPNData!$R:$AE,9,0))</f>
        <v>176</v>
      </c>
      <c r="J37" s="33">
        <f>IF(ISERROR(VLOOKUP($A37,ESPNData!$R:$AE,10,0)),"",VLOOKUP($A37,ESPNData!$R:$AE,10,0))</f>
        <v>1</v>
      </c>
      <c r="K37" s="33">
        <f>IF(ISERROR(VLOOKUP($A37,ESPNData!$R:$AE,11,0)),"",VLOOKUP($A37,ESPNData!$R:$AE,11,0))</f>
        <v>73</v>
      </c>
      <c r="L37" s="33">
        <f>IF(ISERROR(VLOOKUP($A37,ESPNData!$R:$AE,12,0)),"",VLOOKUP($A37,ESPNData!$R:$AE,12,0))</f>
        <v>598</v>
      </c>
      <c r="M37" s="64">
        <f>IF(ISERROR(VLOOKUP($A37,ESPNData!$R:$AE,13,0)),"",VLOOKUP($A37,ESPNData!$R:$AE,13,0))</f>
        <v>3</v>
      </c>
      <c r="N37" s="115">
        <f>IF(OR(($A37=Settings!$A$30),ISERROR(VLOOKUP($B37,SportslineData!$Q:$AB,4,0))),"",VLOOKUP($B37,SportslineData!$Q:$AB,4,0))</f>
        <v>287.5</v>
      </c>
      <c r="O37" s="82">
        <f>IF(OR(($A37=Settings!$A$30),ISERROR(VLOOKUP($B37,SportslineData!$Q:$AB,6,0))),"",ROUND(VLOOKUP($B37,SportslineData!$Q:$AB,6,0),0))</f>
        <v>2</v>
      </c>
      <c r="P37" s="82">
        <f>IF(OR(($A37=Settings!$A$30),ISERROR(VLOOKUP($B37,SportslineData!$Q:$AB,7,0))),"",ROUND(VLOOKUP($B37,SportslineData!$Q:$AB,7,0),0))</f>
        <v>65</v>
      </c>
      <c r="Q37" s="82">
        <f>IF(OR(($A37=Settings!$A$30),ISERROR(VLOOKUP($B37,SportslineData!$Q:$AB,8,0))),"",VLOOKUP($B37,SportslineData!$Q:$AB,8,0))</f>
        <v>522</v>
      </c>
      <c r="R37" s="82">
        <f>IF(OR(($A37=Settings!$A$30),ISERROR(VLOOKUP($B37,SportslineData!$Q:$AB,10,0))),"",ROUND(VLOOKUP($B37,SportslineData!$Q:$AB,10,0),0))</f>
        <v>3</v>
      </c>
      <c r="S37" s="74">
        <f>IF(OR(($A37=Settings!$A$30),ISERROR(VLOOKUP($B37,SportslineData!$Q:$AB,11,0))),"",ROUND(VLOOKUP($B37,SportslineData!$Q:$AB,11,0),0))</f>
        <v>1</v>
      </c>
      <c r="T37" s="117"/>
      <c r="U37" s="131">
        <f t="shared" si="6"/>
        <v>7.9109628575372115</v>
      </c>
      <c r="V37" s="38">
        <f>IF(ISERROR(ROUND((((((ROUNDDOWN((D37/5),0)*Settings!$F$7)+(E37*Settings!$I$7))+(F37*Settings!$I$11))+(ROUNDDOWN((G37/5),0)*Settings!$F$11))+(H37*Settings!$F$12)),1)),0,ROUND((((((ROUNDDOWN((D37/5),0)*Settings!$F$7)+(E37*Settings!$I$7))+(F37*Settings!$I$11))+(ROUNDDOWN((G37/5),0)*Settings!$F$11))+(H37*Settings!$F$12)),1))</f>
        <v>127</v>
      </c>
      <c r="W37" s="38">
        <f>IF(ISERROR(ROUND((((((ROUNDDOWN((I37/5),0)*Settings!$F$7)+(J37*Settings!$I$7))+(K37*Settings!$I$11))+(ROUNDDOWN((L37/5),0)*Settings!$F$11))+(M37*Settings!$F$12)),1)),0,ROUND((((((ROUNDDOWN((I37/5),0)*Settings!$F$7)+(J37*Settings!$I$7))+(K37*Settings!$I$11))+(ROUNDDOWN((L37/5),0)*Settings!$F$11))+(M37*Settings!$F$12)),1))</f>
        <v>137.5</v>
      </c>
      <c r="X37" s="38">
        <f>IF(AND((N37=""),(P37="")),0,((((((ROUND((N37/5),0)*Settings!$F$7)+(O37*Settings!$I$7))+(P37*Settings!$I$11))+(ROUND((Q37/5),0)*Settings!$F$11))+(R37*Settings!$F$12))+(S37*Settings!$F$15)))</f>
        <v>142.5</v>
      </c>
      <c r="Y37" s="66">
        <f>ROUND((((V37*Settings!$B$21)+(W37*Settings!$B$22))+(X37*Settings!$B$23)),1)</f>
        <v>135.69999999999999</v>
      </c>
      <c r="Z37" s="66">
        <f>IF(ISERROR(VLOOKUP(RANK(Y37,$Y$4:$Y$182),Z$4:Z36,1,0)),RANK(Y37,$Y$4:$Y$182),IF(ISERROR(VLOOKUP((RANK(Y37,$Y$4:$Y$182)+1),Z$4:Z36,1,0)),(RANK(Y37,$Y$4:$Y$182)+1),IF(ISERROR(VLOOKUP((RANK(Y37,$Y$4:$Y$182)+2),Z$4:Z36,1,0)),(RANK(Y37,$Y$4:$Y$182)+2),(RANK(Y37,$Y$4:$Y$182)+3))))</f>
        <v>36</v>
      </c>
      <c r="AA37" t="str">
        <f t="shared" si="7"/>
        <v>Darren Sproles</v>
      </c>
    </row>
    <row r="38" spans="1:27" ht="12.75" customHeight="1">
      <c r="A38" s="33" t="str">
        <f>ESPNData!R37</f>
        <v>DeAngelo Williams, Car RB</v>
      </c>
      <c r="B38" s="33" t="str">
        <f t="shared" si="4"/>
        <v>DeAngelo Williams</v>
      </c>
      <c r="C38" s="64" t="str">
        <f t="shared" si="5"/>
        <v>CAR</v>
      </c>
      <c r="D38" s="117">
        <f>IF(OR(($A38=Settings!$A$30),ISERROR(VLOOKUP($B38,FFTodayData!$P:$Y,5,0))),"",VLOOKUP($B38,FFTodayData!$P:$Y,5,0))</f>
        <v>767</v>
      </c>
      <c r="E38" s="33">
        <f>IF(OR(($A38=Settings!$A$30),ISERROR(VLOOKUP($B38,FFTodayData!$P:$Y,6,0))),"",VLOOKUP($B38,FFTodayData!$P:$Y,6,0))</f>
        <v>3</v>
      </c>
      <c r="F38" s="33">
        <f>IF(OR(($A38=Settings!$A$30),ISERROR(VLOOKUP($B38,FFTodayData!$P:$Y,7,0))),"",VLOOKUP($B38,FFTodayData!$P:$Y,7,0))</f>
        <v>26</v>
      </c>
      <c r="G38" s="33">
        <f>IF(OR(($A38=Settings!$A$30),ISERROR(VLOOKUP($B38,FFTodayData!$P:$Y,8,0))),"",VLOOKUP($B38,FFTodayData!$P:$Y,8,0))</f>
        <v>235</v>
      </c>
      <c r="H38" s="64">
        <f>IF(OR(($A38=Settings!$A$30),ISERROR(VLOOKUP($B38,FFTodayData!$P:$Y,9,0))),"",VLOOKUP($B38,FFTodayData!$P:$Y,9,0))</f>
        <v>1</v>
      </c>
      <c r="I38" s="117">
        <f>IF(ISERROR(VLOOKUP($A38,ESPNData!$R:$AE,9,0)),"",VLOOKUP($A38,ESPNData!$R:$AE,9,0))</f>
        <v>814</v>
      </c>
      <c r="J38" s="33">
        <f>IF(ISERROR(VLOOKUP($A38,ESPNData!$R:$AE,10,0)),"",VLOOKUP($A38,ESPNData!$R:$AE,10,0))</f>
        <v>3</v>
      </c>
      <c r="K38" s="33">
        <f>IF(ISERROR(VLOOKUP($A38,ESPNData!$R:$AE,11,0)),"",VLOOKUP($A38,ESPNData!$R:$AE,11,0))</f>
        <v>23</v>
      </c>
      <c r="L38" s="33">
        <f>IF(ISERROR(VLOOKUP($A38,ESPNData!$R:$AE,12,0)),"",VLOOKUP($A38,ESPNData!$R:$AE,12,0))</f>
        <v>210</v>
      </c>
      <c r="M38" s="64">
        <f>IF(ISERROR(VLOOKUP($A38,ESPNData!$R:$AE,13,0)),"",VLOOKUP($A38,ESPNData!$R:$AE,13,0))</f>
        <v>1</v>
      </c>
      <c r="N38" s="115">
        <f>IF(OR(($A38=Settings!$A$30),ISERROR(VLOOKUP($B38,SportslineData!$Q:$AB,4,0))),"",VLOOKUP($B38,SportslineData!$Q:$AB,4,0))</f>
        <v>754.5</v>
      </c>
      <c r="O38" s="82">
        <f>IF(OR(($A38=Settings!$A$30),ISERROR(VLOOKUP($B38,SportslineData!$Q:$AB,6,0))),"",ROUND(VLOOKUP($B38,SportslineData!$Q:$AB,6,0),0))</f>
        <v>5</v>
      </c>
      <c r="P38" s="82">
        <f>IF(OR(($A38=Settings!$A$30),ISERROR(VLOOKUP($B38,SportslineData!$Q:$AB,7,0))),"",ROUND(VLOOKUP($B38,SportslineData!$Q:$AB,7,0),0))</f>
        <v>25</v>
      </c>
      <c r="Q38" s="82">
        <f>IF(OR(($A38=Settings!$A$30),ISERROR(VLOOKUP($B38,SportslineData!$Q:$AB,8,0))),"",VLOOKUP($B38,SportslineData!$Q:$AB,8,0))</f>
        <v>203.5</v>
      </c>
      <c r="R38" s="82">
        <f>IF(OR(($A38=Settings!$A$30),ISERROR(VLOOKUP($B38,SportslineData!$Q:$AB,10,0))),"",ROUND(VLOOKUP($B38,SportslineData!$Q:$AB,10,0),0))</f>
        <v>1</v>
      </c>
      <c r="S38" s="74">
        <f>IF(OR(($A38=Settings!$A$30),ISERROR(VLOOKUP($B38,SportslineData!$Q:$AB,11,0))),"",ROUND(VLOOKUP($B38,SportslineData!$Q:$AB,11,0),0))</f>
        <v>2</v>
      </c>
      <c r="T38" s="117"/>
      <c r="U38" s="131">
        <f t="shared" si="6"/>
        <v>3.0413812651491097</v>
      </c>
      <c r="V38" s="38">
        <f>IF(ISERROR(ROUND((((((ROUNDDOWN((D38/5),0)*Settings!$F$7)+(E38*Settings!$I$7))+(F38*Settings!$I$11))+(ROUNDDOWN((G38/5),0)*Settings!$F$11))+(H38*Settings!$F$12)),1)),0,ROUND((((((ROUNDDOWN((D38/5),0)*Settings!$F$7)+(E38*Settings!$I$7))+(F38*Settings!$I$11))+(ROUNDDOWN((G38/5),0)*Settings!$F$11))+(H38*Settings!$F$12)),1))</f>
        <v>137</v>
      </c>
      <c r="W38" s="38">
        <f>IF(ISERROR(ROUND((((((ROUNDDOWN((I38/5),0)*Settings!$F$7)+(J38*Settings!$I$7))+(K38*Settings!$I$11))+(ROUNDDOWN((L38/5),0)*Settings!$F$11))+(M38*Settings!$F$12)),1)),0,ROUND((((((ROUNDDOWN((I38/5),0)*Settings!$F$7)+(J38*Settings!$I$7))+(K38*Settings!$I$11))+(ROUNDDOWN((L38/5),0)*Settings!$F$11))+(M38*Settings!$F$12)),1))</f>
        <v>137.5</v>
      </c>
      <c r="X38" s="38">
        <f>IF(AND((N38=""),(P38="")),0,((((((ROUND((N38/5),0)*Settings!$F$7)+(O38*Settings!$I$7))+(P38*Settings!$I$11))+(ROUND((Q38/5),0)*Settings!$F$11))+(R38*Settings!$F$12))+(S38*Settings!$F$15)))</f>
        <v>142.5</v>
      </c>
      <c r="Y38" s="66">
        <f>ROUND((((V38*Settings!$B$21)+(W38*Settings!$B$22))+(X38*Settings!$B$23)),1)</f>
        <v>139</v>
      </c>
      <c r="Z38" s="66">
        <f>IF(ISERROR(VLOOKUP(RANK(Y38,$Y$4:$Y$182),Z$4:Z37,1,0)),RANK(Y38,$Y$4:$Y$182),IF(ISERROR(VLOOKUP((RANK(Y38,$Y$4:$Y$182)+1),Z$4:Z37,1,0)),(RANK(Y38,$Y$4:$Y$182)+1),IF(ISERROR(VLOOKUP((RANK(Y38,$Y$4:$Y$182)+2),Z$4:Z37,1,0)),(RANK(Y38,$Y$4:$Y$182)+2),(RANK(Y38,$Y$4:$Y$182)+3))))</f>
        <v>35</v>
      </c>
      <c r="AA38" t="str">
        <f t="shared" si="7"/>
        <v>DeAngelo Williams</v>
      </c>
    </row>
    <row r="39" spans="1:27" ht="12.75" customHeight="1">
      <c r="A39" s="33" t="str">
        <f>ESPNData!R38</f>
        <v>Khiry Robinson, NO RB</v>
      </c>
      <c r="B39" s="33" t="str">
        <f t="shared" si="4"/>
        <v>Khiry Robinson</v>
      </c>
      <c r="C39" s="64" t="str">
        <f t="shared" si="5"/>
        <v>NO</v>
      </c>
      <c r="D39" s="117">
        <f>IF(OR(($A39=Settings!$A$30),ISERROR(VLOOKUP($B39,FFTodayData!$P:$Y,5,0))),"",VLOOKUP($B39,FFTodayData!$P:$Y,5,0))</f>
        <v>745</v>
      </c>
      <c r="E39" s="33">
        <f>IF(OR(($A39=Settings!$A$30),ISERROR(VLOOKUP($B39,FFTodayData!$P:$Y,6,0))),"",VLOOKUP($B39,FFTodayData!$P:$Y,6,0))</f>
        <v>5</v>
      </c>
      <c r="F39" s="33">
        <f>IF(OR(($A39=Settings!$A$30),ISERROR(VLOOKUP($B39,FFTodayData!$P:$Y,7,0))),"",VLOOKUP($B39,FFTodayData!$P:$Y,7,0))</f>
        <v>12</v>
      </c>
      <c r="G39" s="33">
        <f>IF(OR(($A39=Settings!$A$30),ISERROR(VLOOKUP($B39,FFTodayData!$P:$Y,8,0))),"",VLOOKUP($B39,FFTodayData!$P:$Y,8,0))</f>
        <v>84</v>
      </c>
      <c r="H39" s="64">
        <f>IF(OR(($A39=Settings!$A$30),ISERROR(VLOOKUP($B39,FFTodayData!$P:$Y,9,0))),"",VLOOKUP($B39,FFTodayData!$P:$Y,9,0))</f>
        <v>0</v>
      </c>
      <c r="I39" s="117">
        <f>IF(ISERROR(VLOOKUP($A39,ESPNData!$R:$AE,9,0)),"",VLOOKUP($A39,ESPNData!$R:$AE,9,0))</f>
        <v>733</v>
      </c>
      <c r="J39" s="33">
        <f>IF(ISERROR(VLOOKUP($A39,ESPNData!$R:$AE,10,0)),"",VLOOKUP($A39,ESPNData!$R:$AE,10,0))</f>
        <v>4</v>
      </c>
      <c r="K39" s="33">
        <f>IF(ISERROR(VLOOKUP($A39,ESPNData!$R:$AE,11,0)),"",VLOOKUP($A39,ESPNData!$R:$AE,11,0))</f>
        <v>4</v>
      </c>
      <c r="L39" s="33">
        <f>IF(ISERROR(VLOOKUP($A39,ESPNData!$R:$AE,12,0)),"",VLOOKUP($A39,ESPNData!$R:$AE,12,0))</f>
        <v>34</v>
      </c>
      <c r="M39" s="64">
        <f>IF(ISERROR(VLOOKUP($A39,ESPNData!$R:$AE,13,0)),"",VLOOKUP($A39,ESPNData!$R:$AE,13,0))</f>
        <v>0</v>
      </c>
      <c r="N39" s="115">
        <f>IF(OR(($A39=Settings!$A$30),ISERROR(VLOOKUP($B39,SportslineData!$Q:$AB,4,0))),"",VLOOKUP($B39,SportslineData!$Q:$AB,4,0))</f>
        <v>664.5</v>
      </c>
      <c r="O39" s="82">
        <f>IF(OR(($A39=Settings!$A$30),ISERROR(VLOOKUP($B39,SportslineData!$Q:$AB,6,0))),"",ROUND(VLOOKUP($B39,SportslineData!$Q:$AB,6,0),0))</f>
        <v>6</v>
      </c>
      <c r="P39" s="82">
        <f>IF(OR(($A39=Settings!$A$30),ISERROR(VLOOKUP($B39,SportslineData!$Q:$AB,7,0))),"",ROUND(VLOOKUP($B39,SportslineData!$Q:$AB,7,0),0))</f>
        <v>16</v>
      </c>
      <c r="Q39" s="82">
        <f>IF(OR(($A39=Settings!$A$30),ISERROR(VLOOKUP($B39,SportslineData!$Q:$AB,8,0))),"",VLOOKUP($B39,SportslineData!$Q:$AB,8,0))</f>
        <v>113</v>
      </c>
      <c r="R39" s="82">
        <f>IF(OR(($A39=Settings!$A$30),ISERROR(VLOOKUP($B39,SportslineData!$Q:$AB,10,0))),"",ROUND(VLOOKUP($B39,SportslineData!$Q:$AB,10,0),0))</f>
        <v>0</v>
      </c>
      <c r="S39" s="74">
        <f>IF(OR(($A39=Settings!$A$30),ISERROR(VLOOKUP($B39,SportslineData!$Q:$AB,11,0))),"",ROUND(VLOOKUP($B39,SportslineData!$Q:$AB,11,0),0))</f>
        <v>0</v>
      </c>
      <c r="T39" s="117"/>
      <c r="U39" s="131">
        <f t="shared" si="6"/>
        <v>10.680979980008077</v>
      </c>
      <c r="V39" s="38">
        <f>IF(ISERROR(ROUND((((((ROUNDDOWN((D39/5),0)*Settings!$F$7)+(E39*Settings!$I$7))+(F39*Settings!$I$11))+(ROUNDDOWN((G39/5),0)*Settings!$F$11))+(H39*Settings!$F$12)),1)),0,ROUND((((((ROUNDDOWN((D39/5),0)*Settings!$F$7)+(E39*Settings!$I$7))+(F39*Settings!$I$11))+(ROUNDDOWN((G39/5),0)*Settings!$F$11))+(H39*Settings!$F$12)),1))</f>
        <v>118.5</v>
      </c>
      <c r="W39" s="38">
        <f>IF(ISERROR(ROUND((((((ROUNDDOWN((I39/5),0)*Settings!$F$7)+(J39*Settings!$I$7))+(K39*Settings!$I$11))+(ROUNDDOWN((L39/5),0)*Settings!$F$11))+(M39*Settings!$F$12)),1)),0,ROUND((((((ROUNDDOWN((I39/5),0)*Settings!$F$7)+(J39*Settings!$I$7))+(K39*Settings!$I$11))+(ROUNDDOWN((L39/5),0)*Settings!$F$11))+(M39*Settings!$F$12)),1))</f>
        <v>102</v>
      </c>
      <c r="X39" s="38">
        <f>IF(AND((N39=""),(P39="")),0,((((((ROUND((N39/5),0)*Settings!$F$7)+(O39*Settings!$I$7))+(P39*Settings!$I$11))+(ROUND((Q39/5),0)*Settings!$F$11))+(R39*Settings!$F$12))+(S39*Settings!$F$15)))</f>
        <v>122</v>
      </c>
      <c r="Y39" s="66">
        <f>ROUND((((V39*Settings!$B$21)+(W39*Settings!$B$22))+(X39*Settings!$B$23)),1)</f>
        <v>114.2</v>
      </c>
      <c r="Z39" s="66">
        <f>IF(ISERROR(VLOOKUP(RANK(Y39,$Y$4:$Y$182),Z$4:Z38,1,0)),RANK(Y39,$Y$4:$Y$182),IF(ISERROR(VLOOKUP((RANK(Y39,$Y$4:$Y$182)+1),Z$4:Z38,1,0)),(RANK(Y39,$Y$4:$Y$182)+1),IF(ISERROR(VLOOKUP((RANK(Y39,$Y$4:$Y$182)+2),Z$4:Z38,1,0)),(RANK(Y39,$Y$4:$Y$182)+2),(RANK(Y39,$Y$4:$Y$182)+3))))</f>
        <v>40</v>
      </c>
      <c r="AA39" t="str">
        <f t="shared" si="7"/>
        <v>Khiry Robinson</v>
      </c>
    </row>
    <row r="40" spans="1:27" ht="12.75" customHeight="1">
      <c r="A40" s="33" t="str">
        <f>ESPNData!R39</f>
        <v>Lamar Miller, Mia RB</v>
      </c>
      <c r="B40" s="33" t="str">
        <f t="shared" si="4"/>
        <v>Lamar Miller</v>
      </c>
      <c r="C40" s="64" t="str">
        <f t="shared" si="5"/>
        <v>MIA</v>
      </c>
      <c r="D40" s="117">
        <f>IF(OR(($A40=Settings!$A$30),ISERROR(VLOOKUP($B40,FFTodayData!$P:$Y,5,0))),"",VLOOKUP($B40,FFTodayData!$P:$Y,5,0))</f>
        <v>740</v>
      </c>
      <c r="E40" s="33">
        <f>IF(OR(($A40=Settings!$A$30),ISERROR(VLOOKUP($B40,FFTodayData!$P:$Y,6,0))),"",VLOOKUP($B40,FFTodayData!$P:$Y,6,0))</f>
        <v>5</v>
      </c>
      <c r="F40" s="33">
        <f>IF(OR(($A40=Settings!$A$30),ISERROR(VLOOKUP($B40,FFTodayData!$P:$Y,7,0))),"",VLOOKUP($B40,FFTodayData!$P:$Y,7,0))</f>
        <v>28</v>
      </c>
      <c r="G40" s="33">
        <f>IF(OR(($A40=Settings!$A$30),ISERROR(VLOOKUP($B40,FFTodayData!$P:$Y,8,0))),"",VLOOKUP($B40,FFTodayData!$P:$Y,8,0))</f>
        <v>187</v>
      </c>
      <c r="H40" s="64">
        <f>IF(OR(($A40=Settings!$A$30),ISERROR(VLOOKUP($B40,FFTodayData!$P:$Y,9,0))),"",VLOOKUP($B40,FFTodayData!$P:$Y,9,0))</f>
        <v>0</v>
      </c>
      <c r="I40" s="117">
        <f>IF(ISERROR(VLOOKUP($A40,ESPNData!$R:$AE,9,0)),"",VLOOKUP($A40,ESPNData!$R:$AE,9,0))</f>
        <v>470</v>
      </c>
      <c r="J40" s="33">
        <f>IF(ISERROR(VLOOKUP($A40,ESPNData!$R:$AE,10,0)),"",VLOOKUP($A40,ESPNData!$R:$AE,10,0))</f>
        <v>3</v>
      </c>
      <c r="K40" s="33">
        <f>IF(ISERROR(VLOOKUP($A40,ESPNData!$R:$AE,11,0)),"",VLOOKUP($A40,ESPNData!$R:$AE,11,0))</f>
        <v>21</v>
      </c>
      <c r="L40" s="33">
        <f>IF(ISERROR(VLOOKUP($A40,ESPNData!$R:$AE,12,0)),"",VLOOKUP($A40,ESPNData!$R:$AE,12,0))</f>
        <v>191</v>
      </c>
      <c r="M40" s="64">
        <f>IF(ISERROR(VLOOKUP($A40,ESPNData!$R:$AE,13,0)),"",VLOOKUP($A40,ESPNData!$R:$AE,13,0))</f>
        <v>0</v>
      </c>
      <c r="N40" s="115">
        <f>IF(OR(($A40=Settings!$A$30),ISERROR(VLOOKUP($B40,SportslineData!$Q:$AB,4,0))),"",VLOOKUP($B40,SportslineData!$Q:$AB,4,0))</f>
        <v>870</v>
      </c>
      <c r="O40" s="82">
        <f>IF(OR(($A40=Settings!$A$30),ISERROR(VLOOKUP($B40,SportslineData!$Q:$AB,6,0))),"",ROUND(VLOOKUP($B40,SportslineData!$Q:$AB,6,0),0))</f>
        <v>6</v>
      </c>
      <c r="P40" s="82">
        <f>IF(OR(($A40=Settings!$A$30),ISERROR(VLOOKUP($B40,SportslineData!$Q:$AB,7,0))),"",ROUND(VLOOKUP($B40,SportslineData!$Q:$AB,7,0),0))</f>
        <v>32</v>
      </c>
      <c r="Q40" s="82">
        <f>IF(OR(($A40=Settings!$A$30),ISERROR(VLOOKUP($B40,SportslineData!$Q:$AB,8,0))),"",VLOOKUP($B40,SportslineData!$Q:$AB,8,0))</f>
        <v>245</v>
      </c>
      <c r="R40" s="82">
        <f>IF(OR(($A40=Settings!$A$30),ISERROR(VLOOKUP($B40,SportslineData!$Q:$AB,10,0))),"",ROUND(VLOOKUP($B40,SportslineData!$Q:$AB,10,0),0))</f>
        <v>1</v>
      </c>
      <c r="S40" s="74">
        <f>IF(OR(($A40=Settings!$A$30),ISERROR(VLOOKUP($B40,SportslineData!$Q:$AB,11,0))),"",ROUND(VLOOKUP($B40,SportslineData!$Q:$AB,11,0),0))</f>
        <v>1</v>
      </c>
      <c r="T40" s="117"/>
      <c r="U40" s="131">
        <f t="shared" si="6"/>
        <v>37.112441759244732</v>
      </c>
      <c r="V40" s="38">
        <f>IF(ISERROR(ROUND((((((ROUNDDOWN((D40/5),0)*Settings!$F$7)+(E40*Settings!$I$7))+(F40*Settings!$I$11))+(ROUNDDOWN((G40/5),0)*Settings!$F$11))+(H40*Settings!$F$12)),1)),0,ROUND((((((ROUNDDOWN((D40/5),0)*Settings!$F$7)+(E40*Settings!$I$7))+(F40*Settings!$I$11))+(ROUNDDOWN((G40/5),0)*Settings!$F$11))+(H40*Settings!$F$12)),1))</f>
        <v>136.5</v>
      </c>
      <c r="W40" s="38">
        <f>IF(ISERROR(ROUND((((((ROUNDDOWN((I40/5),0)*Settings!$F$7)+(J40*Settings!$I$7))+(K40*Settings!$I$11))+(ROUNDDOWN((L40/5),0)*Settings!$F$11))+(M40*Settings!$F$12)),1)),0,ROUND((((((ROUNDDOWN((I40/5),0)*Settings!$F$7)+(J40*Settings!$I$7))+(K40*Settings!$I$11))+(ROUNDDOWN((L40/5),0)*Settings!$F$11))+(M40*Settings!$F$12)),1))</f>
        <v>94.5</v>
      </c>
      <c r="X40" s="38">
        <f>IF(AND((N40=""),(P40="")),0,((((((ROUND((N40/5),0)*Settings!$F$7)+(O40*Settings!$I$7))+(P40*Settings!$I$11))+(ROUND((Q40/5),0)*Settings!$F$11))+(R40*Settings!$F$12))+(S40*Settings!$F$15)))</f>
        <v>168.5</v>
      </c>
      <c r="Y40" s="66">
        <f>ROUND((((V40*Settings!$B$21)+(W40*Settings!$B$22))+(X40*Settings!$B$23)),1)</f>
        <v>133.5</v>
      </c>
      <c r="Z40" s="66">
        <f>IF(ISERROR(VLOOKUP(RANK(Y40,$Y$4:$Y$182),Z$4:Z39,1,0)),RANK(Y40,$Y$4:$Y$182),IF(ISERROR(VLOOKUP((RANK(Y40,$Y$4:$Y$182)+1),Z$4:Z39,1,0)),(RANK(Y40,$Y$4:$Y$182)+1),IF(ISERROR(VLOOKUP((RANK(Y40,$Y$4:$Y$182)+2),Z$4:Z39,1,0)),(RANK(Y40,$Y$4:$Y$182)+2),(RANK(Y40,$Y$4:$Y$182)+3))))</f>
        <v>38</v>
      </c>
      <c r="AA40" t="str">
        <f t="shared" si="7"/>
        <v>Lamar Miller</v>
      </c>
    </row>
    <row r="41" spans="1:27" ht="12.75" customHeight="1">
      <c r="A41" s="33" t="str">
        <f>ESPNData!R40</f>
        <v>Chris Ivory, NYJ RB  P</v>
      </c>
      <c r="B41" s="33" t="str">
        <f t="shared" si="4"/>
        <v>Chris Ivory</v>
      </c>
      <c r="C41" s="64" t="str">
        <f t="shared" si="5"/>
        <v>NYJ</v>
      </c>
      <c r="D41" s="117">
        <f>IF(OR(($A41=Settings!$A$30),ISERROR(VLOOKUP($B41,FFTodayData!$P:$Y,5,0))),"",VLOOKUP($B41,FFTodayData!$P:$Y,5,0))</f>
        <v>641</v>
      </c>
      <c r="E41" s="33">
        <f>IF(OR(($A41=Settings!$A$30),ISERROR(VLOOKUP($B41,FFTodayData!$P:$Y,6,0))),"",VLOOKUP($B41,FFTodayData!$P:$Y,6,0))</f>
        <v>4</v>
      </c>
      <c r="F41" s="33">
        <f>IF(OR(($A41=Settings!$A$30),ISERROR(VLOOKUP($B41,FFTodayData!$P:$Y,7,0))),"",VLOOKUP($B41,FFTodayData!$P:$Y,7,0))</f>
        <v>6</v>
      </c>
      <c r="G41" s="33">
        <f>IF(OR(($A41=Settings!$A$30),ISERROR(VLOOKUP($B41,FFTodayData!$P:$Y,8,0))),"",VLOOKUP($B41,FFTodayData!$P:$Y,8,0))</f>
        <v>37</v>
      </c>
      <c r="H41" s="64">
        <f>IF(OR(($A41=Settings!$A$30),ISERROR(VLOOKUP($B41,FFTodayData!$P:$Y,9,0))),"",VLOOKUP($B41,FFTodayData!$P:$Y,9,0))</f>
        <v>0</v>
      </c>
      <c r="I41" s="117">
        <f>IF(ISERROR(VLOOKUP($A41,ESPNData!$R:$AE,9,0)),"",VLOOKUP($A41,ESPNData!$R:$AE,9,0))</f>
        <v>607</v>
      </c>
      <c r="J41" s="33">
        <f>IF(ISERROR(VLOOKUP($A41,ESPNData!$R:$AE,10,0)),"",VLOOKUP($A41,ESPNData!$R:$AE,10,0))</f>
        <v>5</v>
      </c>
      <c r="K41" s="33">
        <f>IF(ISERROR(VLOOKUP($A41,ESPNData!$R:$AE,11,0)),"",VLOOKUP($A41,ESPNData!$R:$AE,11,0))</f>
        <v>2</v>
      </c>
      <c r="L41" s="33">
        <f>IF(ISERROR(VLOOKUP($A41,ESPNData!$R:$AE,12,0)),"",VLOOKUP($A41,ESPNData!$R:$AE,12,0))</f>
        <v>11</v>
      </c>
      <c r="M41" s="64">
        <f>IF(ISERROR(VLOOKUP($A41,ESPNData!$R:$AE,13,0)),"",VLOOKUP($A41,ESPNData!$R:$AE,13,0))</f>
        <v>0</v>
      </c>
      <c r="N41" s="115">
        <f>IF(OR(($A41=Settings!$A$30),ISERROR(VLOOKUP($B41,SportslineData!$Q:$AB,4,0))),"",VLOOKUP($B41,SportslineData!$Q:$AB,4,0))</f>
        <v>695</v>
      </c>
      <c r="O41" s="82">
        <f>IF(OR(($A41=Settings!$A$30),ISERROR(VLOOKUP($B41,SportslineData!$Q:$AB,6,0))),"",ROUND(VLOOKUP($B41,SportslineData!$Q:$AB,6,0),0))</f>
        <v>5</v>
      </c>
      <c r="P41" s="82">
        <f>IF(OR(($A41=Settings!$A$30),ISERROR(VLOOKUP($B41,SportslineData!$Q:$AB,7,0))),"",ROUND(VLOOKUP($B41,SportslineData!$Q:$AB,7,0),0))</f>
        <v>3</v>
      </c>
      <c r="Q41" s="82">
        <f>IF(OR(($A41=Settings!$A$30),ISERROR(VLOOKUP($B41,SportslineData!$Q:$AB,8,0))),"",VLOOKUP($B41,SportslineData!$Q:$AB,8,0))</f>
        <v>16</v>
      </c>
      <c r="R41" s="82">
        <f>IF(OR(($A41=Settings!$A$30),ISERROR(VLOOKUP($B41,SportslineData!$Q:$AB,10,0))),"",ROUND(VLOOKUP($B41,SportslineData!$Q:$AB,10,0),0))</f>
        <v>0</v>
      </c>
      <c r="S41" s="74">
        <f>IF(OR(($A41=Settings!$A$30),ISERROR(VLOOKUP($B41,SportslineData!$Q:$AB,11,0))),"",ROUND(VLOOKUP($B41,SportslineData!$Q:$AB,11,0),0))</f>
        <v>2</v>
      </c>
      <c r="T41" s="117"/>
      <c r="U41" s="131">
        <f t="shared" si="6"/>
        <v>4.1633319989322652</v>
      </c>
      <c r="V41" s="38">
        <f>IF(ISERROR(ROUND((((((ROUNDDOWN((D41/5),0)*Settings!$F$7)+(E41*Settings!$I$7))+(F41*Settings!$I$11))+(ROUNDDOWN((G41/5),0)*Settings!$F$11))+(H41*Settings!$F$12)),1)),0,ROUND((((((ROUNDDOWN((D41/5),0)*Settings!$F$7)+(E41*Settings!$I$7))+(F41*Settings!$I$11))+(ROUNDDOWN((G41/5),0)*Settings!$F$11))+(H41*Settings!$F$12)),1))</f>
        <v>94.5</v>
      </c>
      <c r="W41" s="38">
        <f>IF(ISERROR(ROUND((((((ROUNDDOWN((I41/5),0)*Settings!$F$7)+(J41*Settings!$I$7))+(K41*Settings!$I$11))+(ROUNDDOWN((L41/5),0)*Settings!$F$11))+(M41*Settings!$F$12)),1)),0,ROUND((((((ROUNDDOWN((I41/5),0)*Settings!$F$7)+(J41*Settings!$I$7))+(K41*Settings!$I$11))+(ROUNDDOWN((L41/5),0)*Settings!$F$11))+(M41*Settings!$F$12)),1))</f>
        <v>92.5</v>
      </c>
      <c r="X41" s="38">
        <f>IF(AND((N41=""),(P41="")),0,((((((ROUND((N41/5),0)*Settings!$F$7)+(O41*Settings!$I$7))+(P41*Settings!$I$11))+(ROUND((Q41/5),0)*Settings!$F$11))+(R41*Settings!$F$12))+(S41*Settings!$F$15)))</f>
        <v>100.5</v>
      </c>
      <c r="Y41" s="66">
        <f>ROUND((((V41*Settings!$B$21)+(W41*Settings!$B$22))+(X41*Settings!$B$23)),1)</f>
        <v>95.9</v>
      </c>
      <c r="Z41" s="66">
        <f>IF(ISERROR(VLOOKUP(RANK(Y41,$Y$4:$Y$182),Z$4:Z40,1,0)),RANK(Y41,$Y$4:$Y$182),IF(ISERROR(VLOOKUP((RANK(Y41,$Y$4:$Y$182)+1),Z$4:Z40,1,0)),(RANK(Y41,$Y$4:$Y$182)+1),IF(ISERROR(VLOOKUP((RANK(Y41,$Y$4:$Y$182)+2),Z$4:Z40,1,0)),(RANK(Y41,$Y$4:$Y$182)+2),(RANK(Y41,$Y$4:$Y$182)+3))))</f>
        <v>45</v>
      </c>
      <c r="AA41" t="str">
        <f t="shared" si="7"/>
        <v>Chris Ivory</v>
      </c>
    </row>
    <row r="42" spans="1:27" ht="12.75" customHeight="1">
      <c r="A42" s="33" t="str">
        <f>ESPNData!R41</f>
        <v>Danny Woodhead, SD RB</v>
      </c>
      <c r="B42" s="33" t="str">
        <f t="shared" si="4"/>
        <v>Danny Woodhead</v>
      </c>
      <c r="C42" s="64" t="str">
        <f t="shared" si="5"/>
        <v>SD</v>
      </c>
      <c r="D42" s="117">
        <f>IF(OR(($A42=Settings!$A$30),ISERROR(VLOOKUP($B42,FFTodayData!$P:$Y,5,0))),"",VLOOKUP($B42,FFTodayData!$P:$Y,5,0))</f>
        <v>322</v>
      </c>
      <c r="E42" s="33">
        <f>IF(OR(($A42=Settings!$A$30),ISERROR(VLOOKUP($B42,FFTodayData!$P:$Y,6,0))),"",VLOOKUP($B42,FFTodayData!$P:$Y,6,0))</f>
        <v>1</v>
      </c>
      <c r="F42" s="33">
        <f>IF(OR(($A42=Settings!$A$30),ISERROR(VLOOKUP($B42,FFTodayData!$P:$Y,7,0))),"",VLOOKUP($B42,FFTodayData!$P:$Y,7,0))</f>
        <v>71</v>
      </c>
      <c r="G42" s="33">
        <f>IF(OR(($A42=Settings!$A$30),ISERROR(VLOOKUP($B42,FFTodayData!$P:$Y,8,0))),"",VLOOKUP($B42,FFTodayData!$P:$Y,8,0))</f>
        <v>589</v>
      </c>
      <c r="H42" s="64">
        <f>IF(OR(($A42=Settings!$A$30),ISERROR(VLOOKUP($B42,FFTodayData!$P:$Y,9,0))),"",VLOOKUP($B42,FFTodayData!$P:$Y,9,0))</f>
        <v>3</v>
      </c>
      <c r="I42" s="117">
        <f>IF(ISERROR(VLOOKUP($A42,ESPNData!$R:$AE,9,0)),"",VLOOKUP($A42,ESPNData!$R:$AE,9,0))</f>
        <v>385</v>
      </c>
      <c r="J42" s="33">
        <f>IF(ISERROR(VLOOKUP($A42,ESPNData!$R:$AE,10,0)),"",VLOOKUP($A42,ESPNData!$R:$AE,10,0))</f>
        <v>1</v>
      </c>
      <c r="K42" s="33">
        <f>IF(ISERROR(VLOOKUP($A42,ESPNData!$R:$AE,11,0)),"",VLOOKUP($A42,ESPNData!$R:$AE,11,0))</f>
        <v>67</v>
      </c>
      <c r="L42" s="33">
        <f>IF(ISERROR(VLOOKUP($A42,ESPNData!$R:$AE,12,0)),"",VLOOKUP($A42,ESPNData!$R:$AE,12,0))</f>
        <v>534</v>
      </c>
      <c r="M42" s="64">
        <f>IF(ISERROR(VLOOKUP($A42,ESPNData!$R:$AE,13,0)),"",VLOOKUP($A42,ESPNData!$R:$AE,13,0))</f>
        <v>5</v>
      </c>
      <c r="N42" s="115">
        <f>IF(OR(($A42=Settings!$A$30),ISERROR(VLOOKUP($B42,SportslineData!$Q:$AB,4,0))),"",VLOOKUP($B42,SportslineData!$Q:$AB,4,0))</f>
        <v>347</v>
      </c>
      <c r="O42" s="82">
        <f>IF(OR(($A42=Settings!$A$30),ISERROR(VLOOKUP($B42,SportslineData!$Q:$AB,6,0))),"",ROUND(VLOOKUP($B42,SportslineData!$Q:$AB,6,0),0))</f>
        <v>2</v>
      </c>
      <c r="P42" s="82">
        <f>IF(OR(($A42=Settings!$A$30),ISERROR(VLOOKUP($B42,SportslineData!$Q:$AB,7,0))),"",ROUND(VLOOKUP($B42,SportslineData!$Q:$AB,7,0),0))</f>
        <v>63</v>
      </c>
      <c r="Q42" s="82">
        <f>IF(OR(($A42=Settings!$A$30),ISERROR(VLOOKUP($B42,SportslineData!$Q:$AB,8,0))),"",VLOOKUP($B42,SportslineData!$Q:$AB,8,0))</f>
        <v>565</v>
      </c>
      <c r="R42" s="82">
        <f>IF(OR(($A42=Settings!$A$30),ISERROR(VLOOKUP($B42,SportslineData!$Q:$AB,10,0))),"",ROUND(VLOOKUP($B42,SportslineData!$Q:$AB,10,0),0))</f>
        <v>4</v>
      </c>
      <c r="S42" s="74">
        <f>IF(OR(($A42=Settings!$A$30),ISERROR(VLOOKUP($B42,SportslineData!$Q:$AB,11,0))),"",ROUND(VLOOKUP($B42,SportslineData!$Q:$AB,11,0),0))</f>
        <v>1</v>
      </c>
      <c r="T42" s="117"/>
      <c r="U42" s="131">
        <f t="shared" si="6"/>
        <v>5.6199051000291211</v>
      </c>
      <c r="V42" s="38">
        <f>IF(ISERROR(ROUND((((((ROUNDDOWN((D42/5),0)*Settings!$F$7)+(E42*Settings!$I$7))+(F42*Settings!$I$11))+(ROUNDDOWN((G42/5),0)*Settings!$F$11))+(H42*Settings!$F$12)),1)),0,ROUND((((((ROUNDDOWN((D42/5),0)*Settings!$F$7)+(E42*Settings!$I$7))+(F42*Settings!$I$11))+(ROUNDDOWN((G42/5),0)*Settings!$F$11))+(H42*Settings!$F$12)),1))</f>
        <v>150</v>
      </c>
      <c r="W42" s="38">
        <f>IF(ISERROR(ROUND((((((ROUNDDOWN((I42/5),0)*Settings!$F$7)+(J42*Settings!$I$7))+(K42*Settings!$I$11))+(ROUNDDOWN((L42/5),0)*Settings!$F$11))+(M42*Settings!$F$12)),1)),0,ROUND((((((ROUNDDOWN((I42/5),0)*Settings!$F$7)+(J42*Settings!$I$7))+(K42*Settings!$I$11))+(ROUNDDOWN((L42/5),0)*Settings!$F$11))+(M42*Settings!$F$12)),1))</f>
        <v>161</v>
      </c>
      <c r="X42" s="38">
        <f>IF(AND((N42=""),(P42="")),0,((((((ROUND((N42/5),0)*Settings!$F$7)+(O42*Settings!$I$7))+(P42*Settings!$I$11))+(ROUND((Q42/5),0)*Settings!$F$11))+(R42*Settings!$F$12))+(S42*Settings!$F$15)))</f>
        <v>157.5</v>
      </c>
      <c r="Y42" s="66">
        <f>ROUND((((V42*Settings!$B$21)+(W42*Settings!$B$22))+(X42*Settings!$B$23)),1)</f>
        <v>156.19999999999999</v>
      </c>
      <c r="Z42" s="66">
        <f>IF(ISERROR(VLOOKUP(RANK(Y42,$Y$4:$Y$182),Z$4:Z41,1,0)),RANK(Y42,$Y$4:$Y$182),IF(ISERROR(VLOOKUP((RANK(Y42,$Y$4:$Y$182)+1),Z$4:Z41,1,0)),(RANK(Y42,$Y$4:$Y$182)+1),IF(ISERROR(VLOOKUP((RANK(Y42,$Y$4:$Y$182)+2),Z$4:Z41,1,0)),(RANK(Y42,$Y$4:$Y$182)+2),(RANK(Y42,$Y$4:$Y$182)+3))))</f>
        <v>31</v>
      </c>
      <c r="AA42" t="str">
        <f t="shared" si="7"/>
        <v>Danny Woodhead</v>
      </c>
    </row>
    <row r="43" spans="1:27" ht="12.75" customHeight="1">
      <c r="A43" s="33" t="str">
        <f>ESPNData!R42</f>
        <v>Knowshon Moreno, Mia RB</v>
      </c>
      <c r="B43" s="33" t="str">
        <f t="shared" si="4"/>
        <v>Knowshon Moreno</v>
      </c>
      <c r="C43" s="64" t="str">
        <f t="shared" si="5"/>
        <v>MIA</v>
      </c>
      <c r="D43" s="117">
        <f>IF(OR(($A43=Settings!$A$30),ISERROR(VLOOKUP($B43,FFTodayData!$P:$Y,5,0))),"",VLOOKUP($B43,FFTodayData!$P:$Y,5,0))</f>
        <v>647</v>
      </c>
      <c r="E43" s="33">
        <f>IF(OR(($A43=Settings!$A$30),ISERROR(VLOOKUP($B43,FFTodayData!$P:$Y,6,0))),"",VLOOKUP($B43,FFTodayData!$P:$Y,6,0))</f>
        <v>4</v>
      </c>
      <c r="F43" s="33">
        <f>IF(OR(($A43=Settings!$A$30),ISERROR(VLOOKUP($B43,FFTodayData!$P:$Y,7,0))),"",VLOOKUP($B43,FFTodayData!$P:$Y,7,0))</f>
        <v>33</v>
      </c>
      <c r="G43" s="33">
        <f>IF(OR(($A43=Settings!$A$30),ISERROR(VLOOKUP($B43,FFTodayData!$P:$Y,8,0))),"",VLOOKUP($B43,FFTodayData!$P:$Y,8,0))</f>
        <v>255</v>
      </c>
      <c r="H43" s="64">
        <f>IF(OR(($A43=Settings!$A$30),ISERROR(VLOOKUP($B43,FFTodayData!$P:$Y,9,0))),"",VLOOKUP($B43,FFTodayData!$P:$Y,9,0))</f>
        <v>1</v>
      </c>
      <c r="I43" s="117">
        <f>IF(ISERROR(VLOOKUP($A43,ESPNData!$R:$AE,9,0)),"",VLOOKUP($A43,ESPNData!$R:$AE,9,0))</f>
        <v>710</v>
      </c>
      <c r="J43" s="33">
        <f>IF(ISERROR(VLOOKUP($A43,ESPNData!$R:$AE,10,0)),"",VLOOKUP($A43,ESPNData!$R:$AE,10,0))</f>
        <v>5</v>
      </c>
      <c r="K43" s="33">
        <f>IF(ISERROR(VLOOKUP($A43,ESPNData!$R:$AE,11,0)),"",VLOOKUP($A43,ESPNData!$R:$AE,11,0))</f>
        <v>31</v>
      </c>
      <c r="L43" s="33">
        <f>IF(ISERROR(VLOOKUP($A43,ESPNData!$R:$AE,12,0)),"",VLOOKUP($A43,ESPNData!$R:$AE,12,0))</f>
        <v>240</v>
      </c>
      <c r="M43" s="64">
        <f>IF(ISERROR(VLOOKUP($A43,ESPNData!$R:$AE,13,0)),"",VLOOKUP($A43,ESPNData!$R:$AE,13,0))</f>
        <v>1</v>
      </c>
      <c r="N43" s="115">
        <f>IF(OR(($A43=Settings!$A$30),ISERROR(VLOOKUP($B43,SportslineData!$Q:$AB,4,0))),"",VLOOKUP($B43,SportslineData!$Q:$AB,4,0))</f>
        <v>587.5</v>
      </c>
      <c r="O43" s="82">
        <f>IF(OR(($A43=Settings!$A$30),ISERROR(VLOOKUP($B43,SportslineData!$Q:$AB,6,0))),"",ROUND(VLOOKUP($B43,SportslineData!$Q:$AB,6,0),0))</f>
        <v>4</v>
      </c>
      <c r="P43" s="82">
        <f>IF(OR(($A43=Settings!$A$30),ISERROR(VLOOKUP($B43,SportslineData!$Q:$AB,7,0))),"",ROUND(VLOOKUP($B43,SportslineData!$Q:$AB,7,0),0))</f>
        <v>27</v>
      </c>
      <c r="Q43" s="82">
        <f>IF(OR(($A43=Settings!$A$30),ISERROR(VLOOKUP($B43,SportslineData!$Q:$AB,8,0))),"",VLOOKUP($B43,SportslineData!$Q:$AB,8,0))</f>
        <v>221.5</v>
      </c>
      <c r="R43" s="82">
        <f>IF(OR(($A43=Settings!$A$30),ISERROR(VLOOKUP($B43,SportslineData!$Q:$AB,10,0))),"",ROUND(VLOOKUP($B43,SportslineData!$Q:$AB,10,0),0))</f>
        <v>1</v>
      </c>
      <c r="S43" s="74">
        <f>IF(OR(($A43=Settings!$A$30),ISERROR(VLOOKUP($B43,SportslineData!$Q:$AB,11,0))),"",ROUND(VLOOKUP($B43,SportslineData!$Q:$AB,11,0),0))</f>
        <v>2</v>
      </c>
      <c r="T43" s="117"/>
      <c r="U43" s="131">
        <f t="shared" si="6"/>
        <v>12.055427546683415</v>
      </c>
      <c r="V43" s="38">
        <f>IF(ISERROR(ROUND((((((ROUNDDOWN((D43/5),0)*Settings!$F$7)+(E43*Settings!$I$7))+(F43*Settings!$I$11))+(ROUNDDOWN((G43/5),0)*Settings!$F$11))+(H43*Settings!$F$12)),1)),0,ROUND((((((ROUNDDOWN((D43/5),0)*Settings!$F$7)+(E43*Settings!$I$7))+(F43*Settings!$I$11))+(ROUNDDOWN((G43/5),0)*Settings!$F$11))+(H43*Settings!$F$12)),1))</f>
        <v>136.5</v>
      </c>
      <c r="W43" s="38">
        <f>IF(ISERROR(ROUND((((((ROUNDDOWN((I43/5),0)*Settings!$F$7)+(J43*Settings!$I$7))+(K43*Settings!$I$11))+(ROUNDDOWN((L43/5),0)*Settings!$F$11))+(M43*Settings!$F$12)),1)),0,ROUND((((((ROUNDDOWN((I43/5),0)*Settings!$F$7)+(J43*Settings!$I$7))+(K43*Settings!$I$11))+(ROUNDDOWN((L43/5),0)*Settings!$F$11))+(M43*Settings!$F$12)),1))</f>
        <v>146.5</v>
      </c>
      <c r="X43" s="38">
        <f>IF(AND((N43=""),(P43="")),0,((((((ROUND((N43/5),0)*Settings!$F$7)+(O43*Settings!$I$7))+(P43*Settings!$I$11))+(ROUND((Q43/5),0)*Settings!$F$11))+(R43*Settings!$F$12))+(S43*Settings!$F$15)))</f>
        <v>122.5</v>
      </c>
      <c r="Y43" s="66">
        <f>ROUND((((V43*Settings!$B$21)+(W43*Settings!$B$22))+(X43*Settings!$B$23)),1)</f>
        <v>135</v>
      </c>
      <c r="Z43" s="66">
        <f>IF(ISERROR(VLOOKUP(RANK(Y43,$Y$4:$Y$182),Z$4:Z42,1,0)),RANK(Y43,$Y$4:$Y$182),IF(ISERROR(VLOOKUP((RANK(Y43,$Y$4:$Y$182)+1),Z$4:Z42,1,0)),(RANK(Y43,$Y$4:$Y$182)+1),IF(ISERROR(VLOOKUP((RANK(Y43,$Y$4:$Y$182)+2),Z$4:Z42,1,0)),(RANK(Y43,$Y$4:$Y$182)+2),(RANK(Y43,$Y$4:$Y$182)+3))))</f>
        <v>37</v>
      </c>
      <c r="AA43" t="str">
        <f t="shared" si="7"/>
        <v>Knowshon Moreno</v>
      </c>
    </row>
    <row r="44" spans="1:27" ht="12.75" customHeight="1">
      <c r="A44" s="33" t="str">
        <f>ESPNData!R45</f>
        <v>Shonn Greene, Ten RB  P</v>
      </c>
      <c r="B44" s="33" t="str">
        <f t="shared" si="4"/>
        <v>Shonn Greene</v>
      </c>
      <c r="C44" s="64" t="str">
        <f t="shared" si="5"/>
        <v>TEN</v>
      </c>
      <c r="D44" s="117">
        <f>IF(OR(($A44=Settings!$A$30),ISERROR(VLOOKUP($B44,FFTodayData!$P:$Y,5,0))),"",VLOOKUP($B44,FFTodayData!$P:$Y,5,0))</f>
        <v>488</v>
      </c>
      <c r="E44" s="33">
        <f>IF(OR(($A44=Settings!$A$30),ISERROR(VLOOKUP($B44,FFTodayData!$P:$Y,6,0))),"",VLOOKUP($B44,FFTodayData!$P:$Y,6,0))</f>
        <v>5</v>
      </c>
      <c r="F44" s="33">
        <f>IF(OR(($A44=Settings!$A$30),ISERROR(VLOOKUP($B44,FFTodayData!$P:$Y,7,0))),"",VLOOKUP($B44,FFTodayData!$P:$Y,7,0))</f>
        <v>13</v>
      </c>
      <c r="G44" s="33">
        <f>IF(OR(($A44=Settings!$A$30),ISERROR(VLOOKUP($B44,FFTodayData!$P:$Y,8,0))),"",VLOOKUP($B44,FFTodayData!$P:$Y,8,0))</f>
        <v>89</v>
      </c>
      <c r="H44" s="64">
        <f>IF(OR(($A44=Settings!$A$30),ISERROR(VLOOKUP($B44,FFTodayData!$P:$Y,9,0))),"",VLOOKUP($B44,FFTodayData!$P:$Y,9,0))</f>
        <v>0</v>
      </c>
      <c r="I44" s="117">
        <f>IF(ISERROR(VLOOKUP($A44,ESPNData!$R:$AE,9,0)),"",VLOOKUP($A44,ESPNData!$R:$AE,9,0))</f>
        <v>519</v>
      </c>
      <c r="J44" s="33">
        <f>IF(ISERROR(VLOOKUP($A44,ESPNData!$R:$AE,10,0)),"",VLOOKUP($A44,ESPNData!$R:$AE,10,0))</f>
        <v>5</v>
      </c>
      <c r="K44" s="33">
        <f>IF(ISERROR(VLOOKUP($A44,ESPNData!$R:$AE,11,0)),"",VLOOKUP($A44,ESPNData!$R:$AE,11,0))</f>
        <v>6</v>
      </c>
      <c r="L44" s="33">
        <f>IF(ISERROR(VLOOKUP($A44,ESPNData!$R:$AE,12,0)),"",VLOOKUP($A44,ESPNData!$R:$AE,12,0))</f>
        <v>41</v>
      </c>
      <c r="M44" s="64">
        <f>IF(ISERROR(VLOOKUP($A44,ESPNData!$R:$AE,13,0)),"",VLOOKUP($A44,ESPNData!$R:$AE,13,0))</f>
        <v>0</v>
      </c>
      <c r="N44" s="115">
        <f>IF(OR(($A44=Settings!$A$30),ISERROR(VLOOKUP($B44,SportslineData!$Q:$AB,4,0))),"",VLOOKUP($B44,SportslineData!$Q:$AB,4,0))</f>
        <v>518.5</v>
      </c>
      <c r="O44" s="82">
        <f>IF(OR(($A44=Settings!$A$30),ISERROR(VLOOKUP($B44,SportslineData!$Q:$AB,6,0))),"",ROUND(VLOOKUP($B44,SportslineData!$Q:$AB,6,0),0))</f>
        <v>5</v>
      </c>
      <c r="P44" s="82">
        <f>IF(OR(($A44=Settings!$A$30),ISERROR(VLOOKUP($B44,SportslineData!$Q:$AB,7,0))),"",ROUND(VLOOKUP($B44,SportslineData!$Q:$AB,7,0),0))</f>
        <v>11</v>
      </c>
      <c r="Q44" s="82">
        <f>IF(OR(($A44=Settings!$A$30),ISERROR(VLOOKUP($B44,SportslineData!$Q:$AB,8,0))),"",VLOOKUP($B44,SportslineData!$Q:$AB,8,0))</f>
        <v>81.5</v>
      </c>
      <c r="R44" s="82">
        <f>IF(OR(($A44=Settings!$A$30),ISERROR(VLOOKUP($B44,SportslineData!$Q:$AB,10,0))),"",ROUND(VLOOKUP($B44,SportslineData!$Q:$AB,10,0),0))</f>
        <v>0</v>
      </c>
      <c r="S44" s="74">
        <f>IF(OR(($A44=Settings!$A$30),ISERROR(VLOOKUP($B44,SportslineData!$Q:$AB,11,0))),"",ROUND(VLOOKUP($B44,SportslineData!$Q:$AB,11,0),0))</f>
        <v>1</v>
      </c>
      <c r="T44" s="117"/>
      <c r="U44" s="131">
        <f t="shared" si="6"/>
        <v>3.214550253664318</v>
      </c>
      <c r="V44" s="38">
        <f>IF(ISERROR(ROUND((((((ROUNDDOWN((D44/5),0)*Settings!$F$7)+(E44*Settings!$I$7))+(F44*Settings!$I$11))+(ROUNDDOWN((G44/5),0)*Settings!$F$11))+(H44*Settings!$F$12)),1)),0,ROUND((((((ROUNDDOWN((D44/5),0)*Settings!$F$7)+(E44*Settings!$I$7))+(F44*Settings!$I$11))+(ROUNDDOWN((G44/5),0)*Settings!$F$11))+(H44*Settings!$F$12)),1))</f>
        <v>93.5</v>
      </c>
      <c r="W44" s="38">
        <f>IF(ISERROR(ROUND((((((ROUNDDOWN((I44/5),0)*Settings!$F$7)+(J44*Settings!$I$7))+(K44*Settings!$I$11))+(ROUNDDOWN((L44/5),0)*Settings!$F$11))+(M44*Settings!$F$12)),1)),0,ROUND((((((ROUNDDOWN((I44/5),0)*Settings!$F$7)+(J44*Settings!$I$7))+(K44*Settings!$I$11))+(ROUNDDOWN((L44/5),0)*Settings!$F$11))+(M44*Settings!$F$12)),1))</f>
        <v>88.5</v>
      </c>
      <c r="X44" s="38">
        <f>IF(AND((N44=""),(P44="")),0,((((((ROUND((N44/5),0)*Settings!$F$7)+(O44*Settings!$I$7))+(P44*Settings!$I$11))+(ROUND((Q44/5),0)*Settings!$F$11))+(R44*Settings!$F$12))+(S44*Settings!$F$15)))</f>
        <v>94.5</v>
      </c>
      <c r="Y44" s="66">
        <f>ROUND((((V44*Settings!$B$21)+(W44*Settings!$B$22))+(X44*Settings!$B$23)),1)</f>
        <v>92.2</v>
      </c>
      <c r="Z44" s="66">
        <f>IF(ISERROR(VLOOKUP(RANK(Y44,$Y$4:$Y$182),Z$4:Z43,1,0)),RANK(Y44,$Y$4:$Y$182),IF(ISERROR(VLOOKUP((RANK(Y44,$Y$4:$Y$182)+1),Z$4:Z43,1,0)),(RANK(Y44,$Y$4:$Y$182)+1),IF(ISERROR(VLOOKUP((RANK(Y44,$Y$4:$Y$182)+2),Z$4:Z43,1,0)),(RANK(Y44,$Y$4:$Y$182)+2),(RANK(Y44,$Y$4:$Y$182)+3))))</f>
        <v>46</v>
      </c>
      <c r="AA44" t="str">
        <f t="shared" si="7"/>
        <v>Shonn Greene</v>
      </c>
    </row>
    <row r="45" spans="1:27" ht="12.75" customHeight="1">
      <c r="A45" s="33" t="str">
        <f>ESPNData!R46</f>
        <v>Darren McFadden, Oak RB</v>
      </c>
      <c r="B45" s="33" t="str">
        <f t="shared" si="4"/>
        <v>Darren McFadden</v>
      </c>
      <c r="C45" s="64" t="str">
        <f t="shared" si="5"/>
        <v>OAK</v>
      </c>
      <c r="D45" s="117">
        <f>IF(OR(($A45=Settings!$A$30),ISERROR(VLOOKUP($B45,FFTodayData!$P:$Y,5,0))),"",VLOOKUP($B45,FFTodayData!$P:$Y,5,0))</f>
        <v>629</v>
      </c>
      <c r="E45" s="33">
        <f>IF(OR(($A45=Settings!$A$30),ISERROR(VLOOKUP($B45,FFTodayData!$P:$Y,6,0))),"",VLOOKUP($B45,FFTodayData!$P:$Y,6,0))</f>
        <v>5</v>
      </c>
      <c r="F45" s="33">
        <f>IF(OR(($A45=Settings!$A$30),ISERROR(VLOOKUP($B45,FFTodayData!$P:$Y,7,0))),"",VLOOKUP($B45,FFTodayData!$P:$Y,7,0))</f>
        <v>32</v>
      </c>
      <c r="G45" s="33">
        <f>IF(OR(($A45=Settings!$A$30),ISERROR(VLOOKUP($B45,FFTodayData!$P:$Y,8,0))),"",VLOOKUP($B45,FFTodayData!$P:$Y,8,0))</f>
        <v>211</v>
      </c>
      <c r="H45" s="64">
        <f>IF(OR(($A45=Settings!$A$30),ISERROR(VLOOKUP($B45,FFTodayData!$P:$Y,9,0))),"",VLOOKUP($B45,FFTodayData!$P:$Y,9,0))</f>
        <v>0</v>
      </c>
      <c r="I45" s="117">
        <f>IF(ISERROR(VLOOKUP($A45,ESPNData!$R:$AE,9,0)),"",VLOOKUP($A45,ESPNData!$R:$AE,9,0))</f>
        <v>443</v>
      </c>
      <c r="J45" s="33">
        <f>IF(ISERROR(VLOOKUP($A45,ESPNData!$R:$AE,10,0)),"",VLOOKUP($A45,ESPNData!$R:$AE,10,0))</f>
        <v>4</v>
      </c>
      <c r="K45" s="33">
        <f>IF(ISERROR(VLOOKUP($A45,ESPNData!$R:$AE,11,0)),"",VLOOKUP($A45,ESPNData!$R:$AE,11,0))</f>
        <v>17</v>
      </c>
      <c r="L45" s="33">
        <f>IF(ISERROR(VLOOKUP($A45,ESPNData!$R:$AE,12,0)),"",VLOOKUP($A45,ESPNData!$R:$AE,12,0))</f>
        <v>123</v>
      </c>
      <c r="M45" s="64">
        <f>IF(ISERROR(VLOOKUP($A45,ESPNData!$R:$AE,13,0)),"",VLOOKUP($A45,ESPNData!$R:$AE,13,0))</f>
        <v>0</v>
      </c>
      <c r="N45" s="115">
        <f>IF(OR(($A45=Settings!$A$30),ISERROR(VLOOKUP($B45,SportslineData!$Q:$AB,4,0))),"",VLOOKUP($B45,SportslineData!$Q:$AB,4,0))</f>
        <v>510.5</v>
      </c>
      <c r="O45" s="82">
        <f>IF(OR(($A45=Settings!$A$30),ISERROR(VLOOKUP($B45,SportslineData!$Q:$AB,6,0))),"",ROUND(VLOOKUP($B45,SportslineData!$Q:$AB,6,0),0))</f>
        <v>4</v>
      </c>
      <c r="P45" s="82">
        <f>IF(OR(($A45=Settings!$A$30),ISERROR(VLOOKUP($B45,SportslineData!$Q:$AB,7,0))),"",ROUND(VLOOKUP($B45,SportslineData!$Q:$AB,7,0),0))</f>
        <v>27</v>
      </c>
      <c r="Q45" s="82">
        <f>IF(OR(($A45=Settings!$A$30),ISERROR(VLOOKUP($B45,SportslineData!$Q:$AB,8,0))),"",VLOOKUP($B45,SportslineData!$Q:$AB,8,0))</f>
        <v>195</v>
      </c>
      <c r="R45" s="82">
        <f>IF(OR(($A45=Settings!$A$30),ISERROR(VLOOKUP($B45,SportslineData!$Q:$AB,10,0))),"",ROUND(VLOOKUP($B45,SportslineData!$Q:$AB,10,0),0))</f>
        <v>1</v>
      </c>
      <c r="S45" s="74">
        <f>IF(OR(($A45=Settings!$A$30),ISERROR(VLOOKUP($B45,SportslineData!$Q:$AB,11,0))),"",ROUND(VLOOKUP($B45,SportslineData!$Q:$AB,11,0),0))</f>
        <v>2</v>
      </c>
      <c r="T45" s="117"/>
      <c r="U45" s="131">
        <f t="shared" si="6"/>
        <v>20.573040611440984</v>
      </c>
      <c r="V45" s="38">
        <f>IF(ISERROR(ROUND((((((ROUNDDOWN((D45/5),0)*Settings!$F$7)+(E45*Settings!$I$7))+(F45*Settings!$I$11))+(ROUNDDOWN((G45/5),0)*Settings!$F$11))+(H45*Settings!$F$12)),1)),0,ROUND((((((ROUNDDOWN((D45/5),0)*Settings!$F$7)+(E45*Settings!$I$7))+(F45*Settings!$I$11))+(ROUNDDOWN((G45/5),0)*Settings!$F$11))+(H45*Settings!$F$12)),1))</f>
        <v>129.5</v>
      </c>
      <c r="W45" s="38">
        <f>IF(ISERROR(ROUND((((((ROUNDDOWN((I45/5),0)*Settings!$F$7)+(J45*Settings!$I$7))+(K45*Settings!$I$11))+(ROUNDDOWN((L45/5),0)*Settings!$F$11))+(M45*Settings!$F$12)),1)),0,ROUND((((((ROUNDDOWN((I45/5),0)*Settings!$F$7)+(J45*Settings!$I$7))+(K45*Settings!$I$11))+(ROUNDDOWN((L45/5),0)*Settings!$F$11))+(M45*Settings!$F$12)),1))</f>
        <v>88.5</v>
      </c>
      <c r="X45" s="38">
        <f>IF(AND((N45=""),(P45="")),0,((((((ROUND((N45/5),0)*Settings!$F$7)+(O45*Settings!$I$7))+(P45*Settings!$I$11))+(ROUND((Q45/5),0)*Settings!$F$11))+(R45*Settings!$F$12))+(S45*Settings!$F$15)))</f>
        <v>112</v>
      </c>
      <c r="Y45" s="66">
        <f>ROUND((((V45*Settings!$B$21)+(W45*Settings!$B$22))+(X45*Settings!$B$23)),1)</f>
        <v>110</v>
      </c>
      <c r="Z45" s="66">
        <f>IF(ISERROR(VLOOKUP(RANK(Y45,$Y$4:$Y$182),Z$4:Z44,1,0)),RANK(Y45,$Y$4:$Y$182),IF(ISERROR(VLOOKUP((RANK(Y45,$Y$4:$Y$182)+1),Z$4:Z44,1,0)),(RANK(Y45,$Y$4:$Y$182)+1),IF(ISERROR(VLOOKUP((RANK(Y45,$Y$4:$Y$182)+2),Z$4:Z44,1,0)),(RANK(Y45,$Y$4:$Y$182)+2),(RANK(Y45,$Y$4:$Y$182)+3))))</f>
        <v>43</v>
      </c>
      <c r="AA45" t="str">
        <f t="shared" si="7"/>
        <v>Darren McFadden</v>
      </c>
    </row>
    <row r="46" spans="1:27" ht="12.75" customHeight="1">
      <c r="A46" s="33" t="str">
        <f>ESPNData!R47</f>
        <v>Bernard Pierce, Bal RB</v>
      </c>
      <c r="B46" s="33" t="str">
        <f t="shared" si="4"/>
        <v>Bernard Pierce</v>
      </c>
      <c r="C46" s="64" t="str">
        <f t="shared" si="5"/>
        <v>BAL</v>
      </c>
      <c r="D46" s="117">
        <f>IF(OR(($A46=Settings!$A$30),ISERROR(VLOOKUP($B46,FFTodayData!$P:$Y,5,0))),"",VLOOKUP($B46,FFTodayData!$P:$Y,5,0))</f>
        <v>526</v>
      </c>
      <c r="E46" s="33">
        <f>IF(OR(($A46=Settings!$A$30),ISERROR(VLOOKUP($B46,FFTodayData!$P:$Y,6,0))),"",VLOOKUP($B46,FFTodayData!$P:$Y,6,0))</f>
        <v>4</v>
      </c>
      <c r="F46" s="33">
        <f>IF(OR(($A46=Settings!$A$30),ISERROR(VLOOKUP($B46,FFTodayData!$P:$Y,7,0))),"",VLOOKUP($B46,FFTodayData!$P:$Y,7,0))</f>
        <v>25</v>
      </c>
      <c r="G46" s="33">
        <f>IF(OR(($A46=Settings!$A$30),ISERROR(VLOOKUP($B46,FFTodayData!$P:$Y,8,0))),"",VLOOKUP($B46,FFTodayData!$P:$Y,8,0))</f>
        <v>157</v>
      </c>
      <c r="H46" s="64">
        <f>IF(OR(($A46=Settings!$A$30),ISERROR(VLOOKUP($B46,FFTodayData!$P:$Y,9,0))),"",VLOOKUP($B46,FFTodayData!$P:$Y,9,0))</f>
        <v>0</v>
      </c>
      <c r="I46" s="117">
        <f>IF(ISERROR(VLOOKUP($A46,ESPNData!$R:$AE,9,0)),"",VLOOKUP($A46,ESPNData!$R:$AE,9,0))</f>
        <v>526</v>
      </c>
      <c r="J46" s="33">
        <f>IF(ISERROR(VLOOKUP($A46,ESPNData!$R:$AE,10,0)),"",VLOOKUP($A46,ESPNData!$R:$AE,10,0))</f>
        <v>3</v>
      </c>
      <c r="K46" s="33">
        <f>IF(ISERROR(VLOOKUP($A46,ESPNData!$R:$AE,11,0)),"",VLOOKUP($A46,ESPNData!$R:$AE,11,0))</f>
        <v>22</v>
      </c>
      <c r="L46" s="33">
        <f>IF(ISERROR(VLOOKUP($A46,ESPNData!$R:$AE,12,0)),"",VLOOKUP($A46,ESPNData!$R:$AE,12,0))</f>
        <v>110</v>
      </c>
      <c r="M46" s="64">
        <f>IF(ISERROR(VLOOKUP($A46,ESPNData!$R:$AE,13,0)),"",VLOOKUP($A46,ESPNData!$R:$AE,13,0))</f>
        <v>0</v>
      </c>
      <c r="N46" s="115">
        <f>IF(OR(($A46=Settings!$A$30),ISERROR(VLOOKUP($B46,SportslineData!$Q:$AB,4,0))),"",VLOOKUP($B46,SportslineData!$Q:$AB,4,0))</f>
        <v>745</v>
      </c>
      <c r="O46" s="82">
        <f>IF(OR(($A46=Settings!$A$30),ISERROR(VLOOKUP($B46,SportslineData!$Q:$AB,6,0))),"",ROUND(VLOOKUP($B46,SportslineData!$Q:$AB,6,0),0))</f>
        <v>6</v>
      </c>
      <c r="P46" s="82">
        <f>IF(OR(($A46=Settings!$A$30),ISERROR(VLOOKUP($B46,SportslineData!$Q:$AB,7,0))),"",ROUND(VLOOKUP($B46,SportslineData!$Q:$AB,7,0),0))</f>
        <v>18</v>
      </c>
      <c r="Q46" s="82">
        <f>IF(OR(($A46=Settings!$A$30),ISERROR(VLOOKUP($B46,SportslineData!$Q:$AB,8,0))),"",VLOOKUP($B46,SportslineData!$Q:$AB,8,0))</f>
        <v>138.5</v>
      </c>
      <c r="R46" s="82">
        <f>IF(OR(($A46=Settings!$A$30),ISERROR(VLOOKUP($B46,SportslineData!$Q:$AB,10,0))),"",ROUND(VLOOKUP($B46,SportslineData!$Q:$AB,10,0),0))</f>
        <v>1</v>
      </c>
      <c r="S46" s="74">
        <f>IF(OR(($A46=Settings!$A$30),ISERROR(VLOOKUP($B46,SportslineData!$Q:$AB,11,0))),"",ROUND(VLOOKUP($B46,SportslineData!$Q:$AB,11,0),0))</f>
        <v>0</v>
      </c>
      <c r="T46" s="117"/>
      <c r="U46" s="131">
        <f t="shared" si="6"/>
        <v>24.41993720985646</v>
      </c>
      <c r="V46" s="38">
        <f>IF(ISERROR(ROUND((((((ROUNDDOWN((D46/5),0)*Settings!$F$7)+(E46*Settings!$I$7))+(F46*Settings!$I$11))+(ROUNDDOWN((G46/5),0)*Settings!$F$11))+(H46*Settings!$F$12)),1)),0,ROUND((((((ROUNDDOWN((D46/5),0)*Settings!$F$7)+(E46*Settings!$I$7))+(F46*Settings!$I$11))+(ROUNDDOWN((G46/5),0)*Settings!$F$11))+(H46*Settings!$F$12)),1))</f>
        <v>104.5</v>
      </c>
      <c r="W46" s="38">
        <f>IF(ISERROR(ROUND((((((ROUNDDOWN((I46/5),0)*Settings!$F$7)+(J46*Settings!$I$7))+(K46*Settings!$I$11))+(ROUNDDOWN((L46/5),0)*Settings!$F$11))+(M46*Settings!$F$12)),1)),0,ROUND((((((ROUNDDOWN((I46/5),0)*Settings!$F$7)+(J46*Settings!$I$7))+(K46*Settings!$I$11))+(ROUNDDOWN((L46/5),0)*Settings!$F$11))+(M46*Settings!$F$12)),1))</f>
        <v>92.5</v>
      </c>
      <c r="X46" s="38">
        <f>IF(AND((N46=""),(P46="")),0,((((((ROUND((N46/5),0)*Settings!$F$7)+(O46*Settings!$I$7))+(P46*Settings!$I$11))+(ROUND((Q46/5),0)*Settings!$F$11))+(R46*Settings!$F$12))+(S46*Settings!$F$15)))</f>
        <v>139.5</v>
      </c>
      <c r="Y46" s="66">
        <f>ROUND((((V46*Settings!$B$21)+(W46*Settings!$B$22))+(X46*Settings!$B$23)),1)</f>
        <v>112.4</v>
      </c>
      <c r="Z46" s="66">
        <f>IF(ISERROR(VLOOKUP(RANK(Y46,$Y$4:$Y$182),Z$4:Z45,1,0)),RANK(Y46,$Y$4:$Y$182),IF(ISERROR(VLOOKUP((RANK(Y46,$Y$4:$Y$182)+1),Z$4:Z45,1,0)),(RANK(Y46,$Y$4:$Y$182)+1),IF(ISERROR(VLOOKUP((RANK(Y46,$Y$4:$Y$182)+2),Z$4:Z45,1,0)),(RANK(Y46,$Y$4:$Y$182)+2),(RANK(Y46,$Y$4:$Y$182)+3))))</f>
        <v>41</v>
      </c>
      <c r="AA46" t="str">
        <f t="shared" si="7"/>
        <v>Bernard Pierce</v>
      </c>
    </row>
    <row r="47" spans="1:27" ht="12.75" customHeight="1">
      <c r="A47" s="33" t="str">
        <f>ESPNData!R48</f>
        <v>Mark Ingram, NO RB</v>
      </c>
      <c r="B47" s="33" t="str">
        <f t="shared" si="4"/>
        <v>Mark Ingram</v>
      </c>
      <c r="C47" s="64" t="str">
        <f t="shared" si="5"/>
        <v>NO</v>
      </c>
      <c r="D47" s="117" t="str">
        <f>IF(OR(($A47=Settings!$A$30),ISERROR(VLOOKUP($B47,FFTodayData!$P:$Y,5,0))),"",VLOOKUP($B47,FFTodayData!$P:$Y,5,0))</f>
        <v/>
      </c>
      <c r="E47" s="33" t="str">
        <f>IF(OR(($A47=Settings!$A$30),ISERROR(VLOOKUP($B47,FFTodayData!$P:$Y,6,0))),"",VLOOKUP($B47,FFTodayData!$P:$Y,6,0))</f>
        <v/>
      </c>
      <c r="F47" s="33" t="str">
        <f>IF(OR(($A47=Settings!$A$30),ISERROR(VLOOKUP($B47,FFTodayData!$P:$Y,7,0))),"",VLOOKUP($B47,FFTodayData!$P:$Y,7,0))</f>
        <v/>
      </c>
      <c r="G47" s="33" t="str">
        <f>IF(OR(($A47=Settings!$A$30),ISERROR(VLOOKUP($B47,FFTodayData!$P:$Y,8,0))),"",VLOOKUP($B47,FFTodayData!$P:$Y,8,0))</f>
        <v/>
      </c>
      <c r="H47" s="64" t="str">
        <f>IF(OR(($A47=Settings!$A$30),ISERROR(VLOOKUP($B47,FFTodayData!$P:$Y,9,0))),"",VLOOKUP($B47,FFTodayData!$P:$Y,9,0))</f>
        <v/>
      </c>
      <c r="I47" s="117">
        <f>IF(ISERROR(VLOOKUP($A47,ESPNData!$R:$AE,9,0)),"",VLOOKUP($A47,ESPNData!$R:$AE,9,0))</f>
        <v>531</v>
      </c>
      <c r="J47" s="33">
        <f>IF(ISERROR(VLOOKUP($A47,ESPNData!$R:$AE,10,0)),"",VLOOKUP($A47,ESPNData!$R:$AE,10,0))</f>
        <v>3</v>
      </c>
      <c r="K47" s="33">
        <f>IF(ISERROR(VLOOKUP($A47,ESPNData!$R:$AE,11,0)),"",VLOOKUP($A47,ESPNData!$R:$AE,11,0))</f>
        <v>12</v>
      </c>
      <c r="L47" s="33">
        <f>IF(ISERROR(VLOOKUP($A47,ESPNData!$R:$AE,12,0)),"",VLOOKUP($A47,ESPNData!$R:$AE,12,0))</f>
        <v>77</v>
      </c>
      <c r="M47" s="64">
        <f>IF(ISERROR(VLOOKUP($A47,ESPNData!$R:$AE,13,0)),"",VLOOKUP($A47,ESPNData!$R:$AE,13,0))</f>
        <v>0</v>
      </c>
      <c r="N47" s="115">
        <f>IF(OR(($A47=Settings!$A$30),ISERROR(VLOOKUP($B47,SportslineData!$Q:$AB,4,0))),"",VLOOKUP($B47,SportslineData!$Q:$AB,4,0))</f>
        <v>554.5</v>
      </c>
      <c r="O47" s="82">
        <f>IF(OR(($A47=Settings!$A$30),ISERROR(VLOOKUP($B47,SportslineData!$Q:$AB,6,0))),"",ROUND(VLOOKUP($B47,SportslineData!$Q:$AB,6,0),0))</f>
        <v>5</v>
      </c>
      <c r="P47" s="82">
        <f>IF(OR(($A47=Settings!$A$30),ISERROR(VLOOKUP($B47,SportslineData!$Q:$AB,7,0))),"",ROUND(VLOOKUP($B47,SportslineData!$Q:$AB,7,0),0))</f>
        <v>6</v>
      </c>
      <c r="Q47" s="82">
        <f>IF(OR(($A47=Settings!$A$30),ISERROR(VLOOKUP($B47,SportslineData!$Q:$AB,8,0))),"",VLOOKUP($B47,SportslineData!$Q:$AB,8,0))</f>
        <v>41.5</v>
      </c>
      <c r="R47" s="82">
        <f>IF(OR(($A47=Settings!$A$30),ISERROR(VLOOKUP($B47,SportslineData!$Q:$AB,10,0))),"",ROUND(VLOOKUP($B47,SportslineData!$Q:$AB,10,0),0))</f>
        <v>0</v>
      </c>
      <c r="S47" s="74">
        <f>IF(OR(($A47=Settings!$A$30),ISERROR(VLOOKUP($B47,SportslineData!$Q:$AB,11,0))),"",ROUND(VLOOKUP($B47,SportslineData!$Q:$AB,11,0),0))</f>
        <v>1</v>
      </c>
      <c r="T47" s="117"/>
      <c r="U47" s="131">
        <f t="shared" si="6"/>
        <v>50.927235673393199</v>
      </c>
      <c r="V47" s="38">
        <f>IF(ISERROR(ROUND((((((ROUNDDOWN((D47/5),0)*Settings!$F$7)+(E47*Settings!$I$7))+(F47*Settings!$I$11))+(ROUNDDOWN((G47/5),0)*Settings!$F$11))+(H47*Settings!$F$12)),1)),0,ROUND((((((ROUNDDOWN((D47/5),0)*Settings!$F$7)+(E47*Settings!$I$7))+(F47*Settings!$I$11))+(ROUNDDOWN((G47/5),0)*Settings!$F$11))+(H47*Settings!$F$12)),1))</f>
        <v>0</v>
      </c>
      <c r="W47" s="38">
        <f>IF(ISERROR(ROUND((((((ROUNDDOWN((I47/5),0)*Settings!$F$7)+(J47*Settings!$I$7))+(K47*Settings!$I$11))+(ROUNDDOWN((L47/5),0)*Settings!$F$11))+(M47*Settings!$F$12)),1)),0,ROUND((((((ROUNDDOWN((I47/5),0)*Settings!$F$7)+(J47*Settings!$I$7))+(K47*Settings!$I$11))+(ROUNDDOWN((L47/5),0)*Settings!$F$11))+(M47*Settings!$F$12)),1))</f>
        <v>84.5</v>
      </c>
      <c r="X47" s="38">
        <f>IF(AND((N47=""),(P47="")),0,((((((ROUND((N47/5),0)*Settings!$F$7)+(O47*Settings!$I$7))+(P47*Settings!$I$11))+(ROUND((Q47/5),0)*Settings!$F$11))+(R47*Settings!$F$12))+(S47*Settings!$F$15)))</f>
        <v>91.5</v>
      </c>
      <c r="Y47" s="66">
        <f>ROUND((((V47*Settings!$B$21)+(W47*Settings!$B$22))+(X47*Settings!$B$23)),1)</f>
        <v>59</v>
      </c>
      <c r="Z47" s="66">
        <f>IF(ISERROR(VLOOKUP(RANK(Y47,$Y$4:$Y$182),Z$4:Z46,1,0)),RANK(Y47,$Y$4:$Y$182),IF(ISERROR(VLOOKUP((RANK(Y47,$Y$4:$Y$182)+1),Z$4:Z46,1,0)),(RANK(Y47,$Y$4:$Y$182)+1),IF(ISERROR(VLOOKUP((RANK(Y47,$Y$4:$Y$182)+2),Z$4:Z46,1,0)),(RANK(Y47,$Y$4:$Y$182)+2),(RANK(Y47,$Y$4:$Y$182)+3))))</f>
        <v>61</v>
      </c>
      <c r="AA47" t="str">
        <f t="shared" si="7"/>
        <v>Mark Ingram</v>
      </c>
    </row>
    <row r="48" spans="1:27" ht="12.75" customHeight="1">
      <c r="A48" s="33" t="str">
        <f>ESPNData!R49</f>
        <v>Christine Michael, Sea RB</v>
      </c>
      <c r="B48" s="33" t="str">
        <f t="shared" si="4"/>
        <v>Christine Michael</v>
      </c>
      <c r="C48" s="64" t="str">
        <f t="shared" si="5"/>
        <v>SEA</v>
      </c>
      <c r="D48" s="117" t="str">
        <f>IF(OR(($A48=Settings!$A$30),ISERROR(VLOOKUP($B48,FFTodayData!$P:$Y,5,0))),"",VLOOKUP($B48,FFTodayData!$P:$Y,5,0))</f>
        <v/>
      </c>
      <c r="E48" s="33" t="str">
        <f>IF(OR(($A48=Settings!$A$30),ISERROR(VLOOKUP($B48,FFTodayData!$P:$Y,6,0))),"",VLOOKUP($B48,FFTodayData!$P:$Y,6,0))</f>
        <v/>
      </c>
      <c r="F48" s="33" t="str">
        <f>IF(OR(($A48=Settings!$A$30),ISERROR(VLOOKUP($B48,FFTodayData!$P:$Y,7,0))),"",VLOOKUP($B48,FFTodayData!$P:$Y,7,0))</f>
        <v/>
      </c>
      <c r="G48" s="33" t="str">
        <f>IF(OR(($A48=Settings!$A$30),ISERROR(VLOOKUP($B48,FFTodayData!$P:$Y,8,0))),"",VLOOKUP($B48,FFTodayData!$P:$Y,8,0))</f>
        <v/>
      </c>
      <c r="H48" s="64" t="str">
        <f>IF(OR(($A48=Settings!$A$30),ISERROR(VLOOKUP($B48,FFTodayData!$P:$Y,9,0))),"",VLOOKUP($B48,FFTodayData!$P:$Y,9,0))</f>
        <v/>
      </c>
      <c r="I48" s="117">
        <f>IF(ISERROR(VLOOKUP($A48,ESPNData!$R:$AE,9,0)),"",VLOOKUP($A48,ESPNData!$R:$AE,9,0))</f>
        <v>456</v>
      </c>
      <c r="J48" s="33">
        <f>IF(ISERROR(VLOOKUP($A48,ESPNData!$R:$AE,10,0)),"",VLOOKUP($A48,ESPNData!$R:$AE,10,0))</f>
        <v>2</v>
      </c>
      <c r="K48" s="33">
        <f>IF(ISERROR(VLOOKUP($A48,ESPNData!$R:$AE,11,0)),"",VLOOKUP($A48,ESPNData!$R:$AE,11,0))</f>
        <v>9</v>
      </c>
      <c r="L48" s="33">
        <f>IF(ISERROR(VLOOKUP($A48,ESPNData!$R:$AE,12,0)),"",VLOOKUP($A48,ESPNData!$R:$AE,12,0))</f>
        <v>74</v>
      </c>
      <c r="M48" s="64">
        <f>IF(ISERROR(VLOOKUP($A48,ESPNData!$R:$AE,13,0)),"",VLOOKUP($A48,ESPNData!$R:$AE,13,0))</f>
        <v>0</v>
      </c>
      <c r="N48" s="115">
        <f>IF(OR(($A48=Settings!$A$30),ISERROR(VLOOKUP($B48,SportslineData!$Q:$AB,4,0))),"",VLOOKUP($B48,SportslineData!$Q:$AB,4,0))</f>
        <v>723</v>
      </c>
      <c r="O48" s="82">
        <f>IF(OR(($A48=Settings!$A$30),ISERROR(VLOOKUP($B48,SportslineData!$Q:$AB,6,0))),"",ROUND(VLOOKUP($B48,SportslineData!$Q:$AB,6,0),0))</f>
        <v>5</v>
      </c>
      <c r="P48" s="82">
        <f>IF(OR(($A48=Settings!$A$30),ISERROR(VLOOKUP($B48,SportslineData!$Q:$AB,7,0))),"",ROUND(VLOOKUP($B48,SportslineData!$Q:$AB,7,0),0))</f>
        <v>11</v>
      </c>
      <c r="Q48" s="82">
        <f>IF(OR(($A48=Settings!$A$30),ISERROR(VLOOKUP($B48,SportslineData!$Q:$AB,8,0))),"",VLOOKUP($B48,SportslineData!$Q:$AB,8,0))</f>
        <v>93</v>
      </c>
      <c r="R48" s="82">
        <f>IF(OR(($A48=Settings!$A$30),ISERROR(VLOOKUP($B48,SportslineData!$Q:$AB,10,0))),"",ROUND(VLOOKUP($B48,SportslineData!$Q:$AB,10,0),0))</f>
        <v>1</v>
      </c>
      <c r="S48" s="74">
        <f>IF(OR(($A48=Settings!$A$30),ISERROR(VLOOKUP($B48,SportslineData!$Q:$AB,11,0))),"",ROUND(VLOOKUP($B48,SportslineData!$Q:$AB,11,0),0))</f>
        <v>1</v>
      </c>
      <c r="T48" s="117"/>
      <c r="U48" s="131">
        <f t="shared" si="6"/>
        <v>61.413217904074472</v>
      </c>
      <c r="V48" s="38">
        <f>IF(ISERROR(ROUND((((((ROUNDDOWN((D48/5),0)*Settings!$F$7)+(E48*Settings!$I$7))+(F48*Settings!$I$11))+(ROUNDDOWN((G48/5),0)*Settings!$F$11))+(H48*Settings!$F$12)),1)),0,ROUND((((((ROUNDDOWN((D48/5),0)*Settings!$F$7)+(E48*Settings!$I$7))+(F48*Settings!$I$11))+(ROUNDDOWN((G48/5),0)*Settings!$F$11))+(H48*Settings!$F$12)),1))</f>
        <v>0</v>
      </c>
      <c r="W48" s="38">
        <f>IF(ISERROR(ROUND((((((ROUNDDOWN((I48/5),0)*Settings!$F$7)+(J48*Settings!$I$7))+(K48*Settings!$I$11))+(ROUNDDOWN((L48/5),0)*Settings!$F$11))+(M48*Settings!$F$12)),1)),0,ROUND((((((ROUNDDOWN((I48/5),0)*Settings!$F$7)+(J48*Settings!$I$7))+(K48*Settings!$I$11))+(ROUNDDOWN((L48/5),0)*Settings!$F$11))+(M48*Settings!$F$12)),1))</f>
        <v>69</v>
      </c>
      <c r="X48" s="38">
        <f>IF(AND((N48=""),(P48="")),0,((((((ROUND((N48/5),0)*Settings!$F$7)+(O48*Settings!$I$7))+(P48*Settings!$I$11))+(ROUND((Q48/5),0)*Settings!$F$11))+(R48*Settings!$F$12))+(S48*Settings!$F$15)))</f>
        <v>122.5</v>
      </c>
      <c r="Y48" s="66">
        <f>ROUND((((V48*Settings!$B$21)+(W48*Settings!$B$22))+(X48*Settings!$B$23)),1)</f>
        <v>64.400000000000006</v>
      </c>
      <c r="Z48" s="66">
        <f>IF(ISERROR(VLOOKUP(RANK(Y48,$Y$4:$Y$182),Z$4:Z47,1,0)),RANK(Y48,$Y$4:$Y$182),IF(ISERROR(VLOOKUP((RANK(Y48,$Y$4:$Y$182)+1),Z$4:Z47,1,0)),(RANK(Y48,$Y$4:$Y$182)+1),IF(ISERROR(VLOOKUP((RANK(Y48,$Y$4:$Y$182)+2),Z$4:Z47,1,0)),(RANK(Y48,$Y$4:$Y$182)+2),(RANK(Y48,$Y$4:$Y$182)+3))))</f>
        <v>60</v>
      </c>
      <c r="AA48" t="str">
        <f t="shared" si="7"/>
        <v>Christine Michael</v>
      </c>
    </row>
    <row r="49" spans="1:27" ht="12.75" customHeight="1">
      <c r="A49" s="33" t="str">
        <f>ESPNData!R50</f>
        <v>Donald Brown, SD RB</v>
      </c>
      <c r="B49" s="33" t="str">
        <f t="shared" si="4"/>
        <v>Donald Brown</v>
      </c>
      <c r="C49" s="64" t="str">
        <f t="shared" si="5"/>
        <v>SD</v>
      </c>
      <c r="D49" s="117" t="str">
        <f>IF(OR(($A49=Settings!$A$30),ISERROR(VLOOKUP($B49,FFTodayData!$P:$Y,5,0))),"",VLOOKUP($B49,FFTodayData!$P:$Y,5,0))</f>
        <v/>
      </c>
      <c r="E49" s="33" t="str">
        <f>IF(OR(($A49=Settings!$A$30),ISERROR(VLOOKUP($B49,FFTodayData!$P:$Y,6,0))),"",VLOOKUP($B49,FFTodayData!$P:$Y,6,0))</f>
        <v/>
      </c>
      <c r="F49" s="33" t="str">
        <f>IF(OR(($A49=Settings!$A$30),ISERROR(VLOOKUP($B49,FFTodayData!$P:$Y,7,0))),"",VLOOKUP($B49,FFTodayData!$P:$Y,7,0))</f>
        <v/>
      </c>
      <c r="G49" s="33" t="str">
        <f>IF(OR(($A49=Settings!$A$30),ISERROR(VLOOKUP($B49,FFTodayData!$P:$Y,8,0))),"",VLOOKUP($B49,FFTodayData!$P:$Y,8,0))</f>
        <v/>
      </c>
      <c r="H49" s="64" t="str">
        <f>IF(OR(($A49=Settings!$A$30),ISERROR(VLOOKUP($B49,FFTodayData!$P:$Y,9,0))),"",VLOOKUP($B49,FFTodayData!$P:$Y,9,0))</f>
        <v/>
      </c>
      <c r="I49" s="117">
        <f>IF(ISERROR(VLOOKUP($A49,ESPNData!$R:$AE,9,0)),"",VLOOKUP($A49,ESPNData!$R:$AE,9,0))</f>
        <v>375</v>
      </c>
      <c r="J49" s="33">
        <f>IF(ISERROR(VLOOKUP($A49,ESPNData!$R:$AE,10,0)),"",VLOOKUP($A49,ESPNData!$R:$AE,10,0))</f>
        <v>2</v>
      </c>
      <c r="K49" s="33">
        <f>IF(ISERROR(VLOOKUP($A49,ESPNData!$R:$AE,11,0)),"",VLOOKUP($A49,ESPNData!$R:$AE,11,0))</f>
        <v>22</v>
      </c>
      <c r="L49" s="33">
        <f>IF(ISERROR(VLOOKUP($A49,ESPNData!$R:$AE,12,0)),"",VLOOKUP($A49,ESPNData!$R:$AE,12,0))</f>
        <v>169</v>
      </c>
      <c r="M49" s="64">
        <f>IF(ISERROR(VLOOKUP($A49,ESPNData!$R:$AE,13,0)),"",VLOOKUP($A49,ESPNData!$R:$AE,13,0))</f>
        <v>1</v>
      </c>
      <c r="N49" s="115">
        <f>IF(OR(($A49=Settings!$A$30),ISERROR(VLOOKUP($B49,SportslineData!$Q:$AB,4,0))),"",VLOOKUP($B49,SportslineData!$Q:$AB,4,0))</f>
        <v>391.5</v>
      </c>
      <c r="O49" s="82">
        <f>IF(OR(($A49=Settings!$A$30),ISERROR(VLOOKUP($B49,SportslineData!$Q:$AB,6,0))),"",ROUND(VLOOKUP($B49,SportslineData!$Q:$AB,6,0),0))</f>
        <v>2</v>
      </c>
      <c r="P49" s="82">
        <f>IF(OR(($A49=Settings!$A$30),ISERROR(VLOOKUP($B49,SportslineData!$Q:$AB,7,0))),"",ROUND(VLOOKUP($B49,SportslineData!$Q:$AB,7,0),0))</f>
        <v>17</v>
      </c>
      <c r="Q49" s="82">
        <f>IF(OR(($A49=Settings!$A$30),ISERROR(VLOOKUP($B49,SportslineData!$Q:$AB,8,0))),"",VLOOKUP($B49,SportslineData!$Q:$AB,8,0))</f>
        <v>140.5</v>
      </c>
      <c r="R49" s="82">
        <f>IF(OR(($A49=Settings!$A$30),ISERROR(VLOOKUP($B49,SportslineData!$Q:$AB,10,0))),"",ROUND(VLOOKUP($B49,SportslineData!$Q:$AB,10,0),0))</f>
        <v>1</v>
      </c>
      <c r="S49" s="74">
        <f>IF(OR(($A49=Settings!$A$30),ISERROR(VLOOKUP($B49,SportslineData!$Q:$AB,11,0))),"",ROUND(VLOOKUP($B49,SportslineData!$Q:$AB,11,0),0))</f>
        <v>0</v>
      </c>
      <c r="T49" s="117"/>
      <c r="U49" s="131">
        <f t="shared" si="6"/>
        <v>46.942340518271273</v>
      </c>
      <c r="V49" s="38">
        <f>IF(ISERROR(ROUND((((((ROUNDDOWN((D49/5),0)*Settings!$F$7)+(E49*Settings!$I$7))+(F49*Settings!$I$11))+(ROUNDDOWN((G49/5),0)*Settings!$F$11))+(H49*Settings!$F$12)),1)),0,ROUND((((((ROUNDDOWN((D49/5),0)*Settings!$F$7)+(E49*Settings!$I$7))+(F49*Settings!$I$11))+(ROUNDDOWN((G49/5),0)*Settings!$F$11))+(H49*Settings!$F$12)),1))</f>
        <v>0</v>
      </c>
      <c r="W49" s="38">
        <f>IF(ISERROR(ROUND((((((ROUNDDOWN((I49/5),0)*Settings!$F$7)+(J49*Settings!$I$7))+(K49*Settings!$I$11))+(ROUNDDOWN((L49/5),0)*Settings!$F$11))+(M49*Settings!$F$12)),1)),0,ROUND((((((ROUNDDOWN((I49/5),0)*Settings!$F$7)+(J49*Settings!$I$7))+(K49*Settings!$I$11))+(ROUNDDOWN((L49/5),0)*Settings!$F$11))+(M49*Settings!$F$12)),1))</f>
        <v>83</v>
      </c>
      <c r="X49" s="38">
        <f>IF(AND((N49=""),(P49="")),0,((((((ROUND((N49/5),0)*Settings!$F$7)+(O49*Settings!$I$7))+(P49*Settings!$I$11))+(ROUND((Q49/5),0)*Settings!$F$11))+(R49*Settings!$F$12))+(S49*Settings!$F$15)))</f>
        <v>79.5</v>
      </c>
      <c r="Y49" s="66">
        <f>ROUND((((V49*Settings!$B$21)+(W49*Settings!$B$22))+(X49*Settings!$B$23)),1)</f>
        <v>54.4</v>
      </c>
      <c r="Z49" s="66">
        <f>IF(ISERROR(VLOOKUP(RANK(Y49,$Y$4:$Y$182),Z$4:Z48,1,0)),RANK(Y49,$Y$4:$Y$182),IF(ISERROR(VLOOKUP((RANK(Y49,$Y$4:$Y$182)+1),Z$4:Z48,1,0)),(RANK(Y49,$Y$4:$Y$182)+1),IF(ISERROR(VLOOKUP((RANK(Y49,$Y$4:$Y$182)+2),Z$4:Z48,1,0)),(RANK(Y49,$Y$4:$Y$182)+2),(RANK(Y49,$Y$4:$Y$182)+3))))</f>
        <v>64</v>
      </c>
      <c r="AA49" t="str">
        <f t="shared" si="7"/>
        <v>Donald Brown</v>
      </c>
    </row>
    <row r="50" spans="1:27" ht="12.75" customHeight="1">
      <c r="A50" s="33" t="str">
        <f>ESPNData!R51</f>
        <v>Jeremy Hill, Cin RB  P</v>
      </c>
      <c r="B50" s="33" t="str">
        <f t="shared" si="4"/>
        <v>Jeremy Hill</v>
      </c>
      <c r="C50" s="64" t="str">
        <f t="shared" si="5"/>
        <v>CIN</v>
      </c>
      <c r="D50" s="117">
        <f>IF(OR(($A50=Settings!$A$30),ISERROR(VLOOKUP($B50,FFTodayData!$P:$Y,5,0))),"",VLOOKUP($B50,FFTodayData!$P:$Y,5,0))</f>
        <v>613</v>
      </c>
      <c r="E50" s="33">
        <f>IF(OR(($A50=Settings!$A$30),ISERROR(VLOOKUP($B50,FFTodayData!$P:$Y,6,0))),"",VLOOKUP($B50,FFTodayData!$P:$Y,6,0))</f>
        <v>6</v>
      </c>
      <c r="F50" s="33">
        <f>IF(OR(($A50=Settings!$A$30),ISERROR(VLOOKUP($B50,FFTodayData!$P:$Y,7,0))),"",VLOOKUP($B50,FFTodayData!$P:$Y,7,0))</f>
        <v>11</v>
      </c>
      <c r="G50" s="33">
        <f>IF(OR(($A50=Settings!$A$30),ISERROR(VLOOKUP($B50,FFTodayData!$P:$Y,8,0))),"",VLOOKUP($B50,FFTodayData!$P:$Y,8,0))</f>
        <v>69</v>
      </c>
      <c r="H50" s="64">
        <f>IF(OR(($A50=Settings!$A$30),ISERROR(VLOOKUP($B50,FFTodayData!$P:$Y,9,0))),"",VLOOKUP($B50,FFTodayData!$P:$Y,9,0))</f>
        <v>0</v>
      </c>
      <c r="I50" s="117">
        <f>IF(ISERROR(VLOOKUP($A50,ESPNData!$R:$AE,9,0)),"",VLOOKUP($A50,ESPNData!$R:$AE,9,0))</f>
        <v>509</v>
      </c>
      <c r="J50" s="33">
        <f>IF(ISERROR(VLOOKUP($A50,ESPNData!$R:$AE,10,0)),"",VLOOKUP($A50,ESPNData!$R:$AE,10,0))</f>
        <v>7</v>
      </c>
      <c r="K50" s="33">
        <f>IF(ISERROR(VLOOKUP($A50,ESPNData!$R:$AE,11,0)),"",VLOOKUP($A50,ESPNData!$R:$AE,11,0))</f>
        <v>7</v>
      </c>
      <c r="L50" s="33">
        <f>IF(ISERROR(VLOOKUP($A50,ESPNData!$R:$AE,12,0)),"",VLOOKUP($A50,ESPNData!$R:$AE,12,0))</f>
        <v>45</v>
      </c>
      <c r="M50" s="64">
        <f>IF(ISERROR(VLOOKUP($A50,ESPNData!$R:$AE,13,0)),"",VLOOKUP($A50,ESPNData!$R:$AE,13,0))</f>
        <v>0</v>
      </c>
      <c r="N50" s="115">
        <f>IF(OR(($A50=Settings!$A$30),ISERROR(VLOOKUP($B50,SportslineData!$Q:$AB,4,0))),"",VLOOKUP($B50,SportslineData!$Q:$AB,4,0))</f>
        <v>695.5</v>
      </c>
      <c r="O50" s="82">
        <f>IF(OR(($A50=Settings!$A$30),ISERROR(VLOOKUP($B50,SportslineData!$Q:$AB,6,0))),"",ROUND(VLOOKUP($B50,SportslineData!$Q:$AB,6,0),0))</f>
        <v>6</v>
      </c>
      <c r="P50" s="82">
        <f>IF(OR(($A50=Settings!$A$30),ISERROR(VLOOKUP($B50,SportslineData!$Q:$AB,7,0))),"",ROUND(VLOOKUP($B50,SportslineData!$Q:$AB,7,0),0))</f>
        <v>11</v>
      </c>
      <c r="Q50" s="82">
        <f>IF(OR(($A50=Settings!$A$30),ISERROR(VLOOKUP($B50,SportslineData!$Q:$AB,8,0))),"",VLOOKUP($B50,SportslineData!$Q:$AB,8,0))</f>
        <v>75.5</v>
      </c>
      <c r="R50" s="82">
        <f>IF(OR(($A50=Settings!$A$30),ISERROR(VLOOKUP($B50,SportslineData!$Q:$AB,10,0))),"",ROUND(VLOOKUP($B50,SportslineData!$Q:$AB,10,0),0))</f>
        <v>1</v>
      </c>
      <c r="S50" s="74">
        <f>IF(OR(($A50=Settings!$A$30),ISERROR(VLOOKUP($B50,SportslineData!$Q:$AB,11,0))),"",ROUND(VLOOKUP($B50,SportslineData!$Q:$AB,11,0),0))</f>
        <v>1</v>
      </c>
      <c r="T50" s="117"/>
      <c r="U50" s="131">
        <f t="shared" si="6"/>
        <v>11.629703349613008</v>
      </c>
      <c r="V50" s="38">
        <f>IF(ISERROR(ROUND((((((ROUNDDOWN((D50/5),0)*Settings!$F$7)+(E50*Settings!$I$7))+(F50*Settings!$I$11))+(ROUNDDOWN((G50/5),0)*Settings!$F$11))+(H50*Settings!$F$12)),1)),0,ROUND((((((ROUNDDOWN((D50/5),0)*Settings!$F$7)+(E50*Settings!$I$7))+(F50*Settings!$I$11))+(ROUNDDOWN((G50/5),0)*Settings!$F$11))+(H50*Settings!$F$12)),1))</f>
        <v>109</v>
      </c>
      <c r="W50" s="38">
        <f>IF(ISERROR(ROUND((((((ROUNDDOWN((I50/5),0)*Settings!$F$7)+(J50*Settings!$I$7))+(K50*Settings!$I$11))+(ROUNDDOWN((L50/5),0)*Settings!$F$11))+(M50*Settings!$F$12)),1)),0,ROUND((((((ROUNDDOWN((I50/5),0)*Settings!$F$7)+(J50*Settings!$I$7))+(K50*Settings!$I$11))+(ROUNDDOWN((L50/5),0)*Settings!$F$11))+(M50*Settings!$F$12)),1))</f>
        <v>100.5</v>
      </c>
      <c r="X50" s="38">
        <f>IF(AND((N50=""),(P50="")),0,((((((ROUND((N50/5),0)*Settings!$F$7)+(O50*Settings!$I$7))+(P50*Settings!$I$11))+(ROUND((Q50/5),0)*Settings!$F$11))+(R50*Settings!$F$12))+(S50*Settings!$F$15)))</f>
        <v>123.5</v>
      </c>
      <c r="Y50" s="66">
        <f>ROUND((((V50*Settings!$B$21)+(W50*Settings!$B$22))+(X50*Settings!$B$23)),1)</f>
        <v>111.1</v>
      </c>
      <c r="Z50" s="66">
        <f>IF(ISERROR(VLOOKUP(RANK(Y50,$Y$4:$Y$182),Z$4:Z49,1,0)),RANK(Y50,$Y$4:$Y$182),IF(ISERROR(VLOOKUP((RANK(Y50,$Y$4:$Y$182)+1),Z$4:Z49,1,0)),(RANK(Y50,$Y$4:$Y$182)+1),IF(ISERROR(VLOOKUP((RANK(Y50,$Y$4:$Y$182)+2),Z$4:Z49,1,0)),(RANK(Y50,$Y$4:$Y$182)+2),(RANK(Y50,$Y$4:$Y$182)+3))))</f>
        <v>42</v>
      </c>
      <c r="AA50" t="str">
        <f t="shared" si="7"/>
        <v>Jeremy Hill</v>
      </c>
    </row>
    <row r="51" spans="1:27" ht="12.75" customHeight="1">
      <c r="A51" s="33" t="str">
        <f>ESPNData!R52</f>
        <v>Terrance West, Cle RB</v>
      </c>
      <c r="B51" s="33" t="str">
        <f t="shared" si="4"/>
        <v>Terrance West</v>
      </c>
      <c r="C51" s="64" t="str">
        <f t="shared" si="5"/>
        <v>CLE</v>
      </c>
      <c r="D51" s="117">
        <f>IF(OR(($A51=Settings!$A$30),ISERROR(VLOOKUP($B51,FFTodayData!$P:$Y,5,0))),"",VLOOKUP($B51,FFTodayData!$P:$Y,5,0))</f>
        <v>596</v>
      </c>
      <c r="E51" s="33">
        <f>IF(OR(($A51=Settings!$A$30),ISERROR(VLOOKUP($B51,FFTodayData!$P:$Y,6,0))),"",VLOOKUP($B51,FFTodayData!$P:$Y,6,0))</f>
        <v>4</v>
      </c>
      <c r="F51" s="33">
        <f>IF(OR(($A51=Settings!$A$30),ISERROR(VLOOKUP($B51,FFTodayData!$P:$Y,7,0))),"",VLOOKUP($B51,FFTodayData!$P:$Y,7,0))</f>
        <v>27</v>
      </c>
      <c r="G51" s="33">
        <f>IF(OR(($A51=Settings!$A$30),ISERROR(VLOOKUP($B51,FFTodayData!$P:$Y,8,0))),"",VLOOKUP($B51,FFTodayData!$P:$Y,8,0))</f>
        <v>166</v>
      </c>
      <c r="H51" s="64">
        <f>IF(OR(($A51=Settings!$A$30),ISERROR(VLOOKUP($B51,FFTodayData!$P:$Y,9,0))),"",VLOOKUP($B51,FFTodayData!$P:$Y,9,0))</f>
        <v>0</v>
      </c>
      <c r="I51" s="117">
        <f>IF(ISERROR(VLOOKUP($A51,ESPNData!$R:$AE,9,0)),"",VLOOKUP($A51,ESPNData!$R:$AE,9,0))</f>
        <v>517</v>
      </c>
      <c r="J51" s="33">
        <f>IF(ISERROR(VLOOKUP($A51,ESPNData!$R:$AE,10,0)),"",VLOOKUP($A51,ESPNData!$R:$AE,10,0))</f>
        <v>5</v>
      </c>
      <c r="K51" s="33">
        <f>IF(ISERROR(VLOOKUP($A51,ESPNData!$R:$AE,11,0)),"",VLOOKUP($A51,ESPNData!$R:$AE,11,0))</f>
        <v>10</v>
      </c>
      <c r="L51" s="33">
        <f>IF(ISERROR(VLOOKUP($A51,ESPNData!$R:$AE,12,0)),"",VLOOKUP($A51,ESPNData!$R:$AE,12,0))</f>
        <v>80</v>
      </c>
      <c r="M51" s="64">
        <f>IF(ISERROR(VLOOKUP($A51,ESPNData!$R:$AE,13,0)),"",VLOOKUP($A51,ESPNData!$R:$AE,13,0))</f>
        <v>0</v>
      </c>
      <c r="N51" s="115">
        <f>IF(OR(($A51=Settings!$A$30),ISERROR(VLOOKUP($B51,SportslineData!$Q:$AB,4,0))),"",VLOOKUP($B51,SportslineData!$Q:$AB,4,0))</f>
        <v>833</v>
      </c>
      <c r="O51" s="82">
        <f>IF(OR(($A51=Settings!$A$30),ISERROR(VLOOKUP($B51,SportslineData!$Q:$AB,6,0))),"",ROUND(VLOOKUP($B51,SportslineData!$Q:$AB,6,0),0))</f>
        <v>6</v>
      </c>
      <c r="P51" s="82">
        <f>IF(OR(($A51=Settings!$A$30),ISERROR(VLOOKUP($B51,SportslineData!$Q:$AB,7,0))),"",ROUND(VLOOKUP($B51,SportslineData!$Q:$AB,7,0),0))</f>
        <v>23</v>
      </c>
      <c r="Q51" s="82">
        <f>IF(OR(($A51=Settings!$A$30),ISERROR(VLOOKUP($B51,SportslineData!$Q:$AB,8,0))),"",VLOOKUP($B51,SportslineData!$Q:$AB,8,0))</f>
        <v>199</v>
      </c>
      <c r="R51" s="82">
        <f>IF(OR(($A51=Settings!$A$30),ISERROR(VLOOKUP($B51,SportslineData!$Q:$AB,10,0))),"",ROUND(VLOOKUP($B51,SportslineData!$Q:$AB,10,0),0))</f>
        <v>1</v>
      </c>
      <c r="S51" s="74">
        <f>IF(OR(($A51=Settings!$A$30),ISERROR(VLOOKUP($B51,SportslineData!$Q:$AB,11,0))),"",ROUND(VLOOKUP($B51,SportslineData!$Q:$AB,11,0),0))</f>
        <v>0</v>
      </c>
      <c r="T51" s="117"/>
      <c r="U51" s="131">
        <f t="shared" si="6"/>
        <v>32.040339157589017</v>
      </c>
      <c r="V51" s="38">
        <f>IF(ISERROR(ROUND((((((ROUNDDOWN((D51/5),0)*Settings!$F$7)+(E51*Settings!$I$7))+(F51*Settings!$I$11))+(ROUNDDOWN((G51/5),0)*Settings!$F$11))+(H51*Settings!$F$12)),1)),0,ROUND((((((ROUNDDOWN((D51/5),0)*Settings!$F$7)+(E51*Settings!$I$7))+(F51*Settings!$I$11))+(ROUNDDOWN((G51/5),0)*Settings!$F$11))+(H51*Settings!$F$12)),1))</f>
        <v>113.5</v>
      </c>
      <c r="W51" s="38">
        <f>IF(ISERROR(ROUND((((((ROUNDDOWN((I51/5),0)*Settings!$F$7)+(J51*Settings!$I$7))+(K51*Settings!$I$11))+(ROUNDDOWN((L51/5),0)*Settings!$F$11))+(M51*Settings!$F$12)),1)),0,ROUND((((((ROUNDDOWN((I51/5),0)*Settings!$F$7)+(J51*Settings!$I$7))+(K51*Settings!$I$11))+(ROUNDDOWN((L51/5),0)*Settings!$F$11))+(M51*Settings!$F$12)),1))</f>
        <v>94.5</v>
      </c>
      <c r="X51" s="38">
        <f>IF(AND((N51=""),(P51="")),0,((((((ROUND((N51/5),0)*Settings!$F$7)+(O51*Settings!$I$7))+(P51*Settings!$I$11))+(ROUND((Q51/5),0)*Settings!$F$11))+(R51*Settings!$F$12))+(S51*Settings!$F$15)))</f>
        <v>157</v>
      </c>
      <c r="Y51" s="66">
        <f>ROUND((((V51*Settings!$B$21)+(W51*Settings!$B$22))+(X51*Settings!$B$23)),1)</f>
        <v>122</v>
      </c>
      <c r="Z51" s="66">
        <f>IF(ISERROR(VLOOKUP(RANK(Y51,$Y$4:$Y$182),Z$4:Z50,1,0)),RANK(Y51,$Y$4:$Y$182),IF(ISERROR(VLOOKUP((RANK(Y51,$Y$4:$Y$182)+1),Z$4:Z50,1,0)),(RANK(Y51,$Y$4:$Y$182)+1),IF(ISERROR(VLOOKUP((RANK(Y51,$Y$4:$Y$182)+2),Z$4:Z50,1,0)),(RANK(Y51,$Y$4:$Y$182)+2),(RANK(Y51,$Y$4:$Y$182)+3))))</f>
        <v>39</v>
      </c>
      <c r="AA51" t="str">
        <f t="shared" si="7"/>
        <v>Terrance West</v>
      </c>
    </row>
    <row r="52" spans="1:27" ht="12.75" customHeight="1">
      <c r="A52" s="33" t="str">
        <f>ESPNData!R53</f>
        <v>LeGarrette Blount, Pit RB</v>
      </c>
      <c r="B52" s="33" t="str">
        <f t="shared" si="4"/>
        <v>LeGarrette Blount</v>
      </c>
      <c r="C52" s="64" t="str">
        <f t="shared" si="5"/>
        <v>PIT</v>
      </c>
      <c r="D52" s="117">
        <f>IF(OR(($A52=Settings!$A$30),ISERROR(VLOOKUP($B52,FFTodayData!$P:$Y,5,0))),"",VLOOKUP($B52,FFTodayData!$P:$Y,5,0))</f>
        <v>456</v>
      </c>
      <c r="E52" s="33">
        <f>IF(OR(($A52=Settings!$A$30),ISERROR(VLOOKUP($B52,FFTodayData!$P:$Y,6,0))),"",VLOOKUP($B52,FFTodayData!$P:$Y,6,0))</f>
        <v>3</v>
      </c>
      <c r="F52" s="33">
        <f>IF(OR(($A52=Settings!$A$30),ISERROR(VLOOKUP($B52,FFTodayData!$P:$Y,7,0))),"",VLOOKUP($B52,FFTodayData!$P:$Y,7,0))</f>
        <v>13</v>
      </c>
      <c r="G52" s="33">
        <f>IF(OR(($A52=Settings!$A$30),ISERROR(VLOOKUP($B52,FFTodayData!$P:$Y,8,0))),"",VLOOKUP($B52,FFTodayData!$P:$Y,8,0))</f>
        <v>79</v>
      </c>
      <c r="H52" s="64">
        <f>IF(OR(($A52=Settings!$A$30),ISERROR(VLOOKUP($B52,FFTodayData!$P:$Y,9,0))),"",VLOOKUP($B52,FFTodayData!$P:$Y,9,0))</f>
        <v>0</v>
      </c>
      <c r="I52" s="117">
        <f>IF(ISERROR(VLOOKUP($A52,ESPNData!$R:$AE,9,0)),"",VLOOKUP($A52,ESPNData!$R:$AE,9,0))</f>
        <v>391</v>
      </c>
      <c r="J52" s="33">
        <f>IF(ISERROR(VLOOKUP($A52,ESPNData!$R:$AE,10,0)),"",VLOOKUP($A52,ESPNData!$R:$AE,10,0))</f>
        <v>4</v>
      </c>
      <c r="K52" s="33">
        <f>IF(ISERROR(VLOOKUP($A52,ESPNData!$R:$AE,11,0)),"",VLOOKUP($A52,ESPNData!$R:$AE,11,0))</f>
        <v>2</v>
      </c>
      <c r="L52" s="33">
        <f>IF(ISERROR(VLOOKUP($A52,ESPNData!$R:$AE,12,0)),"",VLOOKUP($A52,ESPNData!$R:$AE,12,0))</f>
        <v>11</v>
      </c>
      <c r="M52" s="64">
        <f>IF(ISERROR(VLOOKUP($A52,ESPNData!$R:$AE,13,0)),"",VLOOKUP($A52,ESPNData!$R:$AE,13,0))</f>
        <v>0</v>
      </c>
      <c r="N52" s="115">
        <f>IF(OR(($A52=Settings!$A$30),ISERROR(VLOOKUP($B52,SportslineData!$Q:$AB,4,0))),"",VLOOKUP($B52,SportslineData!$Q:$AB,4,0))</f>
        <v>645</v>
      </c>
      <c r="O52" s="82">
        <f>IF(OR(($A52=Settings!$A$30),ISERROR(VLOOKUP($B52,SportslineData!$Q:$AB,6,0))),"",ROUND(VLOOKUP($B52,SportslineData!$Q:$AB,6,0),0))</f>
        <v>6</v>
      </c>
      <c r="P52" s="82">
        <f>IF(OR(($A52=Settings!$A$30),ISERROR(VLOOKUP($B52,SportslineData!$Q:$AB,7,0))),"",ROUND(VLOOKUP($B52,SportslineData!$Q:$AB,7,0),0))</f>
        <v>15</v>
      </c>
      <c r="Q52" s="82">
        <f>IF(OR(($A52=Settings!$A$30),ISERROR(VLOOKUP($B52,SportslineData!$Q:$AB,8,0))),"",VLOOKUP($B52,SportslineData!$Q:$AB,8,0))</f>
        <v>110</v>
      </c>
      <c r="R52" s="82">
        <f>IF(OR(($A52=Settings!$A$30),ISERROR(VLOOKUP($B52,SportslineData!$Q:$AB,10,0))),"",ROUND(VLOOKUP($B52,SportslineData!$Q:$AB,10,0),0))</f>
        <v>0</v>
      </c>
      <c r="S52" s="74">
        <f>IF(OR(($A52=Settings!$A$30),ISERROR(VLOOKUP($B52,SportslineData!$Q:$AB,11,0))),"",ROUND(VLOOKUP($B52,SportslineData!$Q:$AB,11,0),0))</f>
        <v>2</v>
      </c>
      <c r="T52" s="117"/>
      <c r="U52" s="131">
        <f t="shared" si="6"/>
        <v>27.143139096279928</v>
      </c>
      <c r="V52" s="38">
        <f>IF(ISERROR(ROUND((((((ROUNDDOWN((D52/5),0)*Settings!$F$7)+(E52*Settings!$I$7))+(F52*Settings!$I$11))+(ROUNDDOWN((G52/5),0)*Settings!$F$11))+(H52*Settings!$F$12)),1)),0,ROUND((((((ROUNDDOWN((D52/5),0)*Settings!$F$7)+(E52*Settings!$I$7))+(F52*Settings!$I$11))+(ROUNDDOWN((G52/5),0)*Settings!$F$11))+(H52*Settings!$F$12)),1))</f>
        <v>77.5</v>
      </c>
      <c r="W52" s="38">
        <f>IF(ISERROR(ROUND((((((ROUNDDOWN((I52/5),0)*Settings!$F$7)+(J52*Settings!$I$7))+(K52*Settings!$I$11))+(ROUNDDOWN((L52/5),0)*Settings!$F$11))+(M52*Settings!$F$12)),1)),0,ROUND((((((ROUNDDOWN((I52/5),0)*Settings!$F$7)+(J52*Settings!$I$7))+(K52*Settings!$I$11))+(ROUNDDOWN((L52/5),0)*Settings!$F$11))+(M52*Settings!$F$12)),1))</f>
        <v>65</v>
      </c>
      <c r="X52" s="38">
        <f>IF(AND((N52=""),(P52="")),0,((((((ROUND((N52/5),0)*Settings!$F$7)+(O52*Settings!$I$7))+(P52*Settings!$I$11))+(ROUND((Q52/5),0)*Settings!$F$11))+(R52*Settings!$F$12))+(S52*Settings!$F$15)))</f>
        <v>117</v>
      </c>
      <c r="Y52" s="66">
        <f>ROUND((((V52*Settings!$B$21)+(W52*Settings!$B$22))+(X52*Settings!$B$23)),1)</f>
        <v>86.8</v>
      </c>
      <c r="Z52" s="66">
        <f>IF(ISERROR(VLOOKUP(RANK(Y52,$Y$4:$Y$182),Z$4:Z51,1,0)),RANK(Y52,$Y$4:$Y$182),IF(ISERROR(VLOOKUP((RANK(Y52,$Y$4:$Y$182)+1),Z$4:Z51,1,0)),(RANK(Y52,$Y$4:$Y$182)+1),IF(ISERROR(VLOOKUP((RANK(Y52,$Y$4:$Y$182)+2),Z$4:Z51,1,0)),(RANK(Y52,$Y$4:$Y$182)+2),(RANK(Y52,$Y$4:$Y$182)+3))))</f>
        <v>49</v>
      </c>
      <c r="AA52" t="str">
        <f t="shared" si="7"/>
        <v>LeGarrette Blount</v>
      </c>
    </row>
    <row r="53" spans="1:27" ht="12.75" customHeight="1">
      <c r="A53" s="33" t="str">
        <f>ESPNData!R54</f>
        <v>Carlos Hyde, SF RB</v>
      </c>
      <c r="B53" s="33" t="str">
        <f t="shared" si="4"/>
        <v>Carlos Hyde</v>
      </c>
      <c r="C53" s="64" t="str">
        <f t="shared" si="5"/>
        <v>SF</v>
      </c>
      <c r="D53" s="117" t="str">
        <f>IF(OR(($A53=Settings!$A$30),ISERROR(VLOOKUP($B53,FFTodayData!$P:$Y,5,0))),"",VLOOKUP($B53,FFTodayData!$P:$Y,5,0))</f>
        <v/>
      </c>
      <c r="E53" s="33" t="str">
        <f>IF(OR(($A53=Settings!$A$30),ISERROR(VLOOKUP($B53,FFTodayData!$P:$Y,6,0))),"",VLOOKUP($B53,FFTodayData!$P:$Y,6,0))</f>
        <v/>
      </c>
      <c r="F53" s="33" t="str">
        <f>IF(OR(($A53=Settings!$A$30),ISERROR(VLOOKUP($B53,FFTodayData!$P:$Y,7,0))),"",VLOOKUP($B53,FFTodayData!$P:$Y,7,0))</f>
        <v/>
      </c>
      <c r="G53" s="33" t="str">
        <f>IF(OR(($A53=Settings!$A$30),ISERROR(VLOOKUP($B53,FFTodayData!$P:$Y,8,0))),"",VLOOKUP($B53,FFTodayData!$P:$Y,8,0))</f>
        <v/>
      </c>
      <c r="H53" s="64" t="str">
        <f>IF(OR(($A53=Settings!$A$30),ISERROR(VLOOKUP($B53,FFTodayData!$P:$Y,9,0))),"",VLOOKUP($B53,FFTodayData!$P:$Y,9,0))</f>
        <v/>
      </c>
      <c r="I53" s="117">
        <f>IF(ISERROR(VLOOKUP($A53,ESPNData!$R:$AE,9,0)),"",VLOOKUP($A53,ESPNData!$R:$AE,9,0))</f>
        <v>495</v>
      </c>
      <c r="J53" s="33">
        <f>IF(ISERROR(VLOOKUP($A53,ESPNData!$R:$AE,10,0)),"",VLOOKUP($A53,ESPNData!$R:$AE,10,0))</f>
        <v>3</v>
      </c>
      <c r="K53" s="33">
        <f>IF(ISERROR(VLOOKUP($A53,ESPNData!$R:$AE,11,0)),"",VLOOKUP($A53,ESPNData!$R:$AE,11,0))</f>
        <v>16</v>
      </c>
      <c r="L53" s="33">
        <f>IF(ISERROR(VLOOKUP($A53,ESPNData!$R:$AE,12,0)),"",VLOOKUP($A53,ESPNData!$R:$AE,12,0))</f>
        <v>108</v>
      </c>
      <c r="M53" s="64">
        <f>IF(ISERROR(VLOOKUP($A53,ESPNData!$R:$AE,13,0)),"",VLOOKUP($A53,ESPNData!$R:$AE,13,0))</f>
        <v>0</v>
      </c>
      <c r="N53" s="115">
        <f>IF(OR(($A53=Settings!$A$30),ISERROR(VLOOKUP($B53,SportslineData!$Q:$AB,4,0))),"",VLOOKUP($B53,SportslineData!$Q:$AB,4,0))</f>
        <v>681.5</v>
      </c>
      <c r="O53" s="82">
        <f>IF(OR(($A53=Settings!$A$30),ISERROR(VLOOKUP($B53,SportslineData!$Q:$AB,6,0))),"",ROUND(VLOOKUP($B53,SportslineData!$Q:$AB,6,0),0))</f>
        <v>6</v>
      </c>
      <c r="P53" s="82">
        <f>IF(OR(($A53=Settings!$A$30),ISERROR(VLOOKUP($B53,SportslineData!$Q:$AB,7,0))),"",ROUND(VLOOKUP($B53,SportslineData!$Q:$AB,7,0),0))</f>
        <v>15</v>
      </c>
      <c r="Q53" s="82">
        <f>IF(OR(($A53=Settings!$A$30),ISERROR(VLOOKUP($B53,SportslineData!$Q:$AB,8,0))),"",VLOOKUP($B53,SportslineData!$Q:$AB,8,0))</f>
        <v>107</v>
      </c>
      <c r="R53" s="82">
        <f>IF(OR(($A53=Settings!$A$30),ISERROR(VLOOKUP($B53,SportslineData!$Q:$AB,10,0))),"",ROUND(VLOOKUP($B53,SportslineData!$Q:$AB,10,0),0))</f>
        <v>1</v>
      </c>
      <c r="S53" s="74">
        <f>IF(OR(($A53=Settings!$A$30),ISERROR(VLOOKUP($B53,SportslineData!$Q:$AB,11,0))),"",ROUND(VLOOKUP($B53,SportslineData!$Q:$AB,11,0),0))</f>
        <v>1</v>
      </c>
      <c r="T53" s="117"/>
      <c r="U53" s="131">
        <f t="shared" si="6"/>
        <v>64.815121692395209</v>
      </c>
      <c r="V53" s="38">
        <f>IF(ISERROR(ROUND((((((ROUNDDOWN((D53/5),0)*Settings!$F$7)+(E53*Settings!$I$7))+(F53*Settings!$I$11))+(ROUNDDOWN((G53/5),0)*Settings!$F$11))+(H53*Settings!$F$12)),1)),0,ROUND((((((ROUNDDOWN((D53/5),0)*Settings!$F$7)+(E53*Settings!$I$7))+(F53*Settings!$I$11))+(ROUNDDOWN((G53/5),0)*Settings!$F$11))+(H53*Settings!$F$12)),1))</f>
        <v>0</v>
      </c>
      <c r="W53" s="38">
        <f>IF(ISERROR(ROUND((((((ROUNDDOWN((I53/5),0)*Settings!$F$7)+(J53*Settings!$I$7))+(K53*Settings!$I$11))+(ROUNDDOWN((L53/5),0)*Settings!$F$11))+(M53*Settings!$F$12)),1)),0,ROUND((((((ROUNDDOWN((I53/5),0)*Settings!$F$7)+(J53*Settings!$I$7))+(K53*Settings!$I$11))+(ROUNDDOWN((L53/5),0)*Settings!$F$11))+(M53*Settings!$F$12)),1))</f>
        <v>86</v>
      </c>
      <c r="X53" s="38">
        <f>IF(AND((N53=""),(P53="")),0,((((((ROUND((N53/5),0)*Settings!$F$7)+(O53*Settings!$I$7))+(P53*Settings!$I$11))+(ROUND((Q53/5),0)*Settings!$F$11))+(R53*Settings!$F$12))+(S53*Settings!$F$15)))</f>
        <v>127</v>
      </c>
      <c r="Y53" s="66">
        <f>ROUND((((V53*Settings!$B$21)+(W53*Settings!$B$22))+(X53*Settings!$B$23)),1)</f>
        <v>71.599999999999994</v>
      </c>
      <c r="Z53" s="66">
        <f>IF(ISERROR(VLOOKUP(RANK(Y53,$Y$4:$Y$182),Z$4:Z52,1,0)),RANK(Y53,$Y$4:$Y$182),IF(ISERROR(VLOOKUP((RANK(Y53,$Y$4:$Y$182)+1),Z$4:Z52,1,0)),(RANK(Y53,$Y$4:$Y$182)+1),IF(ISERROR(VLOOKUP((RANK(Y53,$Y$4:$Y$182)+2),Z$4:Z52,1,0)),(RANK(Y53,$Y$4:$Y$182)+2),(RANK(Y53,$Y$4:$Y$182)+3))))</f>
        <v>55</v>
      </c>
      <c r="AA53" t="str">
        <f t="shared" si="7"/>
        <v>Carlos Hyde</v>
      </c>
    </row>
    <row r="54" spans="1:27" ht="12.75" customHeight="1">
      <c r="A54" s="33" t="str">
        <f>ESPNData!R55</f>
        <v>Tre Mason, StL RB</v>
      </c>
      <c r="B54" s="33" t="str">
        <f t="shared" si="4"/>
        <v>Tre Mason</v>
      </c>
      <c r="C54" s="64" t="str">
        <f t="shared" si="5"/>
        <v>STL</v>
      </c>
      <c r="D54" s="117" t="str">
        <f>IF(OR(($A54=Settings!$A$30),ISERROR(VLOOKUP($B54,FFTodayData!$P:$Y,5,0))),"",VLOOKUP($B54,FFTodayData!$P:$Y,5,0))</f>
        <v/>
      </c>
      <c r="E54" s="33" t="str">
        <f>IF(OR(($A54=Settings!$A$30),ISERROR(VLOOKUP($B54,FFTodayData!$P:$Y,6,0))),"",VLOOKUP($B54,FFTodayData!$P:$Y,6,0))</f>
        <v/>
      </c>
      <c r="F54" s="33" t="str">
        <f>IF(OR(($A54=Settings!$A$30),ISERROR(VLOOKUP($B54,FFTodayData!$P:$Y,7,0))),"",VLOOKUP($B54,FFTodayData!$P:$Y,7,0))</f>
        <v/>
      </c>
      <c r="G54" s="33" t="str">
        <f>IF(OR(($A54=Settings!$A$30),ISERROR(VLOOKUP($B54,FFTodayData!$P:$Y,8,0))),"",VLOOKUP($B54,FFTodayData!$P:$Y,8,0))</f>
        <v/>
      </c>
      <c r="H54" s="64" t="str">
        <f>IF(OR(($A54=Settings!$A$30),ISERROR(VLOOKUP($B54,FFTodayData!$P:$Y,9,0))),"",VLOOKUP($B54,FFTodayData!$P:$Y,9,0))</f>
        <v/>
      </c>
      <c r="I54" s="117">
        <f>IF(ISERROR(VLOOKUP($A54,ESPNData!$R:$AE,9,0)),"",VLOOKUP($A54,ESPNData!$R:$AE,9,0))</f>
        <v>435</v>
      </c>
      <c r="J54" s="33">
        <f>IF(ISERROR(VLOOKUP($A54,ESPNData!$R:$AE,10,0)),"",VLOOKUP($A54,ESPNData!$R:$AE,10,0))</f>
        <v>3</v>
      </c>
      <c r="K54" s="33">
        <f>IF(ISERROR(VLOOKUP($A54,ESPNData!$R:$AE,11,0)),"",VLOOKUP($A54,ESPNData!$R:$AE,11,0))</f>
        <v>19</v>
      </c>
      <c r="L54" s="33">
        <f>IF(ISERROR(VLOOKUP($A54,ESPNData!$R:$AE,12,0)),"",VLOOKUP($A54,ESPNData!$R:$AE,12,0))</f>
        <v>155</v>
      </c>
      <c r="M54" s="64">
        <f>IF(ISERROR(VLOOKUP($A54,ESPNData!$R:$AE,13,0)),"",VLOOKUP($A54,ESPNData!$R:$AE,13,0))</f>
        <v>0</v>
      </c>
      <c r="N54" s="115">
        <f>IF(OR(($A54=Settings!$A$30),ISERROR(VLOOKUP($B54,SportslineData!$Q:$AB,4,0))),"",VLOOKUP($B54,SportslineData!$Q:$AB,4,0))</f>
        <v>530.5</v>
      </c>
      <c r="O54" s="82">
        <f>IF(OR(($A54=Settings!$A$30),ISERROR(VLOOKUP($B54,SportslineData!$Q:$AB,6,0))),"",ROUND(VLOOKUP($B54,SportslineData!$Q:$AB,6,0),0))</f>
        <v>2</v>
      </c>
      <c r="P54" s="82">
        <f>IF(OR(($A54=Settings!$A$30),ISERROR(VLOOKUP($B54,SportslineData!$Q:$AB,7,0))),"",ROUND(VLOOKUP($B54,SportslineData!$Q:$AB,7,0),0))</f>
        <v>32</v>
      </c>
      <c r="Q54" s="82">
        <f>IF(OR(($A54=Settings!$A$30),ISERROR(VLOOKUP($B54,SportslineData!$Q:$AB,8,0))),"",VLOOKUP($B54,SportslineData!$Q:$AB,8,0))</f>
        <v>250.5</v>
      </c>
      <c r="R54" s="82">
        <f>IF(OR(($A54=Settings!$A$30),ISERROR(VLOOKUP($B54,SportslineData!$Q:$AB,10,0))),"",ROUND(VLOOKUP($B54,SportslineData!$Q:$AB,10,0),0))</f>
        <v>1</v>
      </c>
      <c r="S54" s="74">
        <f>IF(OR(($A54=Settings!$A$30),ISERROR(VLOOKUP($B54,SportslineData!$Q:$AB,11,0))),"",ROUND(VLOOKUP($B54,SportslineData!$Q:$AB,11,0),0))</f>
        <v>1</v>
      </c>
      <c r="T54" s="117"/>
      <c r="U54" s="131">
        <f t="shared" si="6"/>
        <v>58.314520775989692</v>
      </c>
      <c r="V54" s="38">
        <f>IF(ISERROR(ROUND((((((ROUNDDOWN((D54/5),0)*Settings!$F$7)+(E54*Settings!$I$7))+(F54*Settings!$I$11))+(ROUNDDOWN((G54/5),0)*Settings!$F$11))+(H54*Settings!$F$12)),1)),0,ROUND((((((ROUNDDOWN((D54/5),0)*Settings!$F$7)+(E54*Settings!$I$7))+(F54*Settings!$I$11))+(ROUNDDOWN((G54/5),0)*Settings!$F$11))+(H54*Settings!$F$12)),1))</f>
        <v>0</v>
      </c>
      <c r="W54" s="38">
        <f>IF(ISERROR(ROUND((((((ROUNDDOWN((I54/5),0)*Settings!$F$7)+(J54*Settings!$I$7))+(K54*Settings!$I$11))+(ROUNDDOWN((L54/5),0)*Settings!$F$11))+(M54*Settings!$F$12)),1)),0,ROUND((((((ROUNDDOWN((I54/5),0)*Settings!$F$7)+(J54*Settings!$I$7))+(K54*Settings!$I$11))+(ROUNDDOWN((L54/5),0)*Settings!$F$11))+(M54*Settings!$F$12)),1))</f>
        <v>86.5</v>
      </c>
      <c r="X54" s="38">
        <f>IF(AND((N54=""),(P54="")),0,((((((ROUND((N54/5),0)*Settings!$F$7)+(O54*Settings!$I$7))+(P54*Settings!$I$11))+(ROUND((Q54/5),0)*Settings!$F$11))+(R54*Settings!$F$12))+(S54*Settings!$F$15)))</f>
        <v>111</v>
      </c>
      <c r="Y54" s="66">
        <f>ROUND((((V54*Settings!$B$21)+(W54*Settings!$B$22))+(X54*Settings!$B$23)),1)</f>
        <v>66.3</v>
      </c>
      <c r="Z54" s="66">
        <f>IF(ISERROR(VLOOKUP(RANK(Y54,$Y$4:$Y$182),Z$4:Z53,1,0)),RANK(Y54,$Y$4:$Y$182),IF(ISERROR(VLOOKUP((RANK(Y54,$Y$4:$Y$182)+1),Z$4:Z53,1,0)),(RANK(Y54,$Y$4:$Y$182)+1),IF(ISERROR(VLOOKUP((RANK(Y54,$Y$4:$Y$182)+2),Z$4:Z53,1,0)),(RANK(Y54,$Y$4:$Y$182)+2),(RANK(Y54,$Y$4:$Y$182)+3))))</f>
        <v>59</v>
      </c>
      <c r="AA54" t="str">
        <f t="shared" si="7"/>
        <v>Tre Mason</v>
      </c>
    </row>
    <row r="55" spans="1:27" ht="12.75" customHeight="1">
      <c r="A55" s="33" t="str">
        <f>ESPNData!R56</f>
        <v>James Starks, GB RB</v>
      </c>
      <c r="B55" s="33" t="str">
        <f t="shared" si="4"/>
        <v>James Starks</v>
      </c>
      <c r="C55" s="64" t="str">
        <f t="shared" si="5"/>
        <v>GB</v>
      </c>
      <c r="D55" s="117">
        <f>IF(OR(($A55=Settings!$A$30),ISERROR(VLOOKUP($B55,FFTodayData!$P:$Y,5,0))),"",VLOOKUP($B55,FFTodayData!$P:$Y,5,0))</f>
        <v>320</v>
      </c>
      <c r="E55" s="33">
        <f>IF(OR(($A55=Settings!$A$30),ISERROR(VLOOKUP($B55,FFTodayData!$P:$Y,6,0))),"",VLOOKUP($B55,FFTodayData!$P:$Y,6,0))</f>
        <v>2</v>
      </c>
      <c r="F55" s="33">
        <f>IF(OR(($A55=Settings!$A$30),ISERROR(VLOOKUP($B55,FFTodayData!$P:$Y,7,0))),"",VLOOKUP($B55,FFTodayData!$P:$Y,7,0))</f>
        <v>12</v>
      </c>
      <c r="G55" s="33">
        <f>IF(OR(($A55=Settings!$A$30),ISERROR(VLOOKUP($B55,FFTodayData!$P:$Y,8,0))),"",VLOOKUP($B55,FFTodayData!$P:$Y,8,0))</f>
        <v>82</v>
      </c>
      <c r="H55" s="64">
        <f>IF(OR(($A55=Settings!$A$30),ISERROR(VLOOKUP($B55,FFTodayData!$P:$Y,9,0))),"",VLOOKUP($B55,FFTodayData!$P:$Y,9,0))</f>
        <v>0</v>
      </c>
      <c r="I55" s="117">
        <f>IF(ISERROR(VLOOKUP($A55,ESPNData!$R:$AE,9,0)),"",VLOOKUP($A55,ESPNData!$R:$AE,9,0))</f>
        <v>402</v>
      </c>
      <c r="J55" s="33">
        <f>IF(ISERROR(VLOOKUP($A55,ESPNData!$R:$AE,10,0)),"",VLOOKUP($A55,ESPNData!$R:$AE,10,0))</f>
        <v>3</v>
      </c>
      <c r="K55" s="33">
        <f>IF(ISERROR(VLOOKUP($A55,ESPNData!$R:$AE,11,0)),"",VLOOKUP($A55,ESPNData!$R:$AE,11,0))</f>
        <v>9</v>
      </c>
      <c r="L55" s="33">
        <f>IF(ISERROR(VLOOKUP($A55,ESPNData!$R:$AE,12,0)),"",VLOOKUP($A55,ESPNData!$R:$AE,12,0))</f>
        <v>70</v>
      </c>
      <c r="M55" s="64">
        <f>IF(ISERROR(VLOOKUP($A55,ESPNData!$R:$AE,13,0)),"",VLOOKUP($A55,ESPNData!$R:$AE,13,0))</f>
        <v>0</v>
      </c>
      <c r="N55" s="115">
        <f>IF(OR(($A55=Settings!$A$30),ISERROR(VLOOKUP($B55,SportslineData!$Q:$AB,4,0))),"",VLOOKUP($B55,SportslineData!$Q:$AB,4,0))</f>
        <v>477.5</v>
      </c>
      <c r="O55" s="82">
        <f>IF(OR(($A55=Settings!$A$30),ISERROR(VLOOKUP($B55,SportslineData!$Q:$AB,6,0))),"",ROUND(VLOOKUP($B55,SportslineData!$Q:$AB,6,0),0))</f>
        <v>3</v>
      </c>
      <c r="P55" s="82">
        <f>IF(OR(($A55=Settings!$A$30),ISERROR(VLOOKUP($B55,SportslineData!$Q:$AB,7,0))),"",ROUND(VLOOKUP($B55,SportslineData!$Q:$AB,7,0),0))</f>
        <v>13</v>
      </c>
      <c r="Q55" s="82">
        <f>IF(OR(($A55=Settings!$A$30),ISERROR(VLOOKUP($B55,SportslineData!$Q:$AB,8,0))),"",VLOOKUP($B55,SportslineData!$Q:$AB,8,0))</f>
        <v>111</v>
      </c>
      <c r="R55" s="82">
        <f>IF(OR(($A55=Settings!$A$30),ISERROR(VLOOKUP($B55,SportslineData!$Q:$AB,10,0))),"",ROUND(VLOOKUP($B55,SportslineData!$Q:$AB,10,0),0))</f>
        <v>0</v>
      </c>
      <c r="S55" s="74">
        <f>IF(OR(($A55=Settings!$A$30),ISERROR(VLOOKUP($B55,SportslineData!$Q:$AB,11,0))),"",ROUND(VLOOKUP($B55,SportslineData!$Q:$AB,11,0),0))</f>
        <v>1</v>
      </c>
      <c r="T55" s="117"/>
      <c r="U55" s="131">
        <f t="shared" si="6"/>
        <v>12.257650672131263</v>
      </c>
      <c r="V55" s="38">
        <f>IF(ISERROR(ROUND((((((ROUNDDOWN((D55/5),0)*Settings!$F$7)+(E55*Settings!$I$7))+(F55*Settings!$I$11))+(ROUNDDOWN((G55/5),0)*Settings!$F$11))+(H55*Settings!$F$12)),1)),0,ROUND((((((ROUNDDOWN((D55/5),0)*Settings!$F$7)+(E55*Settings!$I$7))+(F55*Settings!$I$11))+(ROUNDDOWN((G55/5),0)*Settings!$F$11))+(H55*Settings!$F$12)),1))</f>
        <v>58</v>
      </c>
      <c r="W55" s="38">
        <f>IF(ISERROR(ROUND((((((ROUNDDOWN((I55/5),0)*Settings!$F$7)+(J55*Settings!$I$7))+(K55*Settings!$I$11))+(ROUNDDOWN((L55/5),0)*Settings!$F$11))+(M55*Settings!$F$12)),1)),0,ROUND((((((ROUNDDOWN((I55/5),0)*Settings!$F$7)+(J55*Settings!$I$7))+(K55*Settings!$I$11))+(ROUNDDOWN((L55/5),0)*Settings!$F$11))+(M55*Settings!$F$12)),1))</f>
        <v>69.5</v>
      </c>
      <c r="X55" s="38">
        <f>IF(AND((N55=""),(P55="")),0,((((((ROUND((N55/5),0)*Settings!$F$7)+(O55*Settings!$I$7))+(P55*Settings!$I$11))+(ROUND((Q55/5),0)*Settings!$F$11))+(R55*Settings!$F$12))+(S55*Settings!$F$15)))</f>
        <v>82.5</v>
      </c>
      <c r="Y55" s="66">
        <f>ROUND((((V55*Settings!$B$21)+(W55*Settings!$B$22))+(X55*Settings!$B$23)),1)</f>
        <v>70.099999999999994</v>
      </c>
      <c r="Z55" s="66">
        <f>IF(ISERROR(VLOOKUP(RANK(Y55,$Y$4:$Y$182),Z$4:Z54,1,0)),RANK(Y55,$Y$4:$Y$182),IF(ISERROR(VLOOKUP((RANK(Y55,$Y$4:$Y$182)+1),Z$4:Z54,1,0)),(RANK(Y55,$Y$4:$Y$182)+1),IF(ISERROR(VLOOKUP((RANK(Y55,$Y$4:$Y$182)+2),Z$4:Z54,1,0)),(RANK(Y55,$Y$4:$Y$182)+2),(RANK(Y55,$Y$4:$Y$182)+3))))</f>
        <v>56</v>
      </c>
      <c r="AA55" t="str">
        <f t="shared" si="7"/>
        <v>James Starks</v>
      </c>
    </row>
    <row r="56" spans="1:27" ht="12.75" customHeight="1">
      <c r="A56" s="33" t="str">
        <f>ESPNData!R57</f>
        <v>Knile Davis, KC RB</v>
      </c>
      <c r="B56" s="33" t="str">
        <f t="shared" si="4"/>
        <v>Knile Davis</v>
      </c>
      <c r="C56" s="64" t="str">
        <f t="shared" si="5"/>
        <v>KC</v>
      </c>
      <c r="D56" s="117" t="str">
        <f>IF(OR(($A56=Settings!$A$30),ISERROR(VLOOKUP($B56,FFTodayData!$P:$Y,5,0))),"",VLOOKUP($B56,FFTodayData!$P:$Y,5,0))</f>
        <v/>
      </c>
      <c r="E56" s="33" t="str">
        <f>IF(OR(($A56=Settings!$A$30),ISERROR(VLOOKUP($B56,FFTodayData!$P:$Y,6,0))),"",VLOOKUP($B56,FFTodayData!$P:$Y,6,0))</f>
        <v/>
      </c>
      <c r="F56" s="33" t="str">
        <f>IF(OR(($A56=Settings!$A$30),ISERROR(VLOOKUP($B56,FFTodayData!$P:$Y,7,0))),"",VLOOKUP($B56,FFTodayData!$P:$Y,7,0))</f>
        <v/>
      </c>
      <c r="G56" s="33" t="str">
        <f>IF(OR(($A56=Settings!$A$30),ISERROR(VLOOKUP($B56,FFTodayData!$P:$Y,8,0))),"",VLOOKUP($B56,FFTodayData!$P:$Y,8,0))</f>
        <v/>
      </c>
      <c r="H56" s="64" t="str">
        <f>IF(OR(($A56=Settings!$A$30),ISERROR(VLOOKUP($B56,FFTodayData!$P:$Y,9,0))),"",VLOOKUP($B56,FFTodayData!$P:$Y,9,0))</f>
        <v/>
      </c>
      <c r="I56" s="117">
        <f>IF(ISERROR(VLOOKUP($A56,ESPNData!$R:$AE,9,0)),"",VLOOKUP($A56,ESPNData!$R:$AE,9,0))</f>
        <v>362</v>
      </c>
      <c r="J56" s="33">
        <f>IF(ISERROR(VLOOKUP($A56,ESPNData!$R:$AE,10,0)),"",VLOOKUP($A56,ESPNData!$R:$AE,10,0))</f>
        <v>4</v>
      </c>
      <c r="K56" s="33">
        <f>IF(ISERROR(VLOOKUP($A56,ESPNData!$R:$AE,11,0)),"",VLOOKUP($A56,ESPNData!$R:$AE,11,0))</f>
        <v>12</v>
      </c>
      <c r="L56" s="33">
        <f>IF(ISERROR(VLOOKUP($A56,ESPNData!$R:$AE,12,0)),"",VLOOKUP($A56,ESPNData!$R:$AE,12,0))</f>
        <v>71</v>
      </c>
      <c r="M56" s="64">
        <f>IF(ISERROR(VLOOKUP($A56,ESPNData!$R:$AE,13,0)),"",VLOOKUP($A56,ESPNData!$R:$AE,13,0))</f>
        <v>0</v>
      </c>
      <c r="N56" s="115">
        <f>IF(OR(($A56=Settings!$A$30),ISERROR(VLOOKUP($B56,SportslineData!$Q:$AB,4,0))),"",VLOOKUP($B56,SportslineData!$Q:$AB,4,0))</f>
        <v>497.5</v>
      </c>
      <c r="O56" s="82">
        <f>IF(OR(($A56=Settings!$A$30),ISERROR(VLOOKUP($B56,SportslineData!$Q:$AB,6,0))),"",ROUND(VLOOKUP($B56,SportslineData!$Q:$AB,6,0),0))</f>
        <v>3</v>
      </c>
      <c r="P56" s="82">
        <f>IF(OR(($A56=Settings!$A$30),ISERROR(VLOOKUP($B56,SportslineData!$Q:$AB,7,0))),"",ROUND(VLOOKUP($B56,SportslineData!$Q:$AB,7,0),0))</f>
        <v>14</v>
      </c>
      <c r="Q56" s="82">
        <f>IF(OR(($A56=Settings!$A$30),ISERROR(VLOOKUP($B56,SportslineData!$Q:$AB,8,0))),"",VLOOKUP($B56,SportslineData!$Q:$AB,8,0))</f>
        <v>128.5</v>
      </c>
      <c r="R56" s="82">
        <f>IF(OR(($A56=Settings!$A$30),ISERROR(VLOOKUP($B56,SportslineData!$Q:$AB,10,0))),"",ROUND(VLOOKUP($B56,SportslineData!$Q:$AB,10,0),0))</f>
        <v>1</v>
      </c>
      <c r="S56" s="74">
        <f>IF(OR(($A56=Settings!$A$30),ISERROR(VLOOKUP($B56,SportslineData!$Q:$AB,11,0))),"",ROUND(VLOOKUP($B56,SportslineData!$Q:$AB,11,0),0))</f>
        <v>1</v>
      </c>
      <c r="T56" s="117"/>
      <c r="U56" s="131">
        <f t="shared" si="6"/>
        <v>48.952357791360093</v>
      </c>
      <c r="V56" s="38">
        <f>IF(ISERROR(ROUND((((((ROUNDDOWN((D56/5),0)*Settings!$F$7)+(E56*Settings!$I$7))+(F56*Settings!$I$11))+(ROUNDDOWN((G56/5),0)*Settings!$F$11))+(H56*Settings!$F$12)),1)),0,ROUND((((((ROUNDDOWN((D56/5),0)*Settings!$F$7)+(E56*Settings!$I$7))+(F56*Settings!$I$11))+(ROUNDDOWN((G56/5),0)*Settings!$F$11))+(H56*Settings!$F$12)),1))</f>
        <v>0</v>
      </c>
      <c r="W56" s="38">
        <f>IF(ISERROR(ROUND((((((ROUNDDOWN((I56/5),0)*Settings!$F$7)+(J56*Settings!$I$7))+(K56*Settings!$I$11))+(ROUNDDOWN((L56/5),0)*Settings!$F$11))+(M56*Settings!$F$12)),1)),0,ROUND((((((ROUNDDOWN((I56/5),0)*Settings!$F$7)+(J56*Settings!$I$7))+(K56*Settings!$I$11))+(ROUNDDOWN((L56/5),0)*Settings!$F$11))+(M56*Settings!$F$12)),1))</f>
        <v>73</v>
      </c>
      <c r="X56" s="38">
        <f>IF(AND((N56=""),(P56="")),0,((((((ROUND((N56/5),0)*Settings!$F$7)+(O56*Settings!$I$7))+(P56*Settings!$I$11))+(ROUND((Q56/5),0)*Settings!$F$11))+(R56*Settings!$F$12))+(S56*Settings!$F$15)))</f>
        <v>93</v>
      </c>
      <c r="Y56" s="66">
        <f>ROUND((((V56*Settings!$B$21)+(W56*Settings!$B$22))+(X56*Settings!$B$23)),1)</f>
        <v>55.7</v>
      </c>
      <c r="Z56" s="66">
        <f>IF(ISERROR(VLOOKUP(RANK(Y56,$Y$4:$Y$182),Z$4:Z55,1,0)),RANK(Y56,$Y$4:$Y$182),IF(ISERROR(VLOOKUP((RANK(Y56,$Y$4:$Y$182)+1),Z$4:Z55,1,0)),(RANK(Y56,$Y$4:$Y$182)+1),IF(ISERROR(VLOOKUP((RANK(Y56,$Y$4:$Y$182)+2),Z$4:Z55,1,0)),(RANK(Y56,$Y$4:$Y$182)+2),(RANK(Y56,$Y$4:$Y$182)+3))))</f>
        <v>63</v>
      </c>
      <c r="AA56" t="str">
        <f t="shared" si="7"/>
        <v>Knile Davis</v>
      </c>
    </row>
    <row r="57" spans="1:27" ht="12.75" customHeight="1">
      <c r="A57" s="33" t="str">
        <f>ESPNData!R58</f>
        <v>C.J. Anderson, Den RB</v>
      </c>
      <c r="B57" s="33" t="str">
        <f t="shared" si="4"/>
        <v>C.J. Anderson</v>
      </c>
      <c r="C57" s="64" t="str">
        <f t="shared" si="5"/>
        <v>DEN</v>
      </c>
      <c r="D57" s="117" t="str">
        <f>IF(OR(($A57=Settings!$A$30),ISERROR(VLOOKUP($B57,FFTodayData!$P:$Y,5,0))),"",VLOOKUP($B57,FFTodayData!$P:$Y,5,0))</f>
        <v/>
      </c>
      <c r="E57" s="33" t="str">
        <f>IF(OR(($A57=Settings!$A$30),ISERROR(VLOOKUP($B57,FFTodayData!$P:$Y,6,0))),"",VLOOKUP($B57,FFTodayData!$P:$Y,6,0))</f>
        <v/>
      </c>
      <c r="F57" s="33" t="str">
        <f>IF(OR(($A57=Settings!$A$30),ISERROR(VLOOKUP($B57,FFTodayData!$P:$Y,7,0))),"",VLOOKUP($B57,FFTodayData!$P:$Y,7,0))</f>
        <v/>
      </c>
      <c r="G57" s="33" t="str">
        <f>IF(OR(($A57=Settings!$A$30),ISERROR(VLOOKUP($B57,FFTodayData!$P:$Y,8,0))),"",VLOOKUP($B57,FFTodayData!$P:$Y,8,0))</f>
        <v/>
      </c>
      <c r="H57" s="64" t="str">
        <f>IF(OR(($A57=Settings!$A$30),ISERROR(VLOOKUP($B57,FFTodayData!$P:$Y,9,0))),"",VLOOKUP($B57,FFTodayData!$P:$Y,9,0))</f>
        <v/>
      </c>
      <c r="I57" s="117">
        <f>IF(ISERROR(VLOOKUP($A57,ESPNData!$R:$AE,9,0)),"",VLOOKUP($A57,ESPNData!$R:$AE,9,0))</f>
        <v>511</v>
      </c>
      <c r="J57" s="33">
        <f>IF(ISERROR(VLOOKUP($A57,ESPNData!$R:$AE,10,0)),"",VLOOKUP($A57,ESPNData!$R:$AE,10,0))</f>
        <v>2</v>
      </c>
      <c r="K57" s="33">
        <f>IF(ISERROR(VLOOKUP($A57,ESPNData!$R:$AE,11,0)),"",VLOOKUP($A57,ESPNData!$R:$AE,11,0))</f>
        <v>20</v>
      </c>
      <c r="L57" s="33">
        <f>IF(ISERROR(VLOOKUP($A57,ESPNData!$R:$AE,12,0)),"",VLOOKUP($A57,ESPNData!$R:$AE,12,0))</f>
        <v>115</v>
      </c>
      <c r="M57" s="64">
        <f>IF(ISERROR(VLOOKUP($A57,ESPNData!$R:$AE,13,0)),"",VLOOKUP($A57,ESPNData!$R:$AE,13,0))</f>
        <v>0</v>
      </c>
      <c r="N57" s="115">
        <f>IF(OR(($A57=Settings!$A$30),ISERROR(VLOOKUP($B57,SportslineData!$Q:$AB,4,0))),"",VLOOKUP($B57,SportslineData!$Q:$AB,4,0))</f>
        <v>327</v>
      </c>
      <c r="O57" s="82">
        <f>IF(OR(($A57=Settings!$A$30),ISERROR(VLOOKUP($B57,SportslineData!$Q:$AB,6,0))),"",ROUND(VLOOKUP($B57,SportslineData!$Q:$AB,6,0),0))</f>
        <v>2</v>
      </c>
      <c r="P57" s="82">
        <f>IF(OR(($A57=Settings!$A$30),ISERROR(VLOOKUP($B57,SportslineData!$Q:$AB,7,0))),"",ROUND(VLOOKUP($B57,SportslineData!$Q:$AB,7,0),0))</f>
        <v>10</v>
      </c>
      <c r="Q57" s="82">
        <f>IF(OR(($A57=Settings!$A$30),ISERROR(VLOOKUP($B57,SportslineData!$Q:$AB,8,0))),"",VLOOKUP($B57,SportslineData!$Q:$AB,8,0))</f>
        <v>79</v>
      </c>
      <c r="R57" s="82">
        <f>IF(OR(($A57=Settings!$A$30),ISERROR(VLOOKUP($B57,SportslineData!$Q:$AB,10,0))),"",ROUND(VLOOKUP($B57,SportslineData!$Q:$AB,10,0),0))</f>
        <v>1</v>
      </c>
      <c r="S57" s="74">
        <f>IF(OR(($A57=Settings!$A$30),ISERROR(VLOOKUP($B57,SportslineData!$Q:$AB,11,0))),"",ROUND(VLOOKUP($B57,SportslineData!$Q:$AB,11,0),0))</f>
        <v>1</v>
      </c>
      <c r="T57" s="117"/>
      <c r="U57" s="131">
        <f t="shared" si="6"/>
        <v>43.837769103821877</v>
      </c>
      <c r="V57" s="38">
        <f>IF(ISERROR(ROUND((((((ROUNDDOWN((D57/5),0)*Settings!$F$7)+(E57*Settings!$I$7))+(F57*Settings!$I$11))+(ROUNDDOWN((G57/5),0)*Settings!$F$11))+(H57*Settings!$F$12)),1)),0,ROUND((((((ROUNDDOWN((D57/5),0)*Settings!$F$7)+(E57*Settings!$I$7))+(F57*Settings!$I$11))+(ROUNDDOWN((G57/5),0)*Settings!$F$11))+(H57*Settings!$F$12)),1))</f>
        <v>0</v>
      </c>
      <c r="W57" s="38">
        <f>IF(ISERROR(ROUND((((((ROUNDDOWN((I57/5),0)*Settings!$F$7)+(J57*Settings!$I$7))+(K57*Settings!$I$11))+(ROUNDDOWN((L57/5),0)*Settings!$F$11))+(M57*Settings!$F$12)),1)),0,ROUND((((((ROUNDDOWN((I57/5),0)*Settings!$F$7)+(J57*Settings!$I$7))+(K57*Settings!$I$11))+(ROUNDDOWN((L57/5),0)*Settings!$F$11))+(M57*Settings!$F$12)),1))</f>
        <v>84.5</v>
      </c>
      <c r="X57" s="38">
        <f>IF(AND((N57=""),(P57="")),0,((((((ROUND((N57/5),0)*Settings!$F$7)+(O57*Settings!$I$7))+(P57*Settings!$I$11))+(ROUND((Q57/5),0)*Settings!$F$11))+(R57*Settings!$F$12))+(S57*Settings!$F$15)))</f>
        <v>62.5</v>
      </c>
      <c r="Y57" s="66">
        <f>ROUND((((V57*Settings!$B$21)+(W57*Settings!$B$22))+(X57*Settings!$B$23)),1)</f>
        <v>49.1</v>
      </c>
      <c r="Z57" s="66">
        <f>IF(ISERROR(VLOOKUP(RANK(Y57,$Y$4:$Y$182),Z$4:Z56,1,0)),RANK(Y57,$Y$4:$Y$182),IF(ISERROR(VLOOKUP((RANK(Y57,$Y$4:$Y$182)+1),Z$4:Z56,1,0)),(RANK(Y57,$Y$4:$Y$182)+1),IF(ISERROR(VLOOKUP((RANK(Y57,$Y$4:$Y$182)+2),Z$4:Z56,1,0)),(RANK(Y57,$Y$4:$Y$182)+2),(RANK(Y57,$Y$4:$Y$182)+3))))</f>
        <v>70</v>
      </c>
      <c r="AA57" t="str">
        <f t="shared" si="7"/>
        <v>C.J. Anderson</v>
      </c>
    </row>
    <row r="58" spans="1:27" ht="12.75" customHeight="1">
      <c r="A58" s="33" t="str">
        <f>ESPNData!R59</f>
        <v>Roy Helu, Wsh RB</v>
      </c>
      <c r="B58" s="33" t="str">
        <f t="shared" si="4"/>
        <v>Roy Helu</v>
      </c>
      <c r="C58" s="64" t="str">
        <f t="shared" si="5"/>
        <v>WSH</v>
      </c>
      <c r="D58" s="117" t="str">
        <f>IF(OR(($A58=Settings!$A$30),ISERROR(VLOOKUP($B58,FFTodayData!$P:$Y,5,0))),"",VLOOKUP($B58,FFTodayData!$P:$Y,5,0))</f>
        <v/>
      </c>
      <c r="E58" s="33" t="str">
        <f>IF(OR(($A58=Settings!$A$30),ISERROR(VLOOKUP($B58,FFTodayData!$P:$Y,6,0))),"",VLOOKUP($B58,FFTodayData!$P:$Y,6,0))</f>
        <v/>
      </c>
      <c r="F58" s="33" t="str">
        <f>IF(OR(($A58=Settings!$A$30),ISERROR(VLOOKUP($B58,FFTodayData!$P:$Y,7,0))),"",VLOOKUP($B58,FFTodayData!$P:$Y,7,0))</f>
        <v/>
      </c>
      <c r="G58" s="33" t="str">
        <f>IF(OR(($A58=Settings!$A$30),ISERROR(VLOOKUP($B58,FFTodayData!$P:$Y,8,0))),"",VLOOKUP($B58,FFTodayData!$P:$Y,8,0))</f>
        <v/>
      </c>
      <c r="H58" s="64" t="str">
        <f>IF(OR(($A58=Settings!$A$30),ISERROR(VLOOKUP($B58,FFTodayData!$P:$Y,9,0))),"",VLOOKUP($B58,FFTodayData!$P:$Y,9,0))</f>
        <v/>
      </c>
      <c r="I58" s="117">
        <f>IF(ISERROR(VLOOKUP($A58,ESPNData!$R:$AE,9,0)),"",VLOOKUP($A58,ESPNData!$R:$AE,9,0))</f>
        <v>216</v>
      </c>
      <c r="J58" s="33">
        <f>IF(ISERROR(VLOOKUP($A58,ESPNData!$R:$AE,10,0)),"",VLOOKUP($A58,ESPNData!$R:$AE,10,0))</f>
        <v>2</v>
      </c>
      <c r="K58" s="33">
        <f>IF(ISERROR(VLOOKUP($A58,ESPNData!$R:$AE,11,0)),"",VLOOKUP($A58,ESPNData!$R:$AE,11,0))</f>
        <v>52</v>
      </c>
      <c r="L58" s="33">
        <f>IF(ISERROR(VLOOKUP($A58,ESPNData!$R:$AE,12,0)),"",VLOOKUP($A58,ESPNData!$R:$AE,12,0))</f>
        <v>395</v>
      </c>
      <c r="M58" s="64">
        <f>IF(ISERROR(VLOOKUP($A58,ESPNData!$R:$AE,13,0)),"",VLOOKUP($A58,ESPNData!$R:$AE,13,0))</f>
        <v>3</v>
      </c>
      <c r="N58" s="115">
        <f>IF(OR(($A58=Settings!$A$30),ISERROR(VLOOKUP($B58,SportslineData!$Q:$AB,4,0))),"",VLOOKUP($B58,SportslineData!$Q:$AB,4,0))</f>
        <v>327.5</v>
      </c>
      <c r="O58" s="82">
        <f>IF(OR(($A58=Settings!$A$30),ISERROR(VLOOKUP($B58,SportslineData!$Q:$AB,6,0))),"",ROUND(VLOOKUP($B58,SportslineData!$Q:$AB,6,0),0))</f>
        <v>1</v>
      </c>
      <c r="P58" s="82">
        <f>IF(OR(($A58=Settings!$A$30),ISERROR(VLOOKUP($B58,SportslineData!$Q:$AB,7,0))),"",ROUND(VLOOKUP($B58,SportslineData!$Q:$AB,7,0),0))</f>
        <v>37</v>
      </c>
      <c r="Q58" s="82">
        <f>IF(OR(($A58=Settings!$A$30),ISERROR(VLOOKUP($B58,SportslineData!$Q:$AB,8,0))),"",VLOOKUP($B58,SportslineData!$Q:$AB,8,0))</f>
        <v>296.5</v>
      </c>
      <c r="R58" s="82">
        <f>IF(OR(($A58=Settings!$A$30),ISERROR(VLOOKUP($B58,SportslineData!$Q:$AB,10,0))),"",ROUND(VLOOKUP($B58,SportslineData!$Q:$AB,10,0),0))</f>
        <v>1</v>
      </c>
      <c r="S58" s="74">
        <f>IF(OR(($A58=Settings!$A$30),ISERROR(VLOOKUP($B58,SportslineData!$Q:$AB,11,0))),"",ROUND(VLOOKUP($B58,SportslineData!$Q:$AB,11,0),0))</f>
        <v>1</v>
      </c>
      <c r="T58" s="117"/>
      <c r="U58" s="131">
        <f t="shared" si="6"/>
        <v>61.614392258086369</v>
      </c>
      <c r="V58" s="38">
        <f>IF(ISERROR(ROUND((((((ROUNDDOWN((D58/5),0)*Settings!$F$7)+(E58*Settings!$I$7))+(F58*Settings!$I$11))+(ROUNDDOWN((G58/5),0)*Settings!$F$11))+(H58*Settings!$F$12)),1)),0,ROUND((((((ROUNDDOWN((D58/5),0)*Settings!$F$7)+(E58*Settings!$I$7))+(F58*Settings!$I$11))+(ROUNDDOWN((G58/5),0)*Settings!$F$11))+(H58*Settings!$F$12)),1))</f>
        <v>0</v>
      </c>
      <c r="W58" s="38">
        <f>IF(ISERROR(ROUND((((((ROUNDDOWN((I58/5),0)*Settings!$F$7)+(J58*Settings!$I$7))+(K58*Settings!$I$11))+(ROUNDDOWN((L58/5),0)*Settings!$F$11))+(M58*Settings!$F$12)),1)),0,ROUND((((((ROUNDDOWN((I58/5),0)*Settings!$F$7)+(J58*Settings!$I$7))+(K58*Settings!$I$11))+(ROUNDDOWN((L58/5),0)*Settings!$F$11))+(M58*Settings!$F$12)),1))</f>
        <v>117</v>
      </c>
      <c r="X58" s="38">
        <f>IF(AND((N58=""),(P58="")),0,((((((ROUND((N58/5),0)*Settings!$F$7)+(O58*Settings!$I$7))+(P58*Settings!$I$11))+(ROUND((Q58/5),0)*Settings!$F$11))+(R58*Settings!$F$12))+(S58*Settings!$F$15)))</f>
        <v>92</v>
      </c>
      <c r="Y58" s="66">
        <f>ROUND((((V58*Settings!$B$21)+(W58*Settings!$B$22))+(X58*Settings!$B$23)),1)</f>
        <v>69.900000000000006</v>
      </c>
      <c r="Z58" s="66">
        <f>IF(ISERROR(VLOOKUP(RANK(Y58,$Y$4:$Y$182),Z$4:Z57,1,0)),RANK(Y58,$Y$4:$Y$182),IF(ISERROR(VLOOKUP((RANK(Y58,$Y$4:$Y$182)+1),Z$4:Z57,1,0)),(RANK(Y58,$Y$4:$Y$182)+1),IF(ISERROR(VLOOKUP((RANK(Y58,$Y$4:$Y$182)+2),Z$4:Z57,1,0)),(RANK(Y58,$Y$4:$Y$182)+2),(RANK(Y58,$Y$4:$Y$182)+3))))</f>
        <v>57</v>
      </c>
      <c r="AA58" t="str">
        <f t="shared" si="7"/>
        <v>Roy Helu</v>
      </c>
    </row>
    <row r="59" spans="1:27" ht="12.75" customHeight="1">
      <c r="A59" s="33" t="str">
        <f>ESPNData!R60</f>
        <v>Andre Williams, NYG RB</v>
      </c>
      <c r="B59" s="33" t="str">
        <f t="shared" si="4"/>
        <v>Andre Williams</v>
      </c>
      <c r="C59" s="64" t="str">
        <f t="shared" si="5"/>
        <v>NYG</v>
      </c>
      <c r="D59" s="117" t="str">
        <f>IF(OR(($A59=Settings!$A$30),ISERROR(VLOOKUP($B59,FFTodayData!$P:$Y,5,0))),"",VLOOKUP($B59,FFTodayData!$P:$Y,5,0))</f>
        <v/>
      </c>
      <c r="E59" s="33" t="str">
        <f>IF(OR(($A59=Settings!$A$30),ISERROR(VLOOKUP($B59,FFTodayData!$P:$Y,6,0))),"",VLOOKUP($B59,FFTodayData!$P:$Y,6,0))</f>
        <v/>
      </c>
      <c r="F59" s="33" t="str">
        <f>IF(OR(($A59=Settings!$A$30),ISERROR(VLOOKUP($B59,FFTodayData!$P:$Y,7,0))),"",VLOOKUP($B59,FFTodayData!$P:$Y,7,0))</f>
        <v/>
      </c>
      <c r="G59" s="33" t="str">
        <f>IF(OR(($A59=Settings!$A$30),ISERROR(VLOOKUP($B59,FFTodayData!$P:$Y,8,0))),"",VLOOKUP($B59,FFTodayData!$P:$Y,8,0))</f>
        <v/>
      </c>
      <c r="H59" s="64" t="str">
        <f>IF(OR(($A59=Settings!$A$30),ISERROR(VLOOKUP($B59,FFTodayData!$P:$Y,9,0))),"",VLOOKUP($B59,FFTodayData!$P:$Y,9,0))</f>
        <v/>
      </c>
      <c r="I59" s="117">
        <f>IF(ISERROR(VLOOKUP($A59,ESPNData!$R:$AE,9,0)),"",VLOOKUP($A59,ESPNData!$R:$AE,9,0))</f>
        <v>415</v>
      </c>
      <c r="J59" s="33">
        <f>IF(ISERROR(VLOOKUP($A59,ESPNData!$R:$AE,10,0)),"",VLOOKUP($A59,ESPNData!$R:$AE,10,0))</f>
        <v>3</v>
      </c>
      <c r="K59" s="33">
        <f>IF(ISERROR(VLOOKUP($A59,ESPNData!$R:$AE,11,0)),"",VLOOKUP($A59,ESPNData!$R:$AE,11,0))</f>
        <v>7</v>
      </c>
      <c r="L59" s="33">
        <f>IF(ISERROR(VLOOKUP($A59,ESPNData!$R:$AE,12,0)),"",VLOOKUP($A59,ESPNData!$R:$AE,12,0))</f>
        <v>45</v>
      </c>
      <c r="M59" s="64">
        <f>IF(ISERROR(VLOOKUP($A59,ESPNData!$R:$AE,13,0)),"",VLOOKUP($A59,ESPNData!$R:$AE,13,0))</f>
        <v>0</v>
      </c>
      <c r="N59" s="115">
        <f>IF(OR(($A59=Settings!$A$30),ISERROR(VLOOKUP($B59,SportslineData!$Q:$AB,4,0))),"",VLOOKUP($B59,SportslineData!$Q:$AB,4,0))</f>
        <v>785.5</v>
      </c>
      <c r="O59" s="82">
        <f>IF(OR(($A59=Settings!$A$30),ISERROR(VLOOKUP($B59,SportslineData!$Q:$AB,6,0))),"",ROUND(VLOOKUP($B59,SportslineData!$Q:$AB,6,0),0))</f>
        <v>8</v>
      </c>
      <c r="P59" s="82">
        <f>IF(OR(($A59=Settings!$A$30),ISERROR(VLOOKUP($B59,SportslineData!$Q:$AB,7,0))),"",ROUND(VLOOKUP($B59,SportslineData!$Q:$AB,7,0),0))</f>
        <v>8</v>
      </c>
      <c r="Q59" s="82">
        <f>IF(OR(($A59=Settings!$A$30),ISERROR(VLOOKUP($B59,SportslineData!$Q:$AB,8,0))),"",VLOOKUP($B59,SportslineData!$Q:$AB,8,0))</f>
        <v>65</v>
      </c>
      <c r="R59" s="82">
        <f>IF(OR(($A59=Settings!$A$30),ISERROR(VLOOKUP($B59,SportslineData!$Q:$AB,10,0))),"",ROUND(VLOOKUP($B59,SportslineData!$Q:$AB,10,0),0))</f>
        <v>0</v>
      </c>
      <c r="S59" s="74">
        <f>IF(OR(($A59=Settings!$A$30),ISERROR(VLOOKUP($B59,SportslineData!$Q:$AB,11,0))),"",ROUND(VLOOKUP($B59,SportslineData!$Q:$AB,11,0),0))</f>
        <v>1</v>
      </c>
      <c r="T59" s="117"/>
      <c r="U59" s="131">
        <f t="shared" si="6"/>
        <v>68.000612742337353</v>
      </c>
      <c r="V59" s="38">
        <f>IF(ISERROR(ROUND((((((ROUNDDOWN((D59/5),0)*Settings!$F$7)+(E59*Settings!$I$7))+(F59*Settings!$I$11))+(ROUNDDOWN((G59/5),0)*Settings!$F$11))+(H59*Settings!$F$12)),1)),0,ROUND((((((ROUNDDOWN((D59/5),0)*Settings!$F$7)+(E59*Settings!$I$7))+(F59*Settings!$I$11))+(ROUNDDOWN((G59/5),0)*Settings!$F$11))+(H59*Settings!$F$12)),1))</f>
        <v>0</v>
      </c>
      <c r="W59" s="38">
        <f>IF(ISERROR(ROUND((((((ROUNDDOWN((I59/5),0)*Settings!$F$7)+(J59*Settings!$I$7))+(K59*Settings!$I$11))+(ROUNDDOWN((L59/5),0)*Settings!$F$11))+(M59*Settings!$F$12)),1)),0,ROUND((((((ROUNDDOWN((I59/5),0)*Settings!$F$7)+(J59*Settings!$I$7))+(K59*Settings!$I$11))+(ROUNDDOWN((L59/5),0)*Settings!$F$11))+(M59*Settings!$F$12)),1))</f>
        <v>67.5</v>
      </c>
      <c r="X59" s="38">
        <f>IF(AND((N59=""),(P59="")),0,((((((ROUND((N59/5),0)*Settings!$F$7)+(O59*Settings!$I$7))+(P59*Settings!$I$11))+(ROUND((Q59/5),0)*Settings!$F$11))+(R59*Settings!$F$12))+(S59*Settings!$F$15)))</f>
        <v>136</v>
      </c>
      <c r="Y59" s="66">
        <f>ROUND((((V59*Settings!$B$21)+(W59*Settings!$B$22))+(X59*Settings!$B$23)),1)</f>
        <v>68.5</v>
      </c>
      <c r="Z59" s="66">
        <f>IF(ISERROR(VLOOKUP(RANK(Y59,$Y$4:$Y$182),Z$4:Z58,1,0)),RANK(Y59,$Y$4:$Y$182),IF(ISERROR(VLOOKUP((RANK(Y59,$Y$4:$Y$182)+1),Z$4:Z58,1,0)),(RANK(Y59,$Y$4:$Y$182)+1),IF(ISERROR(VLOOKUP((RANK(Y59,$Y$4:$Y$182)+2),Z$4:Z58,1,0)),(RANK(Y59,$Y$4:$Y$182)+2),(RANK(Y59,$Y$4:$Y$182)+3))))</f>
        <v>58</v>
      </c>
      <c r="AA59" t="str">
        <f t="shared" si="7"/>
        <v>Andre Williams</v>
      </c>
    </row>
    <row r="60" spans="1:27" ht="12.75" customHeight="1">
      <c r="A60" s="33" t="str">
        <f>ESPNData!R61</f>
        <v>Jonathan Stewart, Car RB</v>
      </c>
      <c r="B60" s="33" t="str">
        <f t="shared" si="4"/>
        <v>Jonathan Stewart</v>
      </c>
      <c r="C60" s="64" t="str">
        <f t="shared" si="5"/>
        <v>CAR</v>
      </c>
      <c r="D60" s="117">
        <f>IF(OR(($A60=Settings!$A$30),ISERROR(VLOOKUP($B60,FFTodayData!$P:$Y,5,0))),"",VLOOKUP($B60,FFTodayData!$P:$Y,5,0))</f>
        <v>585</v>
      </c>
      <c r="E60" s="33">
        <f>IF(OR(($A60=Settings!$A$30),ISERROR(VLOOKUP($B60,FFTodayData!$P:$Y,6,0))),"",VLOOKUP($B60,FFTodayData!$P:$Y,6,0))</f>
        <v>3</v>
      </c>
      <c r="F60" s="33">
        <f>IF(OR(($A60=Settings!$A$30),ISERROR(VLOOKUP($B60,FFTodayData!$P:$Y,7,0))),"",VLOOKUP($B60,FFTodayData!$P:$Y,7,0))</f>
        <v>23</v>
      </c>
      <c r="G60" s="33">
        <f>IF(OR(($A60=Settings!$A$30),ISERROR(VLOOKUP($B60,FFTodayData!$P:$Y,8,0))),"",VLOOKUP($B60,FFTodayData!$P:$Y,8,0))</f>
        <v>176</v>
      </c>
      <c r="H60" s="64">
        <f>IF(OR(($A60=Settings!$A$30),ISERROR(VLOOKUP($B60,FFTodayData!$P:$Y,9,0))),"",VLOOKUP($B60,FFTodayData!$P:$Y,9,0))</f>
        <v>0</v>
      </c>
      <c r="I60" s="117">
        <f>IF(ISERROR(VLOOKUP($A60,ESPNData!$R:$AE,9,0)),"",VLOOKUP($A60,ESPNData!$R:$AE,9,0))</f>
        <v>302</v>
      </c>
      <c r="J60" s="33">
        <f>IF(ISERROR(VLOOKUP($A60,ESPNData!$R:$AE,10,0)),"",VLOOKUP($A60,ESPNData!$R:$AE,10,0))</f>
        <v>1</v>
      </c>
      <c r="K60" s="33">
        <f>IF(ISERROR(VLOOKUP($A60,ESPNData!$R:$AE,11,0)),"",VLOOKUP($A60,ESPNData!$R:$AE,11,0))</f>
        <v>20</v>
      </c>
      <c r="L60" s="33">
        <f>IF(ISERROR(VLOOKUP($A60,ESPNData!$R:$AE,12,0)),"",VLOOKUP($A60,ESPNData!$R:$AE,12,0))</f>
        <v>154</v>
      </c>
      <c r="M60" s="64">
        <f>IF(ISERROR(VLOOKUP($A60,ESPNData!$R:$AE,13,0)),"",VLOOKUP($A60,ESPNData!$R:$AE,13,0))</f>
        <v>1</v>
      </c>
      <c r="N60" s="115">
        <f>IF(OR(($A60=Settings!$A$30),ISERROR(VLOOKUP($B60,SportslineData!$Q:$AB,4,0))),"",VLOOKUP($B60,SportslineData!$Q:$AB,4,0))</f>
        <v>378.5</v>
      </c>
      <c r="O60" s="82">
        <f>IF(OR(($A60=Settings!$A$30),ISERROR(VLOOKUP($B60,SportslineData!$Q:$AB,6,0))),"",ROUND(VLOOKUP($B60,SportslineData!$Q:$AB,6,0),0))</f>
        <v>2</v>
      </c>
      <c r="P60" s="82">
        <f>IF(OR(($A60=Settings!$A$30),ISERROR(VLOOKUP($B60,SportslineData!$Q:$AB,7,0))),"",ROUND(VLOOKUP($B60,SportslineData!$Q:$AB,7,0),0))</f>
        <v>18</v>
      </c>
      <c r="Q60" s="82">
        <f>IF(OR(($A60=Settings!$A$30),ISERROR(VLOOKUP($B60,SportslineData!$Q:$AB,8,0))),"",VLOOKUP($B60,SportslineData!$Q:$AB,8,0))</f>
        <v>135</v>
      </c>
      <c r="R60" s="82">
        <f>IF(OR(($A60=Settings!$A$30),ISERROR(VLOOKUP($B60,SportslineData!$Q:$AB,10,0))),"",ROUND(VLOOKUP($B60,SportslineData!$Q:$AB,10,0),0))</f>
        <v>1</v>
      </c>
      <c r="S60" s="74">
        <f>IF(OR(($A60=Settings!$A$30),ISERROR(VLOOKUP($B60,SportslineData!$Q:$AB,11,0))),"",ROUND(VLOOKUP($B60,SportslineData!$Q:$AB,11,0),0))</f>
        <v>1</v>
      </c>
      <c r="T60" s="117"/>
      <c r="U60" s="131">
        <f t="shared" si="6"/>
        <v>19.901842460770659</v>
      </c>
      <c r="V60" s="38">
        <f>IF(ISERROR(ROUND((((((ROUNDDOWN((D60/5),0)*Settings!$F$7)+(E60*Settings!$I$7))+(F60*Settings!$I$11))+(ROUNDDOWN((G60/5),0)*Settings!$F$11))+(H60*Settings!$F$12)),1)),0,ROUND((((((ROUNDDOWN((D60/5),0)*Settings!$F$7)+(E60*Settings!$I$7))+(F60*Settings!$I$11))+(ROUNDDOWN((G60/5),0)*Settings!$F$11))+(H60*Settings!$F$12)),1))</f>
        <v>105.5</v>
      </c>
      <c r="W60" s="38">
        <f>IF(ISERROR(ROUND((((((ROUNDDOWN((I60/5),0)*Settings!$F$7)+(J60*Settings!$I$7))+(K60*Settings!$I$11))+(ROUNDDOWN((L60/5),0)*Settings!$F$11))+(M60*Settings!$F$12)),1)),0,ROUND((((((ROUNDDOWN((I60/5),0)*Settings!$F$7)+(J60*Settings!$I$7))+(K60*Settings!$I$11))+(ROUNDDOWN((L60/5),0)*Settings!$F$11))+(M60*Settings!$F$12)),1))</f>
        <v>67</v>
      </c>
      <c r="X60" s="38">
        <f>IF(AND((N60=""),(P60="")),0,((((((ROUND((N60/5),0)*Settings!$F$7)+(O60*Settings!$I$7))+(P60*Settings!$I$11))+(ROUND((Q60/5),0)*Settings!$F$11))+(R60*Settings!$F$12))+(S60*Settings!$F$15)))</f>
        <v>77.5</v>
      </c>
      <c r="Y60" s="66">
        <f>ROUND((((V60*Settings!$B$21)+(W60*Settings!$B$22))+(X60*Settings!$B$23)),1)</f>
        <v>83.3</v>
      </c>
      <c r="Z60" s="66">
        <f>IF(ISERROR(VLOOKUP(RANK(Y60,$Y$4:$Y$182),Z$4:Z59,1,0)),RANK(Y60,$Y$4:$Y$182),IF(ISERROR(VLOOKUP((RANK(Y60,$Y$4:$Y$182)+1),Z$4:Z59,1,0)),(RANK(Y60,$Y$4:$Y$182)+1),IF(ISERROR(VLOOKUP((RANK(Y60,$Y$4:$Y$182)+2),Z$4:Z59,1,0)),(RANK(Y60,$Y$4:$Y$182)+2),(RANK(Y60,$Y$4:$Y$182)+3))))</f>
        <v>52</v>
      </c>
      <c r="AA60" t="str">
        <f t="shared" si="7"/>
        <v>Jonathan Stewart</v>
      </c>
    </row>
    <row r="61" spans="1:27" ht="12.75" customHeight="1">
      <c r="A61" s="33" t="str">
        <f>ESPNData!R62</f>
        <v>Devonta Freeman, Atl RB</v>
      </c>
      <c r="B61" s="33" t="str">
        <f t="shared" si="4"/>
        <v>Devonta Freeman</v>
      </c>
      <c r="C61" s="64" t="str">
        <f t="shared" si="5"/>
        <v>ATL</v>
      </c>
      <c r="D61" s="117" t="str">
        <f>IF(OR(($A61=Settings!$A$30),ISERROR(VLOOKUP($B61,FFTodayData!$P:$Y,5,0))),"",VLOOKUP($B61,FFTodayData!$P:$Y,5,0))</f>
        <v/>
      </c>
      <c r="E61" s="33" t="str">
        <f>IF(OR(($A61=Settings!$A$30),ISERROR(VLOOKUP($B61,FFTodayData!$P:$Y,6,0))),"",VLOOKUP($B61,FFTodayData!$P:$Y,6,0))</f>
        <v/>
      </c>
      <c r="F61" s="33" t="str">
        <f>IF(OR(($A61=Settings!$A$30),ISERROR(VLOOKUP($B61,FFTodayData!$P:$Y,7,0))),"",VLOOKUP($B61,FFTodayData!$P:$Y,7,0))</f>
        <v/>
      </c>
      <c r="G61" s="33" t="str">
        <f>IF(OR(($A61=Settings!$A$30),ISERROR(VLOOKUP($B61,FFTodayData!$P:$Y,8,0))),"",VLOOKUP($B61,FFTodayData!$P:$Y,8,0))</f>
        <v/>
      </c>
      <c r="H61" s="64" t="str">
        <f>IF(OR(($A61=Settings!$A$30),ISERROR(VLOOKUP($B61,FFTodayData!$P:$Y,9,0))),"",VLOOKUP($B61,FFTodayData!$P:$Y,9,0))</f>
        <v/>
      </c>
      <c r="I61" s="117">
        <f>IF(ISERROR(VLOOKUP($A61,ESPNData!$R:$AE,9,0)),"",VLOOKUP($A61,ESPNData!$R:$AE,9,0))</f>
        <v>276</v>
      </c>
      <c r="J61" s="33">
        <f>IF(ISERROR(VLOOKUP($A61,ESPNData!$R:$AE,10,0)),"",VLOOKUP($A61,ESPNData!$R:$AE,10,0))</f>
        <v>2</v>
      </c>
      <c r="K61" s="33">
        <f>IF(ISERROR(VLOOKUP($A61,ESPNData!$R:$AE,11,0)),"",VLOOKUP($A61,ESPNData!$R:$AE,11,0))</f>
        <v>23</v>
      </c>
      <c r="L61" s="33">
        <f>IF(ISERROR(VLOOKUP($A61,ESPNData!$R:$AE,12,0)),"",VLOOKUP($A61,ESPNData!$R:$AE,12,0))</f>
        <v>176</v>
      </c>
      <c r="M61" s="64">
        <f>IF(ISERROR(VLOOKUP($A61,ESPNData!$R:$AE,13,0)),"",VLOOKUP($A61,ESPNData!$R:$AE,13,0))</f>
        <v>0</v>
      </c>
      <c r="N61" s="115">
        <f>IF(OR(($A61=Settings!$A$30),ISERROR(VLOOKUP($B61,SportslineData!$Q:$AB,4,0))),"",VLOOKUP($B61,SportslineData!$Q:$AB,4,0))</f>
        <v>646.5</v>
      </c>
      <c r="O61" s="82">
        <f>IF(OR(($A61=Settings!$A$30),ISERROR(VLOOKUP($B61,SportslineData!$Q:$AB,6,0))),"",ROUND(VLOOKUP($B61,SportslineData!$Q:$AB,6,0),0))</f>
        <v>3</v>
      </c>
      <c r="P61" s="82">
        <f>IF(OR(($A61=Settings!$A$30),ISERROR(VLOOKUP($B61,SportslineData!$Q:$AB,7,0))),"",ROUND(VLOOKUP($B61,SportslineData!$Q:$AB,7,0),0))</f>
        <v>42</v>
      </c>
      <c r="Q61" s="82">
        <f>IF(OR(($A61=Settings!$A$30),ISERROR(VLOOKUP($B61,SportslineData!$Q:$AB,8,0))),"",VLOOKUP($B61,SportslineData!$Q:$AB,8,0))</f>
        <v>355.5</v>
      </c>
      <c r="R61" s="82">
        <f>IF(OR(($A61=Settings!$A$30),ISERROR(VLOOKUP($B61,SportslineData!$Q:$AB,10,0))),"",ROUND(VLOOKUP($B61,SportslineData!$Q:$AB,10,0),0))</f>
        <v>2</v>
      </c>
      <c r="S61" s="74">
        <f>IF(OR(($A61=Settings!$A$30),ISERROR(VLOOKUP($B61,SportslineData!$Q:$AB,11,0))),"",ROUND(VLOOKUP($B61,SportslineData!$Q:$AB,11,0),0))</f>
        <v>1</v>
      </c>
      <c r="T61" s="117"/>
      <c r="U61" s="131">
        <f t="shared" si="6"/>
        <v>75.093830194852444</v>
      </c>
      <c r="V61" s="38">
        <f>IF(ISERROR(ROUND((((((ROUNDDOWN((D61/5),0)*Settings!$F$7)+(E61*Settings!$I$7))+(F61*Settings!$I$11))+(ROUNDDOWN((G61/5),0)*Settings!$F$11))+(H61*Settings!$F$12)),1)),0,ROUND((((((ROUNDDOWN((D61/5),0)*Settings!$F$7)+(E61*Settings!$I$7))+(F61*Settings!$I$11))+(ROUNDDOWN((G61/5),0)*Settings!$F$11))+(H61*Settings!$F$12)),1))</f>
        <v>0</v>
      </c>
      <c r="W61" s="38">
        <f>IF(ISERROR(ROUND((((((ROUNDDOWN((I61/5),0)*Settings!$F$7)+(J61*Settings!$I$7))+(K61*Settings!$I$11))+(ROUNDDOWN((L61/5),0)*Settings!$F$11))+(M61*Settings!$F$12)),1)),0,ROUND((((((ROUNDDOWN((I61/5),0)*Settings!$F$7)+(J61*Settings!$I$7))+(K61*Settings!$I$11))+(ROUNDDOWN((L61/5),0)*Settings!$F$11))+(M61*Settings!$F$12)),1))</f>
        <v>68.5</v>
      </c>
      <c r="X61" s="38">
        <f>IF(AND((N61=""),(P61="")),0,((((((ROUND((N61/5),0)*Settings!$F$7)+(O61*Settings!$I$7))+(P61*Settings!$I$11))+(ROUND((Q61/5),0)*Settings!$F$11))+(R61*Settings!$F$12))+(S61*Settings!$F$15)))</f>
        <v>150</v>
      </c>
      <c r="Y61" s="66">
        <f>ROUND((((V61*Settings!$B$21)+(W61*Settings!$B$22))+(X61*Settings!$B$23)),1)</f>
        <v>73.599999999999994</v>
      </c>
      <c r="Z61" s="66">
        <f>IF(ISERROR(VLOOKUP(RANK(Y61,$Y$4:$Y$182),Z$4:Z60,1,0)),RANK(Y61,$Y$4:$Y$182),IF(ISERROR(VLOOKUP((RANK(Y61,$Y$4:$Y$182)+1),Z$4:Z60,1,0)),(RANK(Y61,$Y$4:$Y$182)+1),IF(ISERROR(VLOOKUP((RANK(Y61,$Y$4:$Y$182)+2),Z$4:Z60,1,0)),(RANK(Y61,$Y$4:$Y$182)+2),(RANK(Y61,$Y$4:$Y$182)+3))))</f>
        <v>54</v>
      </c>
      <c r="AA61" t="str">
        <f t="shared" si="7"/>
        <v>Devonta Freeman</v>
      </c>
    </row>
    <row r="62" spans="1:27" ht="12.75" customHeight="1">
      <c r="A62" s="33" t="str">
        <f>ESPNData!R63</f>
        <v>Ahmad Bradshaw, Ind RB  P</v>
      </c>
      <c r="B62" s="33" t="str">
        <f t="shared" si="4"/>
        <v>Ahmad Bradshaw</v>
      </c>
      <c r="C62" s="64" t="str">
        <f t="shared" si="5"/>
        <v>IND</v>
      </c>
      <c r="D62" s="117" t="str">
        <f>IF(OR(($A62=Settings!$A$30),ISERROR(VLOOKUP($B62,FFTodayData!$P:$Y,5,0))),"",VLOOKUP($B62,FFTodayData!$P:$Y,5,0))</f>
        <v/>
      </c>
      <c r="E62" s="33" t="str">
        <f>IF(OR(($A62=Settings!$A$30),ISERROR(VLOOKUP($B62,FFTodayData!$P:$Y,6,0))),"",VLOOKUP($B62,FFTodayData!$P:$Y,6,0))</f>
        <v/>
      </c>
      <c r="F62" s="33" t="str">
        <f>IF(OR(($A62=Settings!$A$30),ISERROR(VLOOKUP($B62,FFTodayData!$P:$Y,7,0))),"",VLOOKUP($B62,FFTodayData!$P:$Y,7,0))</f>
        <v/>
      </c>
      <c r="G62" s="33" t="str">
        <f>IF(OR(($A62=Settings!$A$30),ISERROR(VLOOKUP($B62,FFTodayData!$P:$Y,8,0))),"",VLOOKUP($B62,FFTodayData!$P:$Y,8,0))</f>
        <v/>
      </c>
      <c r="H62" s="64" t="str">
        <f>IF(OR(($A62=Settings!$A$30),ISERROR(VLOOKUP($B62,FFTodayData!$P:$Y,9,0))),"",VLOOKUP($B62,FFTodayData!$P:$Y,9,0))</f>
        <v/>
      </c>
      <c r="I62" s="117">
        <f>IF(ISERROR(VLOOKUP($A62,ESPNData!$R:$AE,9,0)),"",VLOOKUP($A62,ESPNData!$R:$AE,9,0))</f>
        <v>250</v>
      </c>
      <c r="J62" s="33">
        <f>IF(ISERROR(VLOOKUP($A62,ESPNData!$R:$AE,10,0)),"",VLOOKUP($A62,ESPNData!$R:$AE,10,0))</f>
        <v>3</v>
      </c>
      <c r="K62" s="33">
        <f>IF(ISERROR(VLOOKUP($A62,ESPNData!$R:$AE,11,0)),"",VLOOKUP($A62,ESPNData!$R:$AE,11,0))</f>
        <v>13</v>
      </c>
      <c r="L62" s="33">
        <f>IF(ISERROR(VLOOKUP($A62,ESPNData!$R:$AE,12,0)),"",VLOOKUP($A62,ESPNData!$R:$AE,12,0))</f>
        <v>79</v>
      </c>
      <c r="M62" s="64">
        <f>IF(ISERROR(VLOOKUP($A62,ESPNData!$R:$AE,13,0)),"",VLOOKUP($A62,ESPNData!$R:$AE,13,0))</f>
        <v>0</v>
      </c>
      <c r="N62" s="115">
        <f>IF(OR(($A62=Settings!$A$30),ISERROR(VLOOKUP($B62,SportslineData!$Q:$AB,4,0))),"",VLOOKUP($B62,SportslineData!$Q:$AB,4,0))</f>
        <v>436.5</v>
      </c>
      <c r="O62" s="82">
        <f>IF(OR(($A62=Settings!$A$30),ISERROR(VLOOKUP($B62,SportslineData!$Q:$AB,6,0))),"",ROUND(VLOOKUP($B62,SportslineData!$Q:$AB,6,0),0))</f>
        <v>2</v>
      </c>
      <c r="P62" s="82">
        <f>IF(OR(($A62=Settings!$A$30),ISERROR(VLOOKUP($B62,SportslineData!$Q:$AB,7,0))),"",ROUND(VLOOKUP($B62,SportslineData!$Q:$AB,7,0),0))</f>
        <v>20</v>
      </c>
      <c r="Q62" s="82">
        <f>IF(OR(($A62=Settings!$A$30),ISERROR(VLOOKUP($B62,SportslineData!$Q:$AB,8,0))),"",VLOOKUP($B62,SportslineData!$Q:$AB,8,0))</f>
        <v>158.5</v>
      </c>
      <c r="R62" s="82">
        <f>IF(OR(($A62=Settings!$A$30),ISERROR(VLOOKUP($B62,SportslineData!$Q:$AB,10,0))),"",ROUND(VLOOKUP($B62,SportslineData!$Q:$AB,10,0),0))</f>
        <v>1</v>
      </c>
      <c r="S62" s="74">
        <f>IF(OR(($A62=Settings!$A$30),ISERROR(VLOOKUP($B62,SportslineData!$Q:$AB,11,0))),"",ROUND(VLOOKUP($B62,SportslineData!$Q:$AB,11,0),0))</f>
        <v>2</v>
      </c>
      <c r="T62" s="117"/>
      <c r="U62" s="131">
        <f t="shared" si="6"/>
        <v>43.534469102080479</v>
      </c>
      <c r="V62" s="38">
        <f>IF(ISERROR(ROUND((((((ROUNDDOWN((D62/5),0)*Settings!$F$7)+(E62*Settings!$I$7))+(F62*Settings!$I$11))+(ROUNDDOWN((G62/5),0)*Settings!$F$11))+(H62*Settings!$F$12)),1)),0,ROUND((((((ROUNDDOWN((D62/5),0)*Settings!$F$7)+(E62*Settings!$I$7))+(F62*Settings!$I$11))+(ROUNDDOWN((G62/5),0)*Settings!$F$11))+(H62*Settings!$F$12)),1))</f>
        <v>0</v>
      </c>
      <c r="W62" s="38">
        <f>IF(ISERROR(ROUND((((((ROUNDDOWN((I62/5),0)*Settings!$F$7)+(J62*Settings!$I$7))+(K62*Settings!$I$11))+(ROUNDDOWN((L62/5),0)*Settings!$F$11))+(M62*Settings!$F$12)),1)),0,ROUND((((((ROUNDDOWN((I62/5),0)*Settings!$F$7)+(J62*Settings!$I$7))+(K62*Settings!$I$11))+(ROUNDDOWN((L62/5),0)*Settings!$F$11))+(M62*Settings!$F$12)),1))</f>
        <v>57</v>
      </c>
      <c r="X62" s="38">
        <f>IF(AND((N62=""),(P62="")),0,((((((ROUND((N62/5),0)*Settings!$F$7)+(O62*Settings!$I$7))+(P62*Settings!$I$11))+(ROUND((Q62/5),0)*Settings!$F$11))+(R62*Settings!$F$12))+(S62*Settings!$F$15)))</f>
        <v>85.5</v>
      </c>
      <c r="Y62" s="66">
        <f>ROUND((((V62*Settings!$B$21)+(W62*Settings!$B$22))+(X62*Settings!$B$23)),1)</f>
        <v>47.9</v>
      </c>
      <c r="Z62" s="66">
        <f>IF(ISERROR(VLOOKUP(RANK(Y62,$Y$4:$Y$182),Z$4:Z61,1,0)),RANK(Y62,$Y$4:$Y$182),IF(ISERROR(VLOOKUP((RANK(Y62,$Y$4:$Y$182)+1),Z$4:Z61,1,0)),(RANK(Y62,$Y$4:$Y$182)+1),IF(ISERROR(VLOOKUP((RANK(Y62,$Y$4:$Y$182)+2),Z$4:Z61,1,0)),(RANK(Y62,$Y$4:$Y$182)+2),(RANK(Y62,$Y$4:$Y$182)+3))))</f>
        <v>71</v>
      </c>
      <c r="AA62" t="str">
        <f t="shared" si="7"/>
        <v>Ahmad Bradshaw</v>
      </c>
    </row>
    <row r="63" spans="1:27" ht="12.75" customHeight="1">
      <c r="A63" s="33" t="str">
        <f>ESPNData!R64</f>
        <v>Jordan Todman, Jac RB</v>
      </c>
      <c r="B63" s="33" t="str">
        <f t="shared" si="4"/>
        <v>Jordan Todman</v>
      </c>
      <c r="C63" s="64" t="str">
        <f t="shared" si="5"/>
        <v>JAC</v>
      </c>
      <c r="D63" s="117" t="str">
        <f>IF(OR(($A63=Settings!$A$30),ISERROR(VLOOKUP($B63,FFTodayData!$P:$Y,5,0))),"",VLOOKUP($B63,FFTodayData!$P:$Y,5,0))</f>
        <v/>
      </c>
      <c r="E63" s="33" t="str">
        <f>IF(OR(($A63=Settings!$A$30),ISERROR(VLOOKUP($B63,FFTodayData!$P:$Y,6,0))),"",VLOOKUP($B63,FFTodayData!$P:$Y,6,0))</f>
        <v/>
      </c>
      <c r="F63" s="33" t="str">
        <f>IF(OR(($A63=Settings!$A$30),ISERROR(VLOOKUP($B63,FFTodayData!$P:$Y,7,0))),"",VLOOKUP($B63,FFTodayData!$P:$Y,7,0))</f>
        <v/>
      </c>
      <c r="G63" s="33" t="str">
        <f>IF(OR(($A63=Settings!$A$30),ISERROR(VLOOKUP($B63,FFTodayData!$P:$Y,8,0))),"",VLOOKUP($B63,FFTodayData!$P:$Y,8,0))</f>
        <v/>
      </c>
      <c r="H63" s="64" t="str">
        <f>IF(OR(($A63=Settings!$A$30),ISERROR(VLOOKUP($B63,FFTodayData!$P:$Y,9,0))),"",VLOOKUP($B63,FFTodayData!$P:$Y,9,0))</f>
        <v/>
      </c>
      <c r="I63" s="117">
        <f>IF(ISERROR(VLOOKUP($A63,ESPNData!$R:$AE,9,0)),"",VLOOKUP($A63,ESPNData!$R:$AE,9,0))</f>
        <v>330</v>
      </c>
      <c r="J63" s="33">
        <f>IF(ISERROR(VLOOKUP($A63,ESPNData!$R:$AE,10,0)),"",VLOOKUP($A63,ESPNData!$R:$AE,10,0))</f>
        <v>2</v>
      </c>
      <c r="K63" s="33">
        <f>IF(ISERROR(VLOOKUP($A63,ESPNData!$R:$AE,11,0)),"",VLOOKUP($A63,ESPNData!$R:$AE,11,0))</f>
        <v>29</v>
      </c>
      <c r="L63" s="33">
        <f>IF(ISERROR(VLOOKUP($A63,ESPNData!$R:$AE,12,0)),"",VLOOKUP($A63,ESPNData!$R:$AE,12,0))</f>
        <v>224</v>
      </c>
      <c r="M63" s="64">
        <f>IF(ISERROR(VLOOKUP($A63,ESPNData!$R:$AE,13,0)),"",VLOOKUP($A63,ESPNData!$R:$AE,13,0))</f>
        <v>1</v>
      </c>
      <c r="N63" s="115">
        <f>IF(OR(($A63=Settings!$A$30),ISERROR(VLOOKUP($B63,SportslineData!$Q:$AB,4,0))),"",VLOOKUP($B63,SportslineData!$Q:$AB,4,0))</f>
        <v>310</v>
      </c>
      <c r="O63" s="82">
        <f>IF(OR(($A63=Settings!$A$30),ISERROR(VLOOKUP($B63,SportslineData!$Q:$AB,6,0))),"",ROUND(VLOOKUP($B63,SportslineData!$Q:$AB,6,0),0))</f>
        <v>1</v>
      </c>
      <c r="P63" s="82">
        <f>IF(OR(($A63=Settings!$A$30),ISERROR(VLOOKUP($B63,SportslineData!$Q:$AB,7,0))),"",ROUND(VLOOKUP($B63,SportslineData!$Q:$AB,7,0),0))</f>
        <v>19</v>
      </c>
      <c r="Q63" s="82">
        <f>IF(OR(($A63=Settings!$A$30),ISERROR(VLOOKUP($B63,SportslineData!$Q:$AB,8,0))),"",VLOOKUP($B63,SportslineData!$Q:$AB,8,0))</f>
        <v>150</v>
      </c>
      <c r="R63" s="82">
        <f>IF(OR(($A63=Settings!$A$30),ISERROR(VLOOKUP($B63,SportslineData!$Q:$AB,10,0))),"",ROUND(VLOOKUP($B63,SportslineData!$Q:$AB,10,0),0))</f>
        <v>1</v>
      </c>
      <c r="S63" s="74">
        <f>IF(OR(($A63=Settings!$A$30),ISERROR(VLOOKUP($B63,SportslineData!$Q:$AB,11,0))),"",ROUND(VLOOKUP($B63,SportslineData!$Q:$AB,11,0),0))</f>
        <v>2</v>
      </c>
      <c r="T63" s="117"/>
      <c r="U63" s="131">
        <f t="shared" si="6"/>
        <v>45.516480531781013</v>
      </c>
      <c r="V63" s="38">
        <f>IF(ISERROR(ROUND((((((ROUNDDOWN((D63/5),0)*Settings!$F$7)+(E63*Settings!$I$7))+(F63*Settings!$I$11))+(ROUNDDOWN((G63/5),0)*Settings!$F$11))+(H63*Settings!$F$12)),1)),0,ROUND((((((ROUNDDOWN((D63/5),0)*Settings!$F$7)+(E63*Settings!$I$7))+(F63*Settings!$I$11))+(ROUNDDOWN((G63/5),0)*Settings!$F$11))+(H63*Settings!$F$12)),1))</f>
        <v>0</v>
      </c>
      <c r="W63" s="38">
        <f>IF(ISERROR(ROUND((((((ROUNDDOWN((I63/5),0)*Settings!$F$7)+(J63*Settings!$I$7))+(K63*Settings!$I$11))+(ROUNDDOWN((L63/5),0)*Settings!$F$11))+(M63*Settings!$F$12)),1)),0,ROUND((((((ROUNDDOWN((I63/5),0)*Settings!$F$7)+(J63*Settings!$I$7))+(K63*Settings!$I$11))+(ROUNDDOWN((L63/5),0)*Settings!$F$11))+(M63*Settings!$F$12)),1))</f>
        <v>87.5</v>
      </c>
      <c r="X63" s="38">
        <f>IF(AND((N63=""),(P63="")),0,((((((ROUND((N63/5),0)*Settings!$F$7)+(O63*Settings!$I$7))+(P63*Settings!$I$11))+(ROUND((Q63/5),0)*Settings!$F$11))+(R63*Settings!$F$12))+(S63*Settings!$F$15)))</f>
        <v>65.5</v>
      </c>
      <c r="Y63" s="66">
        <f>ROUND((((V63*Settings!$B$21)+(W63*Settings!$B$22))+(X63*Settings!$B$23)),1)</f>
        <v>51.1</v>
      </c>
      <c r="Z63" s="66">
        <f>IF(ISERROR(VLOOKUP(RANK(Y63,$Y$4:$Y$182),Z$4:Z62,1,0)),RANK(Y63,$Y$4:$Y$182),IF(ISERROR(VLOOKUP((RANK(Y63,$Y$4:$Y$182)+1),Z$4:Z62,1,0)),(RANK(Y63,$Y$4:$Y$182)+1),IF(ISERROR(VLOOKUP((RANK(Y63,$Y$4:$Y$182)+2),Z$4:Z62,1,0)),(RANK(Y63,$Y$4:$Y$182)+2),(RANK(Y63,$Y$4:$Y$182)+3))))</f>
        <v>66</v>
      </c>
      <c r="AA63" t="str">
        <f t="shared" si="7"/>
        <v>Jordan Todman</v>
      </c>
    </row>
    <row r="64" spans="1:27" ht="12.75" customHeight="1">
      <c r="A64" s="33" t="str">
        <f>ESPNData!R65</f>
        <v>Latavius Murray, Oak RB</v>
      </c>
      <c r="B64" s="33" t="str">
        <f t="shared" si="4"/>
        <v>Latavius Murray</v>
      </c>
      <c r="C64" s="64" t="str">
        <f t="shared" si="5"/>
        <v>OAK</v>
      </c>
      <c r="D64" s="117" t="str">
        <f>IF(OR(($A64=Settings!$A$30),ISERROR(VLOOKUP($B64,FFTodayData!$P:$Y,5,0))),"",VLOOKUP($B64,FFTodayData!$P:$Y,5,0))</f>
        <v/>
      </c>
      <c r="E64" s="33" t="str">
        <f>IF(OR(($A64=Settings!$A$30),ISERROR(VLOOKUP($B64,FFTodayData!$P:$Y,6,0))),"",VLOOKUP($B64,FFTodayData!$P:$Y,6,0))</f>
        <v/>
      </c>
      <c r="F64" s="33" t="str">
        <f>IF(OR(($A64=Settings!$A$30),ISERROR(VLOOKUP($B64,FFTodayData!$P:$Y,7,0))),"",VLOOKUP($B64,FFTodayData!$P:$Y,7,0))</f>
        <v/>
      </c>
      <c r="G64" s="33" t="str">
        <f>IF(OR(($A64=Settings!$A$30),ISERROR(VLOOKUP($B64,FFTodayData!$P:$Y,8,0))),"",VLOOKUP($B64,FFTodayData!$P:$Y,8,0))</f>
        <v/>
      </c>
      <c r="H64" s="64" t="str">
        <f>IF(OR(($A64=Settings!$A$30),ISERROR(VLOOKUP($B64,FFTodayData!$P:$Y,9,0))),"",VLOOKUP($B64,FFTodayData!$P:$Y,9,0))</f>
        <v/>
      </c>
      <c r="I64" s="117">
        <f>IF(ISERROR(VLOOKUP($A64,ESPNData!$R:$AE,9,0)),"",VLOOKUP($A64,ESPNData!$R:$AE,9,0))</f>
        <v>403</v>
      </c>
      <c r="J64" s="33">
        <f>IF(ISERROR(VLOOKUP($A64,ESPNData!$R:$AE,10,0)),"",VLOOKUP($A64,ESPNData!$R:$AE,10,0))</f>
        <v>1</v>
      </c>
      <c r="K64" s="33">
        <f>IF(ISERROR(VLOOKUP($A64,ESPNData!$R:$AE,11,0)),"",VLOOKUP($A64,ESPNData!$R:$AE,11,0))</f>
        <v>13</v>
      </c>
      <c r="L64" s="33">
        <f>IF(ISERROR(VLOOKUP($A64,ESPNData!$R:$AE,12,0)),"",VLOOKUP($A64,ESPNData!$R:$AE,12,0))</f>
        <v>106</v>
      </c>
      <c r="M64" s="64">
        <f>IF(ISERROR(VLOOKUP($A64,ESPNData!$R:$AE,13,0)),"",VLOOKUP($A64,ESPNData!$R:$AE,13,0))</f>
        <v>1</v>
      </c>
      <c r="N64" s="115">
        <f>IF(OR(($A64=Settings!$A$30),ISERROR(VLOOKUP($B64,SportslineData!$Q:$AB,4,0))),"",VLOOKUP($B64,SportslineData!$Q:$AB,4,0))</f>
        <v>256</v>
      </c>
      <c r="O64" s="82">
        <f>IF(OR(($A64=Settings!$A$30),ISERROR(VLOOKUP($B64,SportslineData!$Q:$AB,6,0))),"",ROUND(VLOOKUP($B64,SportslineData!$Q:$AB,6,0),0))</f>
        <v>3</v>
      </c>
      <c r="P64" s="82">
        <f>IF(OR(($A64=Settings!$A$30),ISERROR(VLOOKUP($B64,SportslineData!$Q:$AB,7,0))),"",ROUND(VLOOKUP($B64,SportslineData!$Q:$AB,7,0),0))</f>
        <v>10</v>
      </c>
      <c r="Q64" s="82">
        <f>IF(OR(($A64=Settings!$A$30),ISERROR(VLOOKUP($B64,SportslineData!$Q:$AB,8,0))),"",VLOOKUP($B64,SportslineData!$Q:$AB,8,0))</f>
        <v>74.5</v>
      </c>
      <c r="R64" s="82">
        <f>IF(OR(($A64=Settings!$A$30),ISERROR(VLOOKUP($B64,SportslineData!$Q:$AB,10,0))),"",ROUND(VLOOKUP($B64,SportslineData!$Q:$AB,10,0),0))</f>
        <v>0</v>
      </c>
      <c r="S64" s="74">
        <f>IF(OR(($A64=Settings!$A$30),ISERROR(VLOOKUP($B64,SportslineData!$Q:$AB,11,0))),"",ROUND(VLOOKUP($B64,SportslineData!$Q:$AB,11,0),0))</f>
        <v>0</v>
      </c>
      <c r="T64" s="117"/>
      <c r="U64" s="131">
        <f t="shared" si="6"/>
        <v>36.665151483845442</v>
      </c>
      <c r="V64" s="38">
        <f>IF(ISERROR(ROUND((((((ROUNDDOWN((D64/5),0)*Settings!$F$7)+(E64*Settings!$I$7))+(F64*Settings!$I$11))+(ROUNDDOWN((G64/5),0)*Settings!$F$11))+(H64*Settings!$F$12)),1)),0,ROUND((((((ROUNDDOWN((D64/5),0)*Settings!$F$7)+(E64*Settings!$I$7))+(F64*Settings!$I$11))+(ROUNDDOWN((G64/5),0)*Settings!$F$11))+(H64*Settings!$F$12)),1))</f>
        <v>0</v>
      </c>
      <c r="W64" s="38">
        <f>IF(ISERROR(ROUND((((((ROUNDDOWN((I64/5),0)*Settings!$F$7)+(J64*Settings!$I$7))+(K64*Settings!$I$11))+(ROUNDDOWN((L64/5),0)*Settings!$F$11))+(M64*Settings!$F$12)),1)),0,ROUND((((((ROUNDDOWN((I64/5),0)*Settings!$F$7)+(J64*Settings!$I$7))+(K64*Settings!$I$11))+(ROUNDDOWN((L64/5),0)*Settings!$F$11))+(M64*Settings!$F$12)),1))</f>
        <v>69</v>
      </c>
      <c r="X64" s="38">
        <f>IF(AND((N64=""),(P64="")),0,((((((ROUND((N64/5),0)*Settings!$F$7)+(O64*Settings!$I$7))+(P64*Settings!$I$11))+(ROUND((Q64/5),0)*Settings!$F$11))+(R64*Settings!$F$12))+(S64*Settings!$F$15)))</f>
        <v>56</v>
      </c>
      <c r="Y64" s="66">
        <f>ROUND((((V64*Settings!$B$21)+(W64*Settings!$B$22))+(X64*Settings!$B$23)),1)</f>
        <v>41.8</v>
      </c>
      <c r="Z64" s="66">
        <f>IF(ISERROR(VLOOKUP(RANK(Y64,$Y$4:$Y$182),Z$4:Z63,1,0)),RANK(Y64,$Y$4:$Y$182),IF(ISERROR(VLOOKUP((RANK(Y64,$Y$4:$Y$182)+1),Z$4:Z63,1,0)),(RANK(Y64,$Y$4:$Y$182)+1),IF(ISERROR(VLOOKUP((RANK(Y64,$Y$4:$Y$182)+2),Z$4:Z63,1,0)),(RANK(Y64,$Y$4:$Y$182)+2),(RANK(Y64,$Y$4:$Y$182)+3))))</f>
        <v>72</v>
      </c>
      <c r="AA64" t="str">
        <f t="shared" si="7"/>
        <v>Latavius Murray</v>
      </c>
    </row>
    <row r="65" spans="1:27" ht="12.75" customHeight="1">
      <c r="A65" s="33" t="str">
        <f>ESPNData!R66</f>
        <v>Ka'Deem Carey, Chi RB</v>
      </c>
      <c r="B65" s="33" t="str">
        <f t="shared" si="4"/>
        <v>Ka'Deem Carey</v>
      </c>
      <c r="C65" s="64" t="str">
        <f t="shared" si="5"/>
        <v>CHI</v>
      </c>
      <c r="D65" s="117" t="str">
        <f>IF(OR(($A65=Settings!$A$30),ISERROR(VLOOKUP($B65,FFTodayData!$P:$Y,5,0))),"",VLOOKUP($B65,FFTodayData!$P:$Y,5,0))</f>
        <v/>
      </c>
      <c r="E65" s="33" t="str">
        <f>IF(OR(($A65=Settings!$A$30),ISERROR(VLOOKUP($B65,FFTodayData!$P:$Y,6,0))),"",VLOOKUP($B65,FFTodayData!$P:$Y,6,0))</f>
        <v/>
      </c>
      <c r="F65" s="33" t="str">
        <f>IF(OR(($A65=Settings!$A$30),ISERROR(VLOOKUP($B65,FFTodayData!$P:$Y,7,0))),"",VLOOKUP($B65,FFTodayData!$P:$Y,7,0))</f>
        <v/>
      </c>
      <c r="G65" s="33" t="str">
        <f>IF(OR(($A65=Settings!$A$30),ISERROR(VLOOKUP($B65,FFTodayData!$P:$Y,8,0))),"",VLOOKUP($B65,FFTodayData!$P:$Y,8,0))</f>
        <v/>
      </c>
      <c r="H65" s="64" t="str">
        <f>IF(OR(($A65=Settings!$A$30),ISERROR(VLOOKUP($B65,FFTodayData!$P:$Y,9,0))),"",VLOOKUP($B65,FFTodayData!$P:$Y,9,0))</f>
        <v/>
      </c>
      <c r="I65" s="117">
        <f>IF(ISERROR(VLOOKUP($A65,ESPNData!$R:$AE,9,0)),"",VLOOKUP($A65,ESPNData!$R:$AE,9,0))</f>
        <v>265</v>
      </c>
      <c r="J65" s="33">
        <f>IF(ISERROR(VLOOKUP($A65,ESPNData!$R:$AE,10,0)),"",VLOOKUP($A65,ESPNData!$R:$AE,10,0))</f>
        <v>2</v>
      </c>
      <c r="K65" s="33">
        <f>IF(ISERROR(VLOOKUP($A65,ESPNData!$R:$AE,11,0)),"",VLOOKUP($A65,ESPNData!$R:$AE,11,0))</f>
        <v>18</v>
      </c>
      <c r="L65" s="33">
        <f>IF(ISERROR(VLOOKUP($A65,ESPNData!$R:$AE,12,0)),"",VLOOKUP($A65,ESPNData!$R:$AE,12,0))</f>
        <v>149</v>
      </c>
      <c r="M65" s="64">
        <f>IF(ISERROR(VLOOKUP($A65,ESPNData!$R:$AE,13,0)),"",VLOOKUP($A65,ESPNData!$R:$AE,13,0))</f>
        <v>1</v>
      </c>
      <c r="N65" s="115">
        <f>IF(OR(($A65=Settings!$A$30),ISERROR(VLOOKUP($B65,SportslineData!$Q:$AB,4,0))),"",VLOOKUP($B65,SportslineData!$Q:$AB,4,0))</f>
        <v>232</v>
      </c>
      <c r="O65" s="82">
        <f>IF(OR(($A65=Settings!$A$30),ISERROR(VLOOKUP($B65,SportslineData!$Q:$AB,6,0))),"",ROUND(VLOOKUP($B65,SportslineData!$Q:$AB,6,0),0))</f>
        <v>2</v>
      </c>
      <c r="P65" s="82">
        <f>IF(OR(($A65=Settings!$A$30),ISERROR(VLOOKUP($B65,SportslineData!$Q:$AB,7,0))),"",ROUND(VLOOKUP($B65,SportslineData!$Q:$AB,7,0),0))</f>
        <v>13</v>
      </c>
      <c r="Q65" s="82">
        <f>IF(OR(($A65=Settings!$A$30),ISERROR(VLOOKUP($B65,SportslineData!$Q:$AB,8,0))),"",VLOOKUP($B65,SportslineData!$Q:$AB,8,0))</f>
        <v>102.5</v>
      </c>
      <c r="R65" s="82">
        <f>IF(OR(($A65=Settings!$A$30),ISERROR(VLOOKUP($B65,SportslineData!$Q:$AB,10,0))),"",ROUND(VLOOKUP($B65,SportslineData!$Q:$AB,10,0),0))</f>
        <v>1</v>
      </c>
      <c r="S65" s="74">
        <f>IF(OR(($A65=Settings!$A$30),ISERROR(VLOOKUP($B65,SportslineData!$Q:$AB,11,0))),"",ROUND(VLOOKUP($B65,SportslineData!$Q:$AB,11,0),0))</f>
        <v>1</v>
      </c>
      <c r="T65" s="117"/>
      <c r="U65" s="131">
        <f t="shared" si="6"/>
        <v>36.501141534660711</v>
      </c>
      <c r="V65" s="38">
        <f>IF(ISERROR(ROUND((((((ROUNDDOWN((D65/5),0)*Settings!$F$7)+(E65*Settings!$I$7))+(F65*Settings!$I$11))+(ROUNDDOWN((G65/5),0)*Settings!$F$11))+(H65*Settings!$F$12)),1)),0,ROUND((((((ROUNDDOWN((D65/5),0)*Settings!$F$7)+(E65*Settings!$I$7))+(F65*Settings!$I$11))+(ROUNDDOWN((G65/5),0)*Settings!$F$11))+(H65*Settings!$F$12)),1))</f>
        <v>0</v>
      </c>
      <c r="W65" s="38">
        <f>IF(ISERROR(ROUND((((((ROUNDDOWN((I65/5),0)*Settings!$F$7)+(J65*Settings!$I$7))+(K65*Settings!$I$11))+(ROUNDDOWN((L65/5),0)*Settings!$F$11))+(M65*Settings!$F$12)),1)),0,ROUND((((((ROUNDDOWN((I65/5),0)*Settings!$F$7)+(J65*Settings!$I$7))+(K65*Settings!$I$11))+(ROUNDDOWN((L65/5),0)*Settings!$F$11))+(M65*Settings!$F$12)),1))</f>
        <v>68</v>
      </c>
      <c r="X65" s="38">
        <f>IF(AND((N65=""),(P65="")),0,((((((ROUND((N65/5),0)*Settings!$F$7)+(O65*Settings!$I$7))+(P65*Settings!$I$11))+(ROUND((Q65/5),0)*Settings!$F$11))+(R65*Settings!$F$12))+(S65*Settings!$F$15)))</f>
        <v>57</v>
      </c>
      <c r="Y65" s="66">
        <f>ROUND((((V65*Settings!$B$21)+(W65*Settings!$B$22))+(X65*Settings!$B$23)),1)</f>
        <v>41.8</v>
      </c>
      <c r="Z65" s="66">
        <f>IF(ISERROR(VLOOKUP(RANK(Y65,$Y$4:$Y$182),Z$4:Z64,1,0)),RANK(Y65,$Y$4:$Y$182),IF(ISERROR(VLOOKUP((RANK(Y65,$Y$4:$Y$182)+1),Z$4:Z64,1,0)),(RANK(Y65,$Y$4:$Y$182)+1),IF(ISERROR(VLOOKUP((RANK(Y65,$Y$4:$Y$182)+2),Z$4:Z64,1,0)),(RANK(Y65,$Y$4:$Y$182)+2),(RANK(Y65,$Y$4:$Y$182)+3))))</f>
        <v>73</v>
      </c>
      <c r="AA65" t="str">
        <f t="shared" si="7"/>
        <v>Ka'Deem Carey</v>
      </c>
    </row>
    <row r="66" spans="1:27" ht="12.75" customHeight="1">
      <c r="A66" s="33" t="str">
        <f>ESPNData!R67</f>
        <v>BenJarvus Green-Ellis, Cin RB</v>
      </c>
      <c r="B66" s="33" t="str">
        <f t="shared" si="4"/>
        <v>BenJarvus Green-Ellis</v>
      </c>
      <c r="C66" s="64" t="str">
        <f t="shared" si="5"/>
        <v>CIN</v>
      </c>
      <c r="D66" s="117" t="str">
        <f>IF(OR(($A66=Settings!$A$30),ISERROR(VLOOKUP($B66,FFTodayData!$P:$Y,5,0))),"",VLOOKUP($B66,FFTodayData!$P:$Y,5,0))</f>
        <v/>
      </c>
      <c r="E66" s="33" t="str">
        <f>IF(OR(($A66=Settings!$A$30),ISERROR(VLOOKUP($B66,FFTodayData!$P:$Y,6,0))),"",VLOOKUP($B66,FFTodayData!$P:$Y,6,0))</f>
        <v/>
      </c>
      <c r="F66" s="33" t="str">
        <f>IF(OR(($A66=Settings!$A$30),ISERROR(VLOOKUP($B66,FFTodayData!$P:$Y,7,0))),"",VLOOKUP($B66,FFTodayData!$P:$Y,7,0))</f>
        <v/>
      </c>
      <c r="G66" s="33" t="str">
        <f>IF(OR(($A66=Settings!$A$30),ISERROR(VLOOKUP($B66,FFTodayData!$P:$Y,8,0))),"",VLOOKUP($B66,FFTodayData!$P:$Y,8,0))</f>
        <v/>
      </c>
      <c r="H66" s="64" t="str">
        <f>IF(OR(($A66=Settings!$A$30),ISERROR(VLOOKUP($B66,FFTodayData!$P:$Y,9,0))),"",VLOOKUP($B66,FFTodayData!$P:$Y,9,0))</f>
        <v/>
      </c>
      <c r="I66" s="117">
        <f>IF(ISERROR(VLOOKUP($A66,ESPNData!$R:$AE,9,0)),"",VLOOKUP($A66,ESPNData!$R:$AE,9,0))</f>
        <v>250</v>
      </c>
      <c r="J66" s="33">
        <f>IF(ISERROR(VLOOKUP($A66,ESPNData!$R:$AE,10,0)),"",VLOOKUP($A66,ESPNData!$R:$AE,10,0))</f>
        <v>2</v>
      </c>
      <c r="K66" s="33">
        <f>IF(ISERROR(VLOOKUP($A66,ESPNData!$R:$AE,11,0)),"",VLOOKUP($A66,ESPNData!$R:$AE,11,0))</f>
        <v>2</v>
      </c>
      <c r="L66" s="33">
        <f>IF(ISERROR(VLOOKUP($A66,ESPNData!$R:$AE,12,0)),"",VLOOKUP($A66,ESPNData!$R:$AE,12,0))</f>
        <v>14</v>
      </c>
      <c r="M66" s="64">
        <f>IF(ISERROR(VLOOKUP($A66,ESPNData!$R:$AE,13,0)),"",VLOOKUP($A66,ESPNData!$R:$AE,13,0))</f>
        <v>0</v>
      </c>
      <c r="N66" s="115">
        <f>IF(OR(($A66=Settings!$A$30),ISERROR(VLOOKUP($B66,SportslineData!$Q:$AB,4,0))),"",VLOOKUP($B66,SportslineData!$Q:$AB,4,0))</f>
        <v>301</v>
      </c>
      <c r="O66" s="82">
        <f>IF(OR(($A66=Settings!$A$30),ISERROR(VLOOKUP($B66,SportslineData!$Q:$AB,6,0))),"",ROUND(VLOOKUP($B66,SportslineData!$Q:$AB,6,0),0))</f>
        <v>3</v>
      </c>
      <c r="P66" s="82">
        <f>IF(OR(($A66=Settings!$A$30),ISERROR(VLOOKUP($B66,SportslineData!$Q:$AB,7,0))),"",ROUND(VLOOKUP($B66,SportslineData!$Q:$AB,7,0),0))</f>
        <v>4</v>
      </c>
      <c r="Q66" s="82">
        <f>IF(OR(($A66=Settings!$A$30),ISERROR(VLOOKUP($B66,SportslineData!$Q:$AB,8,0))),"",VLOOKUP($B66,SportslineData!$Q:$AB,8,0))</f>
        <v>26.5</v>
      </c>
      <c r="R66" s="82">
        <f>IF(OR(($A66=Settings!$A$30),ISERROR(VLOOKUP($B66,SportslineData!$Q:$AB,10,0))),"",ROUND(VLOOKUP($B66,SportslineData!$Q:$AB,10,0),0))</f>
        <v>0</v>
      </c>
      <c r="S66" s="74">
        <f>IF(OR(($A66=Settings!$A$30),ISERROR(VLOOKUP($B66,SportslineData!$Q:$AB,11,0))),"",ROUND(VLOOKUP($B66,SportslineData!$Q:$AB,11,0),0))</f>
        <v>1</v>
      </c>
      <c r="T66" s="117"/>
      <c r="U66" s="131">
        <f t="shared" si="6"/>
        <v>26.862303202319293</v>
      </c>
      <c r="V66" s="38">
        <f>IF(ISERROR(ROUND((((((ROUNDDOWN((D66/5),0)*Settings!$F$7)+(E66*Settings!$I$7))+(F66*Settings!$I$11))+(ROUNDDOWN((G66/5),0)*Settings!$F$11))+(H66*Settings!$F$12)),1)),0,ROUND((((((ROUNDDOWN((D66/5),0)*Settings!$F$7)+(E66*Settings!$I$7))+(F66*Settings!$I$11))+(ROUNDDOWN((G66/5),0)*Settings!$F$11))+(H66*Settings!$F$12)),1))</f>
        <v>0</v>
      </c>
      <c r="W66" s="38">
        <f>IF(ISERROR(ROUND((((((ROUNDDOWN((I66/5),0)*Settings!$F$7)+(J66*Settings!$I$7))+(K66*Settings!$I$11))+(ROUNDDOWN((L66/5),0)*Settings!$F$11))+(M66*Settings!$F$12)),1)),0,ROUND((((((ROUNDDOWN((I66/5),0)*Settings!$F$7)+(J66*Settings!$I$7))+(K66*Settings!$I$11))+(ROUNDDOWN((L66/5),0)*Settings!$F$11))+(M66*Settings!$F$12)),1))</f>
        <v>39</v>
      </c>
      <c r="X66" s="38">
        <f>IF(AND((N66=""),(P66="")),0,((((((ROUND((N66/5),0)*Settings!$F$7)+(O66*Settings!$I$7))+(P66*Settings!$I$11))+(ROUND((Q66/5),0)*Settings!$F$11))+(R66*Settings!$F$12))+(S66*Settings!$F$15)))</f>
        <v>51.5</v>
      </c>
      <c r="Y66" s="66">
        <f>ROUND((((V66*Settings!$B$21)+(W66*Settings!$B$22))+(X66*Settings!$B$23)),1)</f>
        <v>30.4</v>
      </c>
      <c r="Z66" s="66">
        <f>IF(ISERROR(VLOOKUP(RANK(Y66,$Y$4:$Y$182),Z$4:Z65,1,0)),RANK(Y66,$Y$4:$Y$182),IF(ISERROR(VLOOKUP((RANK(Y66,$Y$4:$Y$182)+1),Z$4:Z65,1,0)),(RANK(Y66,$Y$4:$Y$182)+1),IF(ISERROR(VLOOKUP((RANK(Y66,$Y$4:$Y$182)+2),Z$4:Z65,1,0)),(RANK(Y66,$Y$4:$Y$182)+2),(RANK(Y66,$Y$4:$Y$182)+3))))</f>
        <v>83</v>
      </c>
      <c r="AA66" t="str">
        <f t="shared" si="7"/>
        <v>BenJarvus Green-Ellis</v>
      </c>
    </row>
    <row r="67" spans="1:27" ht="12.75" customHeight="1">
      <c r="A67" s="33" t="str">
        <f>ESPNData!R68</f>
        <v>Chris Polk, Phi RB  P</v>
      </c>
      <c r="B67" s="33" t="str">
        <f t="shared" si="4"/>
        <v>Chris Polk</v>
      </c>
      <c r="C67" s="64" t="str">
        <f t="shared" si="5"/>
        <v>PHI</v>
      </c>
      <c r="D67" s="117" t="str">
        <f>IF(OR(($A67=Settings!$A$30),ISERROR(VLOOKUP($B67,FFTodayData!$P:$Y,5,0))),"",VLOOKUP($B67,FFTodayData!$P:$Y,5,0))</f>
        <v/>
      </c>
      <c r="E67" s="33" t="str">
        <f>IF(OR(($A67=Settings!$A$30),ISERROR(VLOOKUP($B67,FFTodayData!$P:$Y,6,0))),"",VLOOKUP($B67,FFTodayData!$P:$Y,6,0))</f>
        <v/>
      </c>
      <c r="F67" s="33" t="str">
        <f>IF(OR(($A67=Settings!$A$30),ISERROR(VLOOKUP($B67,FFTodayData!$P:$Y,7,0))),"",VLOOKUP($B67,FFTodayData!$P:$Y,7,0))</f>
        <v/>
      </c>
      <c r="G67" s="33" t="str">
        <f>IF(OR(($A67=Settings!$A$30),ISERROR(VLOOKUP($B67,FFTodayData!$P:$Y,8,0))),"",VLOOKUP($B67,FFTodayData!$P:$Y,8,0))</f>
        <v/>
      </c>
      <c r="H67" s="64" t="str">
        <f>IF(OR(($A67=Settings!$A$30),ISERROR(VLOOKUP($B67,FFTodayData!$P:$Y,9,0))),"",VLOOKUP($B67,FFTodayData!$P:$Y,9,0))</f>
        <v/>
      </c>
      <c r="I67" s="117">
        <f>IF(ISERROR(VLOOKUP($A67,ESPNData!$R:$AE,9,0)),"",VLOOKUP($A67,ESPNData!$R:$AE,9,0))</f>
        <v>208</v>
      </c>
      <c r="J67" s="33">
        <f>IF(ISERROR(VLOOKUP($A67,ESPNData!$R:$AE,10,0)),"",VLOOKUP($A67,ESPNData!$R:$AE,10,0))</f>
        <v>1</v>
      </c>
      <c r="K67" s="33">
        <f>IF(ISERROR(VLOOKUP($A67,ESPNData!$R:$AE,11,0)),"",VLOOKUP($A67,ESPNData!$R:$AE,11,0))</f>
        <v>11</v>
      </c>
      <c r="L67" s="33">
        <f>IF(ISERROR(VLOOKUP($A67,ESPNData!$R:$AE,12,0)),"",VLOOKUP($A67,ESPNData!$R:$AE,12,0))</f>
        <v>70</v>
      </c>
      <c r="M67" s="64">
        <f>IF(ISERROR(VLOOKUP($A67,ESPNData!$R:$AE,13,0)),"",VLOOKUP($A67,ESPNData!$R:$AE,13,0))</f>
        <v>0</v>
      </c>
      <c r="N67" s="115">
        <f>IF(OR(($A67=Settings!$A$30),ISERROR(VLOOKUP($B67,SportslineData!$Q:$AB,4,0))),"",VLOOKUP($B67,SportslineData!$Q:$AB,4,0))</f>
        <v>298</v>
      </c>
      <c r="O67" s="82">
        <f>IF(OR(($A67=Settings!$A$30),ISERROR(VLOOKUP($B67,SportslineData!$Q:$AB,6,0))),"",ROUND(VLOOKUP($B67,SportslineData!$Q:$AB,6,0),0))</f>
        <v>3</v>
      </c>
      <c r="P67" s="82">
        <f>IF(OR(($A67=Settings!$A$30),ISERROR(VLOOKUP($B67,SportslineData!$Q:$AB,7,0))),"",ROUND(VLOOKUP($B67,SportslineData!$Q:$AB,7,0),0))</f>
        <v>11</v>
      </c>
      <c r="Q67" s="82">
        <f>IF(OR(($A67=Settings!$A$30),ISERROR(VLOOKUP($B67,SportslineData!$Q:$AB,8,0))),"",VLOOKUP($B67,SportslineData!$Q:$AB,8,0))</f>
        <v>82</v>
      </c>
      <c r="R67" s="82">
        <f>IF(OR(($A67=Settings!$A$30),ISERROR(VLOOKUP($B67,SportslineData!$Q:$AB,10,0))),"",ROUND(VLOOKUP($B67,SportslineData!$Q:$AB,10,0),0))</f>
        <v>0</v>
      </c>
      <c r="S67" s="74">
        <f>IF(OR(($A67=Settings!$A$30),ISERROR(VLOOKUP($B67,SportslineData!$Q:$AB,11,0))),"",ROUND(VLOOKUP($B67,SportslineData!$Q:$AB,11,0),0))</f>
        <v>1</v>
      </c>
      <c r="T67" s="117"/>
      <c r="U67" s="131">
        <f t="shared" si="6"/>
        <v>30.66893107581895</v>
      </c>
      <c r="V67" s="38">
        <f>IF(ISERROR(ROUND((((((ROUNDDOWN((D67/5),0)*Settings!$F$7)+(E67*Settings!$I$7))+(F67*Settings!$I$11))+(ROUNDDOWN((G67/5),0)*Settings!$F$11))+(H67*Settings!$F$12)),1)),0,ROUND((((((ROUNDDOWN((D67/5),0)*Settings!$F$7)+(E67*Settings!$I$7))+(F67*Settings!$I$11))+(ROUNDDOWN((G67/5),0)*Settings!$F$11))+(H67*Settings!$F$12)),1))</f>
        <v>0</v>
      </c>
      <c r="W67" s="38">
        <f>IF(ISERROR(ROUND((((((ROUNDDOWN((I67/5),0)*Settings!$F$7)+(J67*Settings!$I$7))+(K67*Settings!$I$11))+(ROUNDDOWN((L67/5),0)*Settings!$F$11))+(M67*Settings!$F$12)),1)),0,ROUND((((((ROUNDDOWN((I67/5),0)*Settings!$F$7)+(J67*Settings!$I$7))+(K67*Settings!$I$11))+(ROUNDDOWN((L67/5),0)*Settings!$F$11))+(M67*Settings!$F$12)),1))</f>
        <v>39</v>
      </c>
      <c r="X67" s="38">
        <f>IF(AND((N67=""),(P67="")),0,((((((ROUND((N67/5),0)*Settings!$F$7)+(O67*Settings!$I$7))+(P67*Settings!$I$11))+(ROUND((Q67/5),0)*Settings!$F$11))+(R67*Settings!$F$12))+(S67*Settings!$F$15)))</f>
        <v>60.5</v>
      </c>
      <c r="Y67" s="66">
        <f>ROUND((((V67*Settings!$B$21)+(W67*Settings!$B$22))+(X67*Settings!$B$23)),1)</f>
        <v>33.4</v>
      </c>
      <c r="Z67" s="66">
        <f>IF(ISERROR(VLOOKUP(RANK(Y67,$Y$4:$Y$182),Z$4:Z66,1,0)),RANK(Y67,$Y$4:$Y$182),IF(ISERROR(VLOOKUP((RANK(Y67,$Y$4:$Y$182)+1),Z$4:Z66,1,0)),(RANK(Y67,$Y$4:$Y$182)+1),IF(ISERROR(VLOOKUP((RANK(Y67,$Y$4:$Y$182)+2),Z$4:Z66,1,0)),(RANK(Y67,$Y$4:$Y$182)+2),(RANK(Y67,$Y$4:$Y$182)+3))))</f>
        <v>80</v>
      </c>
      <c r="AA67" t="str">
        <f t="shared" si="7"/>
        <v>Chris Polk</v>
      </c>
    </row>
    <row r="68" spans="1:27" ht="12.75" customHeight="1">
      <c r="A68" s="33" t="str">
        <f>ESPNData!R69</f>
        <v>Bryce Brown, Buf RB</v>
      </c>
      <c r="B68" s="33" t="str">
        <f t="shared" ref="B68:B99" si="8">IF(OR((A68=""),(A68=0)),"",IF(ISERROR(FIND("*",A68)),LEFT(A68,(FIND(",",A68)-1)),LEFT(A68,(FIND("*",A68)-1))))</f>
        <v>Bryce Brown</v>
      </c>
      <c r="C68" s="64" t="str">
        <f t="shared" ref="C68:C99" si="9">IF((A68=""),"",UPPER(RIGHT(LEFT(A68,(FIND("RB",A68)-2)),(LEN(LEFT(A68,(FIND("RB",A68)-2)))-(FIND(",",LEFT(A68,(FIND("RB",A68)-2)))+1)))))</f>
        <v>BUF</v>
      </c>
      <c r="D68" s="117">
        <f>IF(OR(($A68=Settings!$A$30),ISERROR(VLOOKUP($B68,FFTodayData!$P:$Y,5,0))),"",VLOOKUP($B68,FFTodayData!$P:$Y,5,0))</f>
        <v>154</v>
      </c>
      <c r="E68" s="33">
        <f>IF(OR(($A68=Settings!$A$30),ISERROR(VLOOKUP($B68,FFTodayData!$P:$Y,6,0))),"",VLOOKUP($B68,FFTodayData!$P:$Y,6,0))</f>
        <v>0</v>
      </c>
      <c r="F68" s="33">
        <f>IF(OR(($A68=Settings!$A$30),ISERROR(VLOOKUP($B68,FFTodayData!$P:$Y,7,0))),"",VLOOKUP($B68,FFTodayData!$P:$Y,7,0))</f>
        <v>2</v>
      </c>
      <c r="G68" s="33">
        <f>IF(OR(($A68=Settings!$A$30),ISERROR(VLOOKUP($B68,FFTodayData!$P:$Y,8,0))),"",VLOOKUP($B68,FFTodayData!$P:$Y,8,0))</f>
        <v>15</v>
      </c>
      <c r="H68" s="64">
        <f>IF(OR(($A68=Settings!$A$30),ISERROR(VLOOKUP($B68,FFTodayData!$P:$Y,9,0))),"",VLOOKUP($B68,FFTodayData!$P:$Y,9,0))</f>
        <v>0</v>
      </c>
      <c r="I68" s="117">
        <f>IF(ISERROR(VLOOKUP($A68,ESPNData!$R:$AE,9,0)),"",VLOOKUP($A68,ESPNData!$R:$AE,9,0))</f>
        <v>328</v>
      </c>
      <c r="J68" s="33">
        <f>IF(ISERROR(VLOOKUP($A68,ESPNData!$R:$AE,10,0)),"",VLOOKUP($A68,ESPNData!$R:$AE,10,0))</f>
        <v>2</v>
      </c>
      <c r="K68" s="33">
        <f>IF(ISERROR(VLOOKUP($A68,ESPNData!$R:$AE,11,0)),"",VLOOKUP($A68,ESPNData!$R:$AE,11,0))</f>
        <v>7</v>
      </c>
      <c r="L68" s="33">
        <f>IF(ISERROR(VLOOKUP($A68,ESPNData!$R:$AE,12,0)),"",VLOOKUP($A68,ESPNData!$R:$AE,12,0))</f>
        <v>43</v>
      </c>
      <c r="M68" s="64">
        <f>IF(ISERROR(VLOOKUP($A68,ESPNData!$R:$AE,13,0)),"",VLOOKUP($A68,ESPNData!$R:$AE,13,0))</f>
        <v>0</v>
      </c>
      <c r="N68" s="115">
        <f>IF(OR(($A68=Settings!$A$30),ISERROR(VLOOKUP($B68,SportslineData!$Q:$AB,4,0))),"",VLOOKUP($B68,SportslineData!$Q:$AB,4,0))</f>
        <v>294.5</v>
      </c>
      <c r="O68" s="82">
        <f>IF(OR(($A68=Settings!$A$30),ISERROR(VLOOKUP($B68,SportslineData!$Q:$AB,6,0))),"",ROUND(VLOOKUP($B68,SportslineData!$Q:$AB,6,0),0))</f>
        <v>2</v>
      </c>
      <c r="P68" s="82">
        <f>IF(OR(($A68=Settings!$A$30),ISERROR(VLOOKUP($B68,SportslineData!$Q:$AB,7,0))),"",ROUND(VLOOKUP($B68,SportslineData!$Q:$AB,7,0),0))</f>
        <v>8</v>
      </c>
      <c r="Q68" s="82">
        <f>IF(OR(($A68=Settings!$A$30),ISERROR(VLOOKUP($B68,SportslineData!$Q:$AB,8,0))),"",VLOOKUP($B68,SportslineData!$Q:$AB,8,0))</f>
        <v>56</v>
      </c>
      <c r="R68" s="82">
        <f>IF(OR(($A68=Settings!$A$30),ISERROR(VLOOKUP($B68,SportslineData!$Q:$AB,10,0))),"",ROUND(VLOOKUP($B68,SportslineData!$Q:$AB,10,0),0))</f>
        <v>0</v>
      </c>
      <c r="S68" s="74">
        <f>IF(OR(($A68=Settings!$A$30),ISERROR(VLOOKUP($B68,SportslineData!$Q:$AB,11,0))),"",ROUND(VLOOKUP($B68,SportslineData!$Q:$AB,11,0),0))</f>
        <v>2</v>
      </c>
      <c r="T68" s="117"/>
      <c r="U68" s="131">
        <f t="shared" ref="U68:U99" si="10">STDEV(V68:X68)</f>
        <v>19.111514853616391</v>
      </c>
      <c r="V68" s="38">
        <f>IF(ISERROR(ROUND((((((ROUNDDOWN((D68/5),0)*Settings!$F$7)+(E68*Settings!$I$7))+(F68*Settings!$I$11))+(ROUNDDOWN((G68/5),0)*Settings!$F$11))+(H68*Settings!$F$12)),1)),0,ROUND((((((ROUNDDOWN((D68/5),0)*Settings!$F$7)+(E68*Settings!$I$7))+(F68*Settings!$I$11))+(ROUNDDOWN((G68/5),0)*Settings!$F$11))+(H68*Settings!$F$12)),1))</f>
        <v>17.5</v>
      </c>
      <c r="W68" s="38">
        <f>IF(ISERROR(ROUND((((((ROUNDDOWN((I68/5),0)*Settings!$F$7)+(J68*Settings!$I$7))+(K68*Settings!$I$11))+(ROUNDDOWN((L68/5),0)*Settings!$F$11))+(M68*Settings!$F$12)),1)),0,ROUND((((((ROUNDDOWN((I68/5),0)*Settings!$F$7)+(J68*Settings!$I$7))+(K68*Settings!$I$11))+(ROUNDDOWN((L68/5),0)*Settings!$F$11))+(M68*Settings!$F$12)),1))</f>
        <v>52</v>
      </c>
      <c r="X68" s="38">
        <f>IF(AND((N68=""),(P68="")),0,((((((ROUND((N68/5),0)*Settings!$F$7)+(O68*Settings!$I$7))+(P68*Settings!$I$11))+(ROUND((Q68/5),0)*Settings!$F$11))+(R68*Settings!$F$12))+(S68*Settings!$F$15)))</f>
        <v>49</v>
      </c>
      <c r="Y68" s="66">
        <f>ROUND((((V68*Settings!$B$21)+(W68*Settings!$B$22))+(X68*Settings!$B$23)),1)</f>
        <v>39.6</v>
      </c>
      <c r="Z68" s="66">
        <f>IF(ISERROR(VLOOKUP(RANK(Y68,$Y$4:$Y$182),Z$4:Z67,1,0)),RANK(Y68,$Y$4:$Y$182),IF(ISERROR(VLOOKUP((RANK(Y68,$Y$4:$Y$182)+1),Z$4:Z67,1,0)),(RANK(Y68,$Y$4:$Y$182)+1),IF(ISERROR(VLOOKUP((RANK(Y68,$Y$4:$Y$182)+2),Z$4:Z67,1,0)),(RANK(Y68,$Y$4:$Y$182)+2),(RANK(Y68,$Y$4:$Y$182)+3))))</f>
        <v>75</v>
      </c>
      <c r="AA68" t="str">
        <f t="shared" ref="AA68:AA99" si="11">B68</f>
        <v>Bryce Brown</v>
      </c>
    </row>
    <row r="69" spans="1:27" ht="12.75" customHeight="1">
      <c r="A69" s="33" t="str">
        <f>ESPNData!R70</f>
        <v>Dexter McCluster, Ten WR, RB</v>
      </c>
      <c r="B69" s="33" t="str">
        <f t="shared" si="8"/>
        <v>Dexter McCluster</v>
      </c>
      <c r="C69" s="64" t="str">
        <f t="shared" si="9"/>
        <v>TEN WR,</v>
      </c>
      <c r="D69" s="117">
        <f>IF(OR(($A69=Settings!$A$30),ISERROR(VLOOKUP($B69,FFTodayData!$P:$Y,5,0))),"",VLOOKUP($B69,FFTodayData!$P:$Y,5,0))</f>
        <v>135</v>
      </c>
      <c r="E69" s="33">
        <f>IF(OR(($A69=Settings!$A$30),ISERROR(VLOOKUP($B69,FFTodayData!$P:$Y,6,0))),"",VLOOKUP($B69,FFTodayData!$P:$Y,6,0))</f>
        <v>1</v>
      </c>
      <c r="F69" s="33">
        <f>IF(OR(($A69=Settings!$A$30),ISERROR(VLOOKUP($B69,FFTodayData!$P:$Y,7,0))),"",VLOOKUP($B69,FFTodayData!$P:$Y,7,0))</f>
        <v>52</v>
      </c>
      <c r="G69" s="33">
        <f>IF(OR(($A69=Settings!$A$30),ISERROR(VLOOKUP($B69,FFTodayData!$P:$Y,8,0))),"",VLOOKUP($B69,FFTodayData!$P:$Y,8,0))</f>
        <v>402</v>
      </c>
      <c r="H69" s="64">
        <f>IF(OR(($A69=Settings!$A$30),ISERROR(VLOOKUP($B69,FFTodayData!$P:$Y,9,0))),"",VLOOKUP($B69,FFTodayData!$P:$Y,9,0))</f>
        <v>2</v>
      </c>
      <c r="I69" s="117">
        <f>IF(ISERROR(VLOOKUP($A69,ESPNData!$R:$AE,9,0)),"",VLOOKUP($A69,ESPNData!$R:$AE,9,0))</f>
        <v>177</v>
      </c>
      <c r="J69" s="33">
        <f>IF(ISERROR(VLOOKUP($A69,ESPNData!$R:$AE,10,0)),"",VLOOKUP($A69,ESPNData!$R:$AE,10,0))</f>
        <v>1</v>
      </c>
      <c r="K69" s="33">
        <f>IF(ISERROR(VLOOKUP($A69,ESPNData!$R:$AE,11,0)),"",VLOOKUP($A69,ESPNData!$R:$AE,11,0))</f>
        <v>53</v>
      </c>
      <c r="L69" s="33">
        <f>IF(ISERROR(VLOOKUP($A69,ESPNData!$R:$AE,12,0)),"",VLOOKUP($A69,ESPNData!$R:$AE,12,0))</f>
        <v>476</v>
      </c>
      <c r="M69" s="64">
        <f>IF(ISERROR(VLOOKUP($A69,ESPNData!$R:$AE,13,0)),"",VLOOKUP($A69,ESPNData!$R:$AE,13,0))</f>
        <v>2</v>
      </c>
      <c r="N69" s="115">
        <f>IF(OR(($A69=Settings!$A$30),ISERROR(VLOOKUP($B69,SportslineData!$Q:$AB,4,0))),"",VLOOKUP($B69,SportslineData!$Q:$AB,4,0))</f>
        <v>325</v>
      </c>
      <c r="O69" s="82">
        <f>IF(OR(($A69=Settings!$A$30),ISERROR(VLOOKUP($B69,SportslineData!$Q:$AB,6,0))),"",ROUND(VLOOKUP($B69,SportslineData!$Q:$AB,6,0),0))</f>
        <v>1</v>
      </c>
      <c r="P69" s="82">
        <f>IF(OR(($A69=Settings!$A$30),ISERROR(VLOOKUP($B69,SportslineData!$Q:$AB,7,0))),"",ROUND(VLOOKUP($B69,SportslineData!$Q:$AB,7,0),0))</f>
        <v>50</v>
      </c>
      <c r="Q69" s="82">
        <f>IF(OR(($A69=Settings!$A$30),ISERROR(VLOOKUP($B69,SportslineData!$Q:$AB,8,0))),"",VLOOKUP($B69,SportslineData!$Q:$AB,8,0))</f>
        <v>433.5</v>
      </c>
      <c r="R69" s="82">
        <f>IF(OR(($A69=Settings!$A$30),ISERROR(VLOOKUP($B69,SportslineData!$Q:$AB,10,0))),"",ROUND(VLOOKUP($B69,SportslineData!$Q:$AB,10,0),0))</f>
        <v>2</v>
      </c>
      <c r="S69" s="74">
        <f>IF(OR(($A69=Settings!$A$30),ISERROR(VLOOKUP($B69,SportslineData!$Q:$AB,11,0))),"",ROUND(VLOOKUP($B69,SportslineData!$Q:$AB,11,0),0))</f>
        <v>2</v>
      </c>
      <c r="T69" s="117"/>
      <c r="U69" s="131">
        <f t="shared" si="10"/>
        <v>9.8361577864530005</v>
      </c>
      <c r="V69" s="38">
        <f>IF(ISERROR(ROUND((((((ROUNDDOWN((D69/5),0)*Settings!$F$7)+(E69*Settings!$I$7))+(F69*Settings!$I$11))+(ROUNDDOWN((G69/5),0)*Settings!$F$11))+(H69*Settings!$F$12)),1)),0,ROUND((((((ROUNDDOWN((D69/5),0)*Settings!$F$7)+(E69*Settings!$I$7))+(F69*Settings!$I$11))+(ROUNDDOWN((G69/5),0)*Settings!$F$11))+(H69*Settings!$F$12)),1))</f>
        <v>97.5</v>
      </c>
      <c r="W69" s="38">
        <f>IF(ISERROR(ROUND((((((ROUNDDOWN((I69/5),0)*Settings!$F$7)+(J69*Settings!$I$7))+(K69*Settings!$I$11))+(ROUNDDOWN((L69/5),0)*Settings!$F$11))+(M69*Settings!$F$12)),1)),0,ROUND((((((ROUNDDOWN((I69/5),0)*Settings!$F$7)+(J69*Settings!$I$7))+(K69*Settings!$I$11))+(ROUNDDOWN((L69/5),0)*Settings!$F$11))+(M69*Settings!$F$12)),1))</f>
        <v>109.5</v>
      </c>
      <c r="X69" s="38">
        <f>IF(AND((N69=""),(P69="")),0,((((((ROUND((N69/5),0)*Settings!$F$7)+(O69*Settings!$I$7))+(P69*Settings!$I$11))+(ROUND((Q69/5),0)*Settings!$F$11))+(R69*Settings!$F$12))+(S69*Settings!$F$15)))</f>
        <v>117</v>
      </c>
      <c r="Y69" s="66">
        <f>ROUND((((V69*Settings!$B$21)+(W69*Settings!$B$22))+(X69*Settings!$B$23)),1)</f>
        <v>108.1</v>
      </c>
      <c r="Z69" s="66">
        <f>IF(ISERROR(VLOOKUP(RANK(Y69,$Y$4:$Y$182),Z$4:Z68,1,0)),RANK(Y69,$Y$4:$Y$182),IF(ISERROR(VLOOKUP((RANK(Y69,$Y$4:$Y$182)+1),Z$4:Z68,1,0)),(RANK(Y69,$Y$4:$Y$182)+1),IF(ISERROR(VLOOKUP((RANK(Y69,$Y$4:$Y$182)+2),Z$4:Z68,1,0)),(RANK(Y69,$Y$4:$Y$182)+2),(RANK(Y69,$Y$4:$Y$182)+3))))</f>
        <v>44</v>
      </c>
      <c r="AA69" t="str">
        <f t="shared" si="11"/>
        <v>Dexter McCluster</v>
      </c>
    </row>
    <row r="70" spans="1:27" ht="12.75" customHeight="1">
      <c r="A70" s="33" t="str">
        <f>ESPNData!R71</f>
        <v>Lance Dunbar, Dal RB</v>
      </c>
      <c r="B70" s="33" t="str">
        <f t="shared" si="8"/>
        <v>Lance Dunbar</v>
      </c>
      <c r="C70" s="64" t="str">
        <f t="shared" si="9"/>
        <v>DAL</v>
      </c>
      <c r="D70" s="117">
        <f>IF(OR(($A70=Settings!$A$30),ISERROR(VLOOKUP($B70,FFTodayData!$P:$Y,5,0))),"",VLOOKUP($B70,FFTodayData!$P:$Y,5,0))</f>
        <v>445</v>
      </c>
      <c r="E70" s="33">
        <f>IF(OR(($A70=Settings!$A$30),ISERROR(VLOOKUP($B70,FFTodayData!$P:$Y,6,0))),"",VLOOKUP($B70,FFTodayData!$P:$Y,6,0))</f>
        <v>3</v>
      </c>
      <c r="F70" s="33">
        <f>IF(OR(($A70=Settings!$A$30),ISERROR(VLOOKUP($B70,FFTodayData!$P:$Y,7,0))),"",VLOOKUP($B70,FFTodayData!$P:$Y,7,0))</f>
        <v>36</v>
      </c>
      <c r="G70" s="33">
        <f>IF(OR(($A70=Settings!$A$30),ISERROR(VLOOKUP($B70,FFTodayData!$P:$Y,8,0))),"",VLOOKUP($B70,FFTodayData!$P:$Y,8,0))</f>
        <v>299</v>
      </c>
      <c r="H70" s="64">
        <f>IF(OR(($A70=Settings!$A$30),ISERROR(VLOOKUP($B70,FFTodayData!$P:$Y,9,0))),"",VLOOKUP($B70,FFTodayData!$P:$Y,9,0))</f>
        <v>1</v>
      </c>
      <c r="I70" s="117">
        <f>IF(ISERROR(VLOOKUP($A70,ESPNData!$R:$AE,9,0)),"",VLOOKUP($A70,ESPNData!$R:$AE,9,0))</f>
        <v>218</v>
      </c>
      <c r="J70" s="33">
        <f>IF(ISERROR(VLOOKUP($A70,ESPNData!$R:$AE,10,0)),"",VLOOKUP($A70,ESPNData!$R:$AE,10,0))</f>
        <v>2</v>
      </c>
      <c r="K70" s="33">
        <f>IF(ISERROR(VLOOKUP($A70,ESPNData!$R:$AE,11,0)),"",VLOOKUP($A70,ESPNData!$R:$AE,11,0))</f>
        <v>15</v>
      </c>
      <c r="L70" s="33">
        <f>IF(ISERROR(VLOOKUP($A70,ESPNData!$R:$AE,12,0)),"",VLOOKUP($A70,ESPNData!$R:$AE,12,0))</f>
        <v>88</v>
      </c>
      <c r="M70" s="64">
        <f>IF(ISERROR(VLOOKUP($A70,ESPNData!$R:$AE,13,0)),"",VLOOKUP($A70,ESPNData!$R:$AE,13,0))</f>
        <v>1</v>
      </c>
      <c r="N70" s="115">
        <f>IF(OR(($A70=Settings!$A$30),ISERROR(VLOOKUP($B70,SportslineData!$Q:$AB,4,0))),"",VLOOKUP($B70,SportslineData!$Q:$AB,4,0))</f>
        <v>322</v>
      </c>
      <c r="O70" s="82">
        <f>IF(OR(($A70=Settings!$A$30),ISERROR(VLOOKUP($B70,SportslineData!$Q:$AB,6,0))),"",ROUND(VLOOKUP($B70,SportslineData!$Q:$AB,6,0),0))</f>
        <v>2</v>
      </c>
      <c r="P70" s="82">
        <f>IF(OR(($A70=Settings!$A$30),ISERROR(VLOOKUP($B70,SportslineData!$Q:$AB,7,0))),"",ROUND(VLOOKUP($B70,SportslineData!$Q:$AB,7,0),0))</f>
        <v>35</v>
      </c>
      <c r="Q70" s="82">
        <f>IF(OR(($A70=Settings!$A$30),ISERROR(VLOOKUP($B70,SportslineData!$Q:$AB,8,0))),"",VLOOKUP($B70,SportslineData!$Q:$AB,8,0))</f>
        <v>294.5</v>
      </c>
      <c r="R70" s="82">
        <f>IF(OR(($A70=Settings!$A$30),ISERROR(VLOOKUP($B70,SportslineData!$Q:$AB,10,0))),"",ROUND(VLOOKUP($B70,SportslineData!$Q:$AB,10,0),0))</f>
        <v>1</v>
      </c>
      <c r="S70" s="74">
        <f>IF(OR(($A70=Settings!$A$30),ISERROR(VLOOKUP($B70,SportslineData!$Q:$AB,11,0))),"",ROUND(VLOOKUP($B70,SportslineData!$Q:$AB,11,0),0))</f>
        <v>0</v>
      </c>
      <c r="T70" s="117"/>
      <c r="U70" s="131">
        <f t="shared" si="10"/>
        <v>30.939457008809963</v>
      </c>
      <c r="V70" s="38">
        <f>IF(ISERROR(ROUND((((((ROUNDDOWN((D70/5),0)*Settings!$F$7)+(E70*Settings!$I$7))+(F70*Settings!$I$11))+(ROUNDDOWN((G70/5),0)*Settings!$F$11))+(H70*Settings!$F$12)),1)),0,ROUND((((((ROUNDDOWN((D70/5),0)*Settings!$F$7)+(E70*Settings!$I$7))+(F70*Settings!$I$11))+(ROUNDDOWN((G70/5),0)*Settings!$F$11))+(H70*Settings!$F$12)),1))</f>
        <v>116</v>
      </c>
      <c r="W70" s="38">
        <f>IF(ISERROR(ROUND((((((ROUNDDOWN((I70/5),0)*Settings!$F$7)+(J70*Settings!$I$7))+(K70*Settings!$I$11))+(ROUNDDOWN((L70/5),0)*Settings!$F$11))+(M70*Settings!$F$12)),1)),0,ROUND((((((ROUNDDOWN((I70/5),0)*Settings!$F$7)+(J70*Settings!$I$7))+(K70*Settings!$I$11))+(ROUNDDOWN((L70/5),0)*Settings!$F$11))+(M70*Settings!$F$12)),1))</f>
        <v>55.5</v>
      </c>
      <c r="X70" s="38">
        <f>IF(AND((N70=""),(P70="")),0,((((((ROUND((N70/5),0)*Settings!$F$7)+(O70*Settings!$I$7))+(P70*Settings!$I$11))+(ROUND((Q70/5),0)*Settings!$F$11))+(R70*Settings!$F$12))+(S70*Settings!$F$15)))</f>
        <v>97</v>
      </c>
      <c r="Y70" s="66">
        <f>ROUND((((V70*Settings!$B$21)+(W70*Settings!$B$22))+(X70*Settings!$B$23)),1)</f>
        <v>89.6</v>
      </c>
      <c r="Z70" s="66">
        <f>IF(ISERROR(VLOOKUP(RANK(Y70,$Y$4:$Y$182),Z$4:Z69,1,0)),RANK(Y70,$Y$4:$Y$182),IF(ISERROR(VLOOKUP((RANK(Y70,$Y$4:$Y$182)+1),Z$4:Z69,1,0)),(RANK(Y70,$Y$4:$Y$182)+1),IF(ISERROR(VLOOKUP((RANK(Y70,$Y$4:$Y$182)+2),Z$4:Z69,1,0)),(RANK(Y70,$Y$4:$Y$182)+2),(RANK(Y70,$Y$4:$Y$182)+3))))</f>
        <v>47</v>
      </c>
      <c r="AA70" t="str">
        <f t="shared" si="11"/>
        <v>Lance Dunbar</v>
      </c>
    </row>
    <row r="71" spans="1:27" ht="12.75" customHeight="1">
      <c r="A71" s="33" t="str">
        <f>ESPNData!R72</f>
        <v>Jonathan Dwyer, Ari RB</v>
      </c>
      <c r="B71" s="33" t="str">
        <f t="shared" si="8"/>
        <v>Jonathan Dwyer</v>
      </c>
      <c r="C71" s="64" t="str">
        <f t="shared" si="9"/>
        <v>ARI</v>
      </c>
      <c r="D71" s="117" t="str">
        <f>IF(OR(($A71=Settings!$A$30),ISERROR(VLOOKUP($B71,FFTodayData!$P:$Y,5,0))),"",VLOOKUP($B71,FFTodayData!$P:$Y,5,0))</f>
        <v/>
      </c>
      <c r="E71" s="33" t="str">
        <f>IF(OR(($A71=Settings!$A$30),ISERROR(VLOOKUP($B71,FFTodayData!$P:$Y,6,0))),"",VLOOKUP($B71,FFTodayData!$P:$Y,6,0))</f>
        <v/>
      </c>
      <c r="F71" s="33" t="str">
        <f>IF(OR(($A71=Settings!$A$30),ISERROR(VLOOKUP($B71,FFTodayData!$P:$Y,7,0))),"",VLOOKUP($B71,FFTodayData!$P:$Y,7,0))</f>
        <v/>
      </c>
      <c r="G71" s="33" t="str">
        <f>IF(OR(($A71=Settings!$A$30),ISERROR(VLOOKUP($B71,FFTodayData!$P:$Y,8,0))),"",VLOOKUP($B71,FFTodayData!$P:$Y,8,0))</f>
        <v/>
      </c>
      <c r="H71" s="64" t="str">
        <f>IF(OR(($A71=Settings!$A$30),ISERROR(VLOOKUP($B71,FFTodayData!$P:$Y,9,0))),"",VLOOKUP($B71,FFTodayData!$P:$Y,9,0))</f>
        <v/>
      </c>
      <c r="I71" s="117">
        <f>IF(ISERROR(VLOOKUP($A71,ESPNData!$R:$AE,9,0)),"",VLOOKUP($A71,ESPNData!$R:$AE,9,0))</f>
        <v>334</v>
      </c>
      <c r="J71" s="33">
        <f>IF(ISERROR(VLOOKUP($A71,ESPNData!$R:$AE,10,0)),"",VLOOKUP($A71,ESPNData!$R:$AE,10,0))</f>
        <v>2</v>
      </c>
      <c r="K71" s="33">
        <f>IF(ISERROR(VLOOKUP($A71,ESPNData!$R:$AE,11,0)),"",VLOOKUP($A71,ESPNData!$R:$AE,11,0))</f>
        <v>8</v>
      </c>
      <c r="L71" s="33">
        <f>IF(ISERROR(VLOOKUP($A71,ESPNData!$R:$AE,12,0)),"",VLOOKUP($A71,ESPNData!$R:$AE,12,0))</f>
        <v>59</v>
      </c>
      <c r="M71" s="64">
        <f>IF(ISERROR(VLOOKUP($A71,ESPNData!$R:$AE,13,0)),"",VLOOKUP($A71,ESPNData!$R:$AE,13,0))</f>
        <v>0</v>
      </c>
      <c r="N71" s="115">
        <f>IF(OR(($A71=Settings!$A$30),ISERROR(VLOOKUP($B71,SportslineData!$Q:$AB,4,0))),"",VLOOKUP($B71,SportslineData!$Q:$AB,4,0))</f>
        <v>254.5</v>
      </c>
      <c r="O71" s="82">
        <f>IF(OR(($A71=Settings!$A$30),ISERROR(VLOOKUP($B71,SportslineData!$Q:$AB,6,0))),"",ROUND(VLOOKUP($B71,SportslineData!$Q:$AB,6,0),0))</f>
        <v>1</v>
      </c>
      <c r="P71" s="82">
        <f>IF(OR(($A71=Settings!$A$30),ISERROR(VLOOKUP($B71,SportslineData!$Q:$AB,7,0))),"",ROUND(VLOOKUP($B71,SportslineData!$Q:$AB,7,0),0))</f>
        <v>7</v>
      </c>
      <c r="Q71" s="82">
        <f>IF(OR(($A71=Settings!$A$30),ISERROR(VLOOKUP($B71,SportslineData!$Q:$AB,8,0))),"",VLOOKUP($B71,SportslineData!$Q:$AB,8,0))</f>
        <v>48.5</v>
      </c>
      <c r="R71" s="82">
        <f>IF(OR(($A71=Settings!$A$30),ISERROR(VLOOKUP($B71,SportslineData!$Q:$AB,10,0))),"",ROUND(VLOOKUP($B71,SportslineData!$Q:$AB,10,0),0))</f>
        <v>0</v>
      </c>
      <c r="S71" s="74">
        <f>IF(OR(($A71=Settings!$A$30),ISERROR(VLOOKUP($B71,SportslineData!$Q:$AB,11,0))),"",ROUND(VLOOKUP($B71,SportslineData!$Q:$AB,11,0),0))</f>
        <v>1</v>
      </c>
      <c r="T71" s="117"/>
      <c r="U71" s="131">
        <f t="shared" si="10"/>
        <v>28.081725967848438</v>
      </c>
      <c r="V71" s="38">
        <f>IF(ISERROR(ROUND((((((ROUNDDOWN((D71/5),0)*Settings!$F$7)+(E71*Settings!$I$7))+(F71*Settings!$I$11))+(ROUNDDOWN((G71/5),0)*Settings!$F$11))+(H71*Settings!$F$12)),1)),0,ROUND((((((ROUNDDOWN((D71/5),0)*Settings!$F$7)+(E71*Settings!$I$7))+(F71*Settings!$I$11))+(ROUNDDOWN((G71/5),0)*Settings!$F$11))+(H71*Settings!$F$12)),1))</f>
        <v>0</v>
      </c>
      <c r="W71" s="38">
        <f>IF(ISERROR(ROUND((((((ROUNDDOWN((I71/5),0)*Settings!$F$7)+(J71*Settings!$I$7))+(K71*Settings!$I$11))+(ROUNDDOWN((L71/5),0)*Settings!$F$11))+(M71*Settings!$F$12)),1)),0,ROUND((((((ROUNDDOWN((I71/5),0)*Settings!$F$7)+(J71*Settings!$I$7))+(K71*Settings!$I$11))+(ROUNDDOWN((L71/5),0)*Settings!$F$11))+(M71*Settings!$F$12)),1))</f>
        <v>54.5</v>
      </c>
      <c r="X71" s="38">
        <f>IF(AND((N71=""),(P71="")),0,((((((ROUND((N71/5),0)*Settings!$F$7)+(O71*Settings!$I$7))+(P71*Settings!$I$11))+(ROUND((Q71/5),0)*Settings!$F$11))+(R71*Settings!$F$12))+(S71*Settings!$F$15)))</f>
        <v>39</v>
      </c>
      <c r="Y71" s="66">
        <f>ROUND((((V71*Settings!$B$21)+(W71*Settings!$B$22))+(X71*Settings!$B$23)),1)</f>
        <v>31.2</v>
      </c>
      <c r="Z71" s="66">
        <f>IF(ISERROR(VLOOKUP(RANK(Y71,$Y$4:$Y$182),Z$4:Z70,1,0)),RANK(Y71,$Y$4:$Y$182),IF(ISERROR(VLOOKUP((RANK(Y71,$Y$4:$Y$182)+1),Z$4:Z70,1,0)),(RANK(Y71,$Y$4:$Y$182)+1),IF(ISERROR(VLOOKUP((RANK(Y71,$Y$4:$Y$182)+2),Z$4:Z70,1,0)),(RANK(Y71,$Y$4:$Y$182)+2),(RANK(Y71,$Y$4:$Y$182)+3))))</f>
        <v>81</v>
      </c>
      <c r="AA71" t="str">
        <f t="shared" si="11"/>
        <v>Jonathan Dwyer</v>
      </c>
    </row>
    <row r="72" spans="1:27" ht="12.75" customHeight="1">
      <c r="A72" s="33" t="str">
        <f>ESPNData!R73</f>
        <v>Marcel Reece, Oak RB  P</v>
      </c>
      <c r="B72" s="33" t="str">
        <f t="shared" si="8"/>
        <v>Marcel Reece</v>
      </c>
      <c r="C72" s="64" t="str">
        <f t="shared" si="9"/>
        <v>OAK</v>
      </c>
      <c r="D72" s="117">
        <f>IF(OR(($A72=Settings!$A$30),ISERROR(VLOOKUP($B72,FFTodayData!$P:$Y,5,0))),"",VLOOKUP($B72,FFTodayData!$P:$Y,5,0))</f>
        <v>229</v>
      </c>
      <c r="E72" s="33">
        <f>IF(OR(($A72=Settings!$A$30),ISERROR(VLOOKUP($B72,FFTodayData!$P:$Y,6,0))),"",VLOOKUP($B72,FFTodayData!$P:$Y,6,0))</f>
        <v>1</v>
      </c>
      <c r="F72" s="33">
        <f>IF(OR(($A72=Settings!$A$30),ISERROR(VLOOKUP($B72,FFTodayData!$P:$Y,7,0))),"",VLOOKUP($B72,FFTodayData!$P:$Y,7,0))</f>
        <v>36</v>
      </c>
      <c r="G72" s="33">
        <f>IF(OR(($A72=Settings!$A$30),ISERROR(VLOOKUP($B72,FFTodayData!$P:$Y,8,0))),"",VLOOKUP($B72,FFTodayData!$P:$Y,8,0))</f>
        <v>314</v>
      </c>
      <c r="H72" s="64">
        <f>IF(OR(($A72=Settings!$A$30),ISERROR(VLOOKUP($B72,FFTodayData!$P:$Y,9,0))),"",VLOOKUP($B72,FFTodayData!$P:$Y,9,0))</f>
        <v>2</v>
      </c>
      <c r="I72" s="117">
        <f>IF(ISERROR(VLOOKUP($A72,ESPNData!$R:$AE,9,0)),"",VLOOKUP($A72,ESPNData!$R:$AE,9,0))</f>
        <v>216</v>
      </c>
      <c r="J72" s="33">
        <f>IF(ISERROR(VLOOKUP($A72,ESPNData!$R:$AE,10,0)),"",VLOOKUP($A72,ESPNData!$R:$AE,10,0))</f>
        <v>1</v>
      </c>
      <c r="K72" s="33">
        <f>IF(ISERROR(VLOOKUP($A72,ESPNData!$R:$AE,11,0)),"",VLOOKUP($A72,ESPNData!$R:$AE,11,0))</f>
        <v>42</v>
      </c>
      <c r="L72" s="33">
        <f>IF(ISERROR(VLOOKUP($A72,ESPNData!$R:$AE,12,0)),"",VLOOKUP($A72,ESPNData!$R:$AE,12,0))</f>
        <v>398</v>
      </c>
      <c r="M72" s="64">
        <f>IF(ISERROR(VLOOKUP($A72,ESPNData!$R:$AE,13,0)),"",VLOOKUP($A72,ESPNData!$R:$AE,13,0))</f>
        <v>0</v>
      </c>
      <c r="N72" s="115">
        <f>IF(OR(($A72=Settings!$A$30),ISERROR(VLOOKUP($B72,SportslineData!$Q:$AB,4,0))),"",VLOOKUP($B72,SportslineData!$Q:$AB,4,0))</f>
        <v>179.5</v>
      </c>
      <c r="O72" s="82">
        <f>IF(OR(($A72=Settings!$A$30),ISERROR(VLOOKUP($B72,SportslineData!$Q:$AB,6,0))),"",ROUND(VLOOKUP($B72,SportslineData!$Q:$AB,6,0),0))</f>
        <v>2</v>
      </c>
      <c r="P72" s="82">
        <f>IF(OR(($A72=Settings!$A$30),ISERROR(VLOOKUP($B72,SportslineData!$Q:$AB,7,0))),"",ROUND(VLOOKUP($B72,SportslineData!$Q:$AB,7,0),0))</f>
        <v>27</v>
      </c>
      <c r="Q72" s="82">
        <f>IF(OR(($A72=Settings!$A$30),ISERROR(VLOOKUP($B72,SportslineData!$Q:$AB,8,0))),"",VLOOKUP($B72,SportslineData!$Q:$AB,8,0))</f>
        <v>236.5</v>
      </c>
      <c r="R72" s="82">
        <f>IF(OR(($A72=Settings!$A$30),ISERROR(VLOOKUP($B72,SportslineData!$Q:$AB,10,0))),"",ROUND(VLOOKUP($B72,SportslineData!$Q:$AB,10,0),0))</f>
        <v>1</v>
      </c>
      <c r="S72" s="74">
        <f>IF(OR(($A72=Settings!$A$30),ISERROR(VLOOKUP($B72,SportslineData!$Q:$AB,11,0))),"",ROUND(VLOOKUP($B72,SportslineData!$Q:$AB,11,0),0))</f>
        <v>0</v>
      </c>
      <c r="T72" s="117"/>
      <c r="U72" s="131">
        <f t="shared" si="10"/>
        <v>9.1241437954473295</v>
      </c>
      <c r="V72" s="38">
        <f>IF(ISERROR(ROUND((((((ROUNDDOWN((D72/5),0)*Settings!$F$7)+(E72*Settings!$I$7))+(F72*Settings!$I$11))+(ROUNDDOWN((G72/5),0)*Settings!$F$11))+(H72*Settings!$F$12)),1)),0,ROUND((((((ROUNDDOWN((D72/5),0)*Settings!$F$7)+(E72*Settings!$I$7))+(F72*Settings!$I$11))+(ROUNDDOWN((G72/5),0)*Settings!$F$11))+(H72*Settings!$F$12)),1))</f>
        <v>89.5</v>
      </c>
      <c r="W72" s="38">
        <f>IF(ISERROR(ROUND((((((ROUNDDOWN((I72/5),0)*Settings!$F$7)+(J72*Settings!$I$7))+(K72*Settings!$I$11))+(ROUNDDOWN((L72/5),0)*Settings!$F$11))+(M72*Settings!$F$12)),1)),0,ROUND((((((ROUNDDOWN((I72/5),0)*Settings!$F$7)+(J72*Settings!$I$7))+(K72*Settings!$I$11))+(ROUNDDOWN((L72/5),0)*Settings!$F$11))+(M72*Settings!$F$12)),1))</f>
        <v>88</v>
      </c>
      <c r="X72" s="38">
        <f>IF(AND((N72=""),(P72="")),0,((((((ROUND((N72/5),0)*Settings!$F$7)+(O72*Settings!$I$7))+(P72*Settings!$I$11))+(ROUND((Q72/5),0)*Settings!$F$11))+(R72*Settings!$F$12))+(S72*Settings!$F$15)))</f>
        <v>73</v>
      </c>
      <c r="Y72" s="66">
        <f>ROUND((((V72*Settings!$B$21)+(W72*Settings!$B$22))+(X72*Settings!$B$23)),1)</f>
        <v>83.4</v>
      </c>
      <c r="Z72" s="66">
        <f>IF(ISERROR(VLOOKUP(RANK(Y72,$Y$4:$Y$182),Z$4:Z71,1,0)),RANK(Y72,$Y$4:$Y$182),IF(ISERROR(VLOOKUP((RANK(Y72,$Y$4:$Y$182)+1),Z$4:Z71,1,0)),(RANK(Y72,$Y$4:$Y$182)+1),IF(ISERROR(VLOOKUP((RANK(Y72,$Y$4:$Y$182)+2),Z$4:Z71,1,0)),(RANK(Y72,$Y$4:$Y$182)+2),(RANK(Y72,$Y$4:$Y$182)+3))))</f>
        <v>51</v>
      </c>
      <c r="AA72" t="str">
        <f t="shared" si="11"/>
        <v>Marcel Reece</v>
      </c>
    </row>
    <row r="73" spans="1:27" ht="12.75" customHeight="1">
      <c r="A73" s="33" t="str">
        <f>ESPNData!R74</f>
        <v>Robert Turbin, Sea RB</v>
      </c>
      <c r="B73" s="33" t="str">
        <f t="shared" si="8"/>
        <v>Robert Turbin</v>
      </c>
      <c r="C73" s="64" t="str">
        <f t="shared" si="9"/>
        <v>SEA</v>
      </c>
      <c r="D73" s="117">
        <f>IF(OR(($A73=Settings!$A$30),ISERROR(VLOOKUP($B73,FFTodayData!$P:$Y,5,0))),"",VLOOKUP($B73,FFTodayData!$P:$Y,5,0))</f>
        <v>409</v>
      </c>
      <c r="E73" s="33">
        <f>IF(OR(($A73=Settings!$A$30),ISERROR(VLOOKUP($B73,FFTodayData!$P:$Y,6,0))),"",VLOOKUP($B73,FFTodayData!$P:$Y,6,0))</f>
        <v>2</v>
      </c>
      <c r="F73" s="33">
        <f>IF(OR(($A73=Settings!$A$30),ISERROR(VLOOKUP($B73,FFTodayData!$P:$Y,7,0))),"",VLOOKUP($B73,FFTodayData!$P:$Y,7,0))</f>
        <v>9</v>
      </c>
      <c r="G73" s="33">
        <f>IF(OR(($A73=Settings!$A$30),ISERROR(VLOOKUP($B73,FFTodayData!$P:$Y,8,0))),"",VLOOKUP($B73,FFTodayData!$P:$Y,8,0))</f>
        <v>65</v>
      </c>
      <c r="H73" s="64">
        <f>IF(OR(($A73=Settings!$A$30),ISERROR(VLOOKUP($B73,FFTodayData!$P:$Y,9,0))),"",VLOOKUP($B73,FFTodayData!$P:$Y,9,0))</f>
        <v>0</v>
      </c>
      <c r="I73" s="117">
        <f>IF(ISERROR(VLOOKUP($A73,ESPNData!$R:$AE,9,0)),"",VLOOKUP($A73,ESPNData!$R:$AE,9,0))</f>
        <v>131</v>
      </c>
      <c r="J73" s="33">
        <f>IF(ISERROR(VLOOKUP($A73,ESPNData!$R:$AE,10,0)),"",VLOOKUP($A73,ESPNData!$R:$AE,10,0))</f>
        <v>1</v>
      </c>
      <c r="K73" s="33">
        <f>IF(ISERROR(VLOOKUP($A73,ESPNData!$R:$AE,11,0)),"",VLOOKUP($A73,ESPNData!$R:$AE,11,0))</f>
        <v>7</v>
      </c>
      <c r="L73" s="33">
        <f>IF(ISERROR(VLOOKUP($A73,ESPNData!$R:$AE,12,0)),"",VLOOKUP($A73,ESPNData!$R:$AE,12,0))</f>
        <v>45</v>
      </c>
      <c r="M73" s="64">
        <f>IF(ISERROR(VLOOKUP($A73,ESPNData!$R:$AE,13,0)),"",VLOOKUP($A73,ESPNData!$R:$AE,13,0))</f>
        <v>0</v>
      </c>
      <c r="N73" s="115">
        <f>IF(OR(($A73=Settings!$A$30),ISERROR(VLOOKUP($B73,SportslineData!$Q:$AB,4,0))),"",VLOOKUP($B73,SportslineData!$Q:$AB,4,0))</f>
        <v>385.5</v>
      </c>
      <c r="O73" s="82">
        <f>IF(OR(($A73=Settings!$A$30),ISERROR(VLOOKUP($B73,SportslineData!$Q:$AB,6,0))),"",ROUND(VLOOKUP($B73,SportslineData!$Q:$AB,6,0),0))</f>
        <v>2</v>
      </c>
      <c r="P73" s="82">
        <f>IF(OR(($A73=Settings!$A$30),ISERROR(VLOOKUP($B73,SportslineData!$Q:$AB,7,0))),"",ROUND(VLOOKUP($B73,SportslineData!$Q:$AB,7,0),0))</f>
        <v>13</v>
      </c>
      <c r="Q73" s="82">
        <f>IF(OR(($A73=Settings!$A$30),ISERROR(VLOOKUP($B73,SportslineData!$Q:$AB,8,0))),"",VLOOKUP($B73,SportslineData!$Q:$AB,8,0))</f>
        <v>118.5</v>
      </c>
      <c r="R73" s="82">
        <f>IF(OR(($A73=Settings!$A$30),ISERROR(VLOOKUP($B73,SportslineData!$Q:$AB,10,0))),"",ROUND(VLOOKUP($B73,SportslineData!$Q:$AB,10,0),0))</f>
        <v>0</v>
      </c>
      <c r="S73" s="74">
        <f>IF(OR(($A73=Settings!$A$30),ISERROR(VLOOKUP($B73,SportslineData!$Q:$AB,11,0))),"",ROUND(VLOOKUP($B73,SportslineData!$Q:$AB,11,0),0))</f>
        <v>1</v>
      </c>
      <c r="T73" s="117"/>
      <c r="U73" s="131">
        <f t="shared" si="10"/>
        <v>22.48518030466585</v>
      </c>
      <c r="V73" s="38">
        <f>IF(ISERROR(ROUND((((((ROUNDDOWN((D73/5),0)*Settings!$F$7)+(E73*Settings!$I$7))+(F73*Settings!$I$11))+(ROUNDDOWN((G73/5),0)*Settings!$F$11))+(H73*Settings!$F$12)),1)),0,ROUND((((((ROUNDDOWN((D73/5),0)*Settings!$F$7)+(E73*Settings!$I$7))+(F73*Settings!$I$11))+(ROUNDDOWN((G73/5),0)*Settings!$F$11))+(H73*Settings!$F$12)),1))</f>
        <v>63.5</v>
      </c>
      <c r="W73" s="38">
        <f>IF(ISERROR(ROUND((((((ROUNDDOWN((I73/5),0)*Settings!$F$7)+(J73*Settings!$I$7))+(K73*Settings!$I$11))+(ROUNDDOWN((L73/5),0)*Settings!$F$11))+(M73*Settings!$F$12)),1)),0,ROUND((((((ROUNDDOWN((I73/5),0)*Settings!$F$7)+(J73*Settings!$I$7))+(K73*Settings!$I$11))+(ROUNDDOWN((L73/5),0)*Settings!$F$11))+(M73*Settings!$F$12)),1))</f>
        <v>27</v>
      </c>
      <c r="X73" s="38">
        <f>IF(AND((N73=""),(P73="")),0,((((((ROUND((N73/5),0)*Settings!$F$7)+(O73*Settings!$I$7))+(P73*Settings!$I$11))+(ROUND((Q73/5),0)*Settings!$F$11))+(R73*Settings!$F$12))+(S73*Settings!$F$15)))</f>
        <v>68</v>
      </c>
      <c r="Y73" s="66">
        <f>ROUND((((V73*Settings!$B$21)+(W73*Settings!$B$22))+(X73*Settings!$B$23)),1)</f>
        <v>53</v>
      </c>
      <c r="Z73" s="66">
        <f>IF(ISERROR(VLOOKUP(RANK(Y73,$Y$4:$Y$182),Z$4:Z72,1,0)),RANK(Y73,$Y$4:$Y$182),IF(ISERROR(VLOOKUP((RANK(Y73,$Y$4:$Y$182)+1),Z$4:Z72,1,0)),(RANK(Y73,$Y$4:$Y$182)+1),IF(ISERROR(VLOOKUP((RANK(Y73,$Y$4:$Y$182)+2),Z$4:Z72,1,0)),(RANK(Y73,$Y$4:$Y$182)+2),(RANK(Y73,$Y$4:$Y$182)+3))))</f>
        <v>65</v>
      </c>
      <c r="AA73" t="str">
        <f t="shared" si="11"/>
        <v>Robert Turbin</v>
      </c>
    </row>
    <row r="74" spans="1:27" ht="12.75" customHeight="1">
      <c r="A74" s="33" t="str">
        <f>ESPNData!R75</f>
        <v>Mike Tolbert, Car RB</v>
      </c>
      <c r="B74" s="33" t="str">
        <f t="shared" si="8"/>
        <v>Mike Tolbert</v>
      </c>
      <c r="C74" s="64" t="str">
        <f t="shared" si="9"/>
        <v>CAR</v>
      </c>
      <c r="D74" s="117">
        <f>IF(OR(($A74=Settings!$A$30),ISERROR(VLOOKUP($B74,FFTodayData!$P:$Y,5,0))),"",VLOOKUP($B74,FFTodayData!$P:$Y,5,0))</f>
        <v>321</v>
      </c>
      <c r="E74" s="33">
        <f>IF(OR(($A74=Settings!$A$30),ISERROR(VLOOKUP($B74,FFTodayData!$P:$Y,6,0))),"",VLOOKUP($B74,FFTodayData!$P:$Y,6,0))</f>
        <v>4</v>
      </c>
      <c r="F74" s="33">
        <f>IF(OR(($A74=Settings!$A$30),ISERROR(VLOOKUP($B74,FFTodayData!$P:$Y,7,0))),"",VLOOKUP($B74,FFTodayData!$P:$Y,7,0))</f>
        <v>26</v>
      </c>
      <c r="G74" s="33">
        <f>IF(OR(($A74=Settings!$A$30),ISERROR(VLOOKUP($B74,FFTodayData!$P:$Y,8,0))),"",VLOOKUP($B74,FFTodayData!$P:$Y,8,0))</f>
        <v>193</v>
      </c>
      <c r="H74" s="64">
        <f>IF(OR(($A74=Settings!$A$30),ISERROR(VLOOKUP($B74,FFTodayData!$P:$Y,9,0))),"",VLOOKUP($B74,FFTodayData!$P:$Y,9,0))</f>
        <v>1</v>
      </c>
      <c r="I74" s="117">
        <f>IF(ISERROR(VLOOKUP($A74,ESPNData!$R:$AE,9,0)),"",VLOOKUP($A74,ESPNData!$R:$AE,9,0))</f>
        <v>273</v>
      </c>
      <c r="J74" s="33">
        <f>IF(ISERROR(VLOOKUP($A74,ESPNData!$R:$AE,10,0)),"",VLOOKUP($A74,ESPNData!$R:$AE,10,0))</f>
        <v>4</v>
      </c>
      <c r="K74" s="33">
        <f>IF(ISERROR(VLOOKUP($A74,ESPNData!$R:$AE,11,0)),"",VLOOKUP($A74,ESPNData!$R:$AE,11,0))</f>
        <v>29</v>
      </c>
      <c r="L74" s="33">
        <f>IF(ISERROR(VLOOKUP($A74,ESPNData!$R:$AE,12,0)),"",VLOOKUP($A74,ESPNData!$R:$AE,12,0))</f>
        <v>167</v>
      </c>
      <c r="M74" s="64">
        <f>IF(ISERROR(VLOOKUP($A74,ESPNData!$R:$AE,13,0)),"",VLOOKUP($A74,ESPNData!$R:$AE,13,0))</f>
        <v>1</v>
      </c>
      <c r="N74" s="115">
        <f>IF(OR(($A74=Settings!$A$30),ISERROR(VLOOKUP($B74,SportslineData!$Q:$AB,4,0))),"",VLOOKUP($B74,SportslineData!$Q:$AB,4,0))</f>
        <v>303.5</v>
      </c>
      <c r="O74" s="82">
        <f>IF(OR(($A74=Settings!$A$30),ISERROR(VLOOKUP($B74,SportslineData!$Q:$AB,6,0))),"",ROUND(VLOOKUP($B74,SportslineData!$Q:$AB,6,0),0))</f>
        <v>4</v>
      </c>
      <c r="P74" s="82">
        <f>IF(OR(($A74=Settings!$A$30),ISERROR(VLOOKUP($B74,SportslineData!$Q:$AB,7,0))),"",ROUND(VLOOKUP($B74,SportslineData!$Q:$AB,7,0),0))</f>
        <v>23</v>
      </c>
      <c r="Q74" s="82">
        <f>IF(OR(($A74=Settings!$A$30),ISERROR(VLOOKUP($B74,SportslineData!$Q:$AB,8,0))),"",VLOOKUP($B74,SportslineData!$Q:$AB,8,0))</f>
        <v>151</v>
      </c>
      <c r="R74" s="82">
        <f>IF(OR(($A74=Settings!$A$30),ISERROR(VLOOKUP($B74,SportslineData!$Q:$AB,10,0))),"",ROUND(VLOOKUP($B74,SportslineData!$Q:$AB,10,0),0))</f>
        <v>1</v>
      </c>
      <c r="S74" s="74">
        <f>IF(OR(($A74=Settings!$A$30),ISERROR(VLOOKUP($B74,SportslineData!$Q:$AB,11,0))),"",ROUND(VLOOKUP($B74,SportslineData!$Q:$AB,11,0),0))</f>
        <v>0</v>
      </c>
      <c r="T74" s="117"/>
      <c r="U74" s="131">
        <f t="shared" si="10"/>
        <v>3.7859388972001824</v>
      </c>
      <c r="V74" s="38">
        <f>IF(ISERROR(ROUND((((((ROUNDDOWN((D74/5),0)*Settings!$F$7)+(E74*Settings!$I$7))+(F74*Settings!$I$11))+(ROUNDDOWN((G74/5),0)*Settings!$F$11))+(H74*Settings!$F$12)),1)),0,ROUND((((((ROUNDDOWN((D74/5),0)*Settings!$F$7)+(E74*Settings!$I$7))+(F74*Settings!$I$11))+(ROUNDDOWN((G74/5),0)*Settings!$F$11))+(H74*Settings!$F$12)),1))</f>
        <v>94</v>
      </c>
      <c r="W74" s="38">
        <f>IF(ISERROR(ROUND((((((ROUNDDOWN((I74/5),0)*Settings!$F$7)+(J74*Settings!$I$7))+(K74*Settings!$I$11))+(ROUNDDOWN((L74/5),0)*Settings!$F$11))+(M74*Settings!$F$12)),1)),0,ROUND((((((ROUNDDOWN((I74/5),0)*Settings!$F$7)+(J74*Settings!$I$7))+(K74*Settings!$I$11))+(ROUNDDOWN((L74/5),0)*Settings!$F$11))+(M74*Settings!$F$12)),1))</f>
        <v>88</v>
      </c>
      <c r="X74" s="38">
        <f>IF(AND((N74=""),(P74="")),0,((((((ROUND((N74/5),0)*Settings!$F$7)+(O74*Settings!$I$7))+(P74*Settings!$I$11))+(ROUND((Q74/5),0)*Settings!$F$11))+(R74*Settings!$F$12))+(S74*Settings!$F$15)))</f>
        <v>87</v>
      </c>
      <c r="Y74" s="66">
        <f>ROUND((((V74*Settings!$B$21)+(W74*Settings!$B$22))+(X74*Settings!$B$23)),1)</f>
        <v>89.6</v>
      </c>
      <c r="Z74" s="66">
        <f>IF(ISERROR(VLOOKUP(RANK(Y74,$Y$4:$Y$182),Z$4:Z73,1,0)),RANK(Y74,$Y$4:$Y$182),IF(ISERROR(VLOOKUP((RANK(Y74,$Y$4:$Y$182)+1),Z$4:Z73,1,0)),(RANK(Y74,$Y$4:$Y$182)+1),IF(ISERROR(VLOOKUP((RANK(Y74,$Y$4:$Y$182)+2),Z$4:Z73,1,0)),(RANK(Y74,$Y$4:$Y$182)+2),(RANK(Y74,$Y$4:$Y$182)+3))))</f>
        <v>48</v>
      </c>
      <c r="AA74" t="str">
        <f t="shared" si="11"/>
        <v>Mike Tolbert</v>
      </c>
    </row>
    <row r="75" spans="1:27" ht="12.75" customHeight="1">
      <c r="A75" s="33" t="str">
        <f>ESPNData!R76</f>
        <v>Brandon Bolden, NE RB</v>
      </c>
      <c r="B75" s="33" t="str">
        <f t="shared" si="8"/>
        <v>Brandon Bolden</v>
      </c>
      <c r="C75" s="64" t="str">
        <f t="shared" si="9"/>
        <v>NE</v>
      </c>
      <c r="D75" s="117" t="str">
        <f>IF(OR(($A75=Settings!$A$30),ISERROR(VLOOKUP($B75,FFTodayData!$P:$Y,5,0))),"",VLOOKUP($B75,FFTodayData!$P:$Y,5,0))</f>
        <v/>
      </c>
      <c r="E75" s="33" t="str">
        <f>IF(OR(($A75=Settings!$A$30),ISERROR(VLOOKUP($B75,FFTodayData!$P:$Y,6,0))),"",VLOOKUP($B75,FFTodayData!$P:$Y,6,0))</f>
        <v/>
      </c>
      <c r="F75" s="33" t="str">
        <f>IF(OR(($A75=Settings!$A$30),ISERROR(VLOOKUP($B75,FFTodayData!$P:$Y,7,0))),"",VLOOKUP($B75,FFTodayData!$P:$Y,7,0))</f>
        <v/>
      </c>
      <c r="G75" s="33" t="str">
        <f>IF(OR(($A75=Settings!$A$30),ISERROR(VLOOKUP($B75,FFTodayData!$P:$Y,8,0))),"",VLOOKUP($B75,FFTodayData!$P:$Y,8,0))</f>
        <v/>
      </c>
      <c r="H75" s="64" t="str">
        <f>IF(OR(($A75=Settings!$A$30),ISERROR(VLOOKUP($B75,FFTodayData!$P:$Y,9,0))),"",VLOOKUP($B75,FFTodayData!$P:$Y,9,0))</f>
        <v/>
      </c>
      <c r="I75" s="117">
        <f>IF(ISERROR(VLOOKUP($A75,ESPNData!$R:$AE,9,0)),"",VLOOKUP($A75,ESPNData!$R:$AE,9,0))</f>
        <v>250</v>
      </c>
      <c r="J75" s="33">
        <f>IF(ISERROR(VLOOKUP($A75,ESPNData!$R:$AE,10,0)),"",VLOOKUP($A75,ESPNData!$R:$AE,10,0))</f>
        <v>2</v>
      </c>
      <c r="K75" s="33">
        <f>IF(ISERROR(VLOOKUP($A75,ESPNData!$R:$AE,11,0)),"",VLOOKUP($A75,ESPNData!$R:$AE,11,0))</f>
        <v>15</v>
      </c>
      <c r="L75" s="33">
        <f>IF(ISERROR(VLOOKUP($A75,ESPNData!$R:$AE,12,0)),"",VLOOKUP($A75,ESPNData!$R:$AE,12,0))</f>
        <v>76</v>
      </c>
      <c r="M75" s="64">
        <f>IF(ISERROR(VLOOKUP($A75,ESPNData!$R:$AE,13,0)),"",VLOOKUP($A75,ESPNData!$R:$AE,13,0))</f>
        <v>0</v>
      </c>
      <c r="N75" s="115">
        <f>IF(OR(($A75=Settings!$A$30),ISERROR(VLOOKUP($B75,SportslineData!$Q:$AB,4,0))),"",VLOOKUP($B75,SportslineData!$Q:$AB,4,0))</f>
        <v>284</v>
      </c>
      <c r="O75" s="82">
        <f>IF(OR(($A75=Settings!$A$30),ISERROR(VLOOKUP($B75,SportslineData!$Q:$AB,6,0))),"",ROUND(VLOOKUP($B75,SportslineData!$Q:$AB,6,0),0))</f>
        <v>2</v>
      </c>
      <c r="P75" s="82">
        <f>IF(OR(($A75=Settings!$A$30),ISERROR(VLOOKUP($B75,SportslineData!$Q:$AB,7,0))),"",ROUND(VLOOKUP($B75,SportslineData!$Q:$AB,7,0),0))</f>
        <v>8</v>
      </c>
      <c r="Q75" s="82">
        <f>IF(OR(($A75=Settings!$A$30),ISERROR(VLOOKUP($B75,SportslineData!$Q:$AB,8,0))),"",VLOOKUP($B75,SportslineData!$Q:$AB,8,0))</f>
        <v>58.5</v>
      </c>
      <c r="R75" s="82">
        <f>IF(OR(($A75=Settings!$A$30),ISERROR(VLOOKUP($B75,SportslineData!$Q:$AB,10,0))),"",ROUND(VLOOKUP($B75,SportslineData!$Q:$AB,10,0),0))</f>
        <v>0</v>
      </c>
      <c r="S75" s="74">
        <f>IF(OR(($A75=Settings!$A$30),ISERROR(VLOOKUP($B75,SportslineData!$Q:$AB,11,0))),"",ROUND(VLOOKUP($B75,SportslineData!$Q:$AB,11,0),0))</f>
        <v>0</v>
      </c>
      <c r="T75" s="117"/>
      <c r="U75" s="131">
        <f t="shared" si="10"/>
        <v>29.598704926623618</v>
      </c>
      <c r="V75" s="38">
        <f>IF(ISERROR(ROUND((((((ROUNDDOWN((D75/5),0)*Settings!$F$7)+(E75*Settings!$I$7))+(F75*Settings!$I$11))+(ROUNDDOWN((G75/5),0)*Settings!$F$11))+(H75*Settings!$F$12)),1)),0,ROUND((((((ROUNDDOWN((D75/5),0)*Settings!$F$7)+(E75*Settings!$I$7))+(F75*Settings!$I$11))+(ROUNDDOWN((G75/5),0)*Settings!$F$11))+(H75*Settings!$F$12)),1))</f>
        <v>0</v>
      </c>
      <c r="W75" s="38">
        <f>IF(ISERROR(ROUND((((((ROUNDDOWN((I75/5),0)*Settings!$F$7)+(J75*Settings!$I$7))+(K75*Settings!$I$11))+(ROUNDDOWN((L75/5),0)*Settings!$F$11))+(M75*Settings!$F$12)),1)),0,ROUND((((((ROUNDDOWN((I75/5),0)*Settings!$F$7)+(J75*Settings!$I$7))+(K75*Settings!$I$11))+(ROUNDDOWN((L75/5),0)*Settings!$F$11))+(M75*Settings!$F$12)),1))</f>
        <v>52</v>
      </c>
      <c r="X75" s="38">
        <f>IF(AND((N75=""),(P75="")),0,((((((ROUND((N75/5),0)*Settings!$F$7)+(O75*Settings!$I$7))+(P75*Settings!$I$11))+(ROUND((Q75/5),0)*Settings!$F$11))+(R75*Settings!$F$12))+(S75*Settings!$F$15)))</f>
        <v>50.5</v>
      </c>
      <c r="Y75" s="66">
        <f>ROUND((((V75*Settings!$B$21)+(W75*Settings!$B$22))+(X75*Settings!$B$23)),1)</f>
        <v>34.299999999999997</v>
      </c>
      <c r="Z75" s="66">
        <f>IF(ISERROR(VLOOKUP(RANK(Y75,$Y$4:$Y$182),Z$4:Z74,1,0)),RANK(Y75,$Y$4:$Y$182),IF(ISERROR(VLOOKUP((RANK(Y75,$Y$4:$Y$182)+1),Z$4:Z74,1,0)),(RANK(Y75,$Y$4:$Y$182)+1),IF(ISERROR(VLOOKUP((RANK(Y75,$Y$4:$Y$182)+2),Z$4:Z74,1,0)),(RANK(Y75,$Y$4:$Y$182)+2),(RANK(Y75,$Y$4:$Y$182)+3))))</f>
        <v>78</v>
      </c>
      <c r="AA75" t="str">
        <f t="shared" si="11"/>
        <v>Brandon Bolden</v>
      </c>
    </row>
    <row r="76" spans="1:27" ht="12.75" customHeight="1">
      <c r="A76" s="33" t="str">
        <f>ESPNData!R77</f>
        <v>Jonathan Grimes, Hou RB</v>
      </c>
      <c r="B76" s="33" t="str">
        <f t="shared" si="8"/>
        <v>Jonathan Grimes</v>
      </c>
      <c r="C76" s="64" t="str">
        <f t="shared" si="9"/>
        <v>HOU</v>
      </c>
      <c r="D76" s="117" t="str">
        <f>IF(OR(($A76=Settings!$A$30),ISERROR(VLOOKUP($B76,FFTodayData!$P:$Y,5,0))),"",VLOOKUP($B76,FFTodayData!$P:$Y,5,0))</f>
        <v/>
      </c>
      <c r="E76" s="33" t="str">
        <f>IF(OR(($A76=Settings!$A$30),ISERROR(VLOOKUP($B76,FFTodayData!$P:$Y,6,0))),"",VLOOKUP($B76,FFTodayData!$P:$Y,6,0))</f>
        <v/>
      </c>
      <c r="F76" s="33" t="str">
        <f>IF(OR(($A76=Settings!$A$30),ISERROR(VLOOKUP($B76,FFTodayData!$P:$Y,7,0))),"",VLOOKUP($B76,FFTodayData!$P:$Y,7,0))</f>
        <v/>
      </c>
      <c r="G76" s="33" t="str">
        <f>IF(OR(($A76=Settings!$A$30),ISERROR(VLOOKUP($B76,FFTodayData!$P:$Y,8,0))),"",VLOOKUP($B76,FFTodayData!$P:$Y,8,0))</f>
        <v/>
      </c>
      <c r="H76" s="64" t="str">
        <f>IF(OR(($A76=Settings!$A$30),ISERROR(VLOOKUP($B76,FFTodayData!$P:$Y,9,0))),"",VLOOKUP($B76,FFTodayData!$P:$Y,9,0))</f>
        <v/>
      </c>
      <c r="I76" s="117">
        <f>IF(ISERROR(VLOOKUP($A76,ESPNData!$R:$AE,9,0)),"",VLOOKUP($A76,ESPNData!$R:$AE,9,0))</f>
        <v>296</v>
      </c>
      <c r="J76" s="33">
        <f>IF(ISERROR(VLOOKUP($A76,ESPNData!$R:$AE,10,0)),"",VLOOKUP($A76,ESPNData!$R:$AE,10,0))</f>
        <v>1</v>
      </c>
      <c r="K76" s="33">
        <f>IF(ISERROR(VLOOKUP($A76,ESPNData!$R:$AE,11,0)),"",VLOOKUP($A76,ESPNData!$R:$AE,11,0))</f>
        <v>9</v>
      </c>
      <c r="L76" s="33">
        <f>IF(ISERROR(VLOOKUP($A76,ESPNData!$R:$AE,12,0)),"",VLOOKUP($A76,ESPNData!$R:$AE,12,0))</f>
        <v>59</v>
      </c>
      <c r="M76" s="64">
        <f>IF(ISERROR(VLOOKUP($A76,ESPNData!$R:$AE,13,0)),"",VLOOKUP($A76,ESPNData!$R:$AE,13,0))</f>
        <v>0</v>
      </c>
      <c r="N76" s="115">
        <f>IF(OR(($A76=Settings!$A$30),ISERROR(VLOOKUP($B76,SportslineData!$Q:$AB,4,0))),"",VLOOKUP($B76,SportslineData!$Q:$AB,4,0))</f>
        <v>534</v>
      </c>
      <c r="O76" s="82">
        <f>IF(OR(($A76=Settings!$A$30),ISERROR(VLOOKUP($B76,SportslineData!$Q:$AB,6,0))),"",ROUND(VLOOKUP($B76,SportslineData!$Q:$AB,6,0),0))</f>
        <v>4</v>
      </c>
      <c r="P76" s="82">
        <f>IF(OR(($A76=Settings!$A$30),ISERROR(VLOOKUP($B76,SportslineData!$Q:$AB,7,0))),"",ROUND(VLOOKUP($B76,SportslineData!$Q:$AB,7,0),0))</f>
        <v>16</v>
      </c>
      <c r="Q76" s="82">
        <f>IF(OR(($A76=Settings!$A$30),ISERROR(VLOOKUP($B76,SportslineData!$Q:$AB,8,0))),"",VLOOKUP($B76,SportslineData!$Q:$AB,8,0))</f>
        <v>120</v>
      </c>
      <c r="R76" s="82">
        <f>IF(OR(($A76=Settings!$A$30),ISERROR(VLOOKUP($B76,SportslineData!$Q:$AB,10,0))),"",ROUND(VLOOKUP($B76,SportslineData!$Q:$AB,10,0),0))</f>
        <v>1</v>
      </c>
      <c r="S76" s="74">
        <f>IF(OR(($A76=Settings!$A$30),ISERROR(VLOOKUP($B76,SportslineData!$Q:$AB,11,0))),"",ROUND(VLOOKUP($B76,SportslineData!$Q:$AB,11,0),0))</f>
        <v>1</v>
      </c>
      <c r="T76" s="117"/>
      <c r="U76" s="131">
        <f t="shared" si="10"/>
        <v>51.357407774666093</v>
      </c>
      <c r="V76" s="38">
        <f>IF(ISERROR(ROUND((((((ROUNDDOWN((D76/5),0)*Settings!$F$7)+(E76*Settings!$I$7))+(F76*Settings!$I$11))+(ROUNDDOWN((G76/5),0)*Settings!$F$11))+(H76*Settings!$F$12)),1)),0,ROUND((((((ROUNDDOWN((D76/5),0)*Settings!$F$7)+(E76*Settings!$I$7))+(F76*Settings!$I$11))+(ROUNDDOWN((G76/5),0)*Settings!$F$11))+(H76*Settings!$F$12)),1))</f>
        <v>0</v>
      </c>
      <c r="W76" s="38">
        <f>IF(ISERROR(ROUND((((((ROUNDDOWN((I76/5),0)*Settings!$F$7)+(J76*Settings!$I$7))+(K76*Settings!$I$11))+(ROUNDDOWN((L76/5),0)*Settings!$F$11))+(M76*Settings!$F$12)),1)),0,ROUND((((((ROUNDDOWN((I76/5),0)*Settings!$F$7)+(J76*Settings!$I$7))+(K76*Settings!$I$11))+(ROUNDDOWN((L76/5),0)*Settings!$F$11))+(M76*Settings!$F$12)),1))</f>
        <v>45.5</v>
      </c>
      <c r="X76" s="38">
        <f>IF(AND((N76=""),(P76="")),0,((((((ROUND((N76/5),0)*Settings!$F$7)+(O76*Settings!$I$7))+(P76*Settings!$I$11))+(ROUND((Q76/5),0)*Settings!$F$11))+(R76*Settings!$F$12))+(S76*Settings!$F$15)))</f>
        <v>102.5</v>
      </c>
      <c r="Y76" s="66">
        <f>ROUND((((V76*Settings!$B$21)+(W76*Settings!$B$22))+(X76*Settings!$B$23)),1)</f>
        <v>49.9</v>
      </c>
      <c r="Z76" s="66">
        <f>IF(ISERROR(VLOOKUP(RANK(Y76,$Y$4:$Y$182),Z$4:Z75,1,0)),RANK(Y76,$Y$4:$Y$182),IF(ISERROR(VLOOKUP((RANK(Y76,$Y$4:$Y$182)+1),Z$4:Z75,1,0)),(RANK(Y76,$Y$4:$Y$182)+1),IF(ISERROR(VLOOKUP((RANK(Y76,$Y$4:$Y$182)+2),Z$4:Z75,1,0)),(RANK(Y76,$Y$4:$Y$182)+2),(RANK(Y76,$Y$4:$Y$182)+3))))</f>
        <v>68</v>
      </c>
      <c r="AA76" t="str">
        <f t="shared" si="11"/>
        <v>Jonathan Grimes</v>
      </c>
    </row>
    <row r="77" spans="1:27" ht="12.75" customHeight="1">
      <c r="A77" s="33" t="str">
        <f>ESPNData!R78</f>
        <v>Bobby Rainey, TB RB</v>
      </c>
      <c r="B77" s="33" t="str">
        <f t="shared" si="8"/>
        <v>Bobby Rainey</v>
      </c>
      <c r="C77" s="64" t="str">
        <f t="shared" si="9"/>
        <v>TB</v>
      </c>
      <c r="D77" s="117" t="str">
        <f>IF(OR(($A77=Settings!$A$30),ISERROR(VLOOKUP($B77,FFTodayData!$P:$Y,5,0))),"",VLOOKUP($B77,FFTodayData!$P:$Y,5,0))</f>
        <v/>
      </c>
      <c r="E77" s="33" t="str">
        <f>IF(OR(($A77=Settings!$A$30),ISERROR(VLOOKUP($B77,FFTodayData!$P:$Y,6,0))),"",VLOOKUP($B77,FFTodayData!$P:$Y,6,0))</f>
        <v/>
      </c>
      <c r="F77" s="33" t="str">
        <f>IF(OR(($A77=Settings!$A$30),ISERROR(VLOOKUP($B77,FFTodayData!$P:$Y,7,0))),"",VLOOKUP($B77,FFTodayData!$P:$Y,7,0))</f>
        <v/>
      </c>
      <c r="G77" s="33" t="str">
        <f>IF(OR(($A77=Settings!$A$30),ISERROR(VLOOKUP($B77,FFTodayData!$P:$Y,8,0))),"",VLOOKUP($B77,FFTodayData!$P:$Y,8,0))</f>
        <v/>
      </c>
      <c r="H77" s="64" t="str">
        <f>IF(OR(($A77=Settings!$A$30),ISERROR(VLOOKUP($B77,FFTodayData!$P:$Y,9,0))),"",VLOOKUP($B77,FFTodayData!$P:$Y,9,0))</f>
        <v/>
      </c>
      <c r="I77" s="117">
        <f>IF(ISERROR(VLOOKUP($A77,ESPNData!$R:$AE,9,0)),"",VLOOKUP($A77,ESPNData!$R:$AE,9,0))</f>
        <v>317</v>
      </c>
      <c r="J77" s="33">
        <f>IF(ISERROR(VLOOKUP($A77,ESPNData!$R:$AE,10,0)),"",VLOOKUP($A77,ESPNData!$R:$AE,10,0))</f>
        <v>0</v>
      </c>
      <c r="K77" s="33">
        <f>IF(ISERROR(VLOOKUP($A77,ESPNData!$R:$AE,11,0)),"",VLOOKUP($A77,ESPNData!$R:$AE,11,0))</f>
        <v>9</v>
      </c>
      <c r="L77" s="33">
        <f>IF(ISERROR(VLOOKUP($A77,ESPNData!$R:$AE,12,0)),"",VLOOKUP($A77,ESPNData!$R:$AE,12,0))</f>
        <v>58</v>
      </c>
      <c r="M77" s="64">
        <f>IF(ISERROR(VLOOKUP($A77,ESPNData!$R:$AE,13,0)),"",VLOOKUP($A77,ESPNData!$R:$AE,13,0))</f>
        <v>0</v>
      </c>
      <c r="N77" s="115">
        <f>IF(OR(($A77=Settings!$A$30),ISERROR(VLOOKUP($B77,SportslineData!$Q:$AB,4,0))),"",VLOOKUP($B77,SportslineData!$Q:$AB,4,0))</f>
        <v>296.5</v>
      </c>
      <c r="O77" s="82">
        <f>IF(OR(($A77=Settings!$A$30),ISERROR(VLOOKUP($B77,SportslineData!$Q:$AB,6,0))),"",ROUND(VLOOKUP($B77,SportslineData!$Q:$AB,6,0),0))</f>
        <v>2</v>
      </c>
      <c r="P77" s="82">
        <f>IF(OR(($A77=Settings!$A$30),ISERROR(VLOOKUP($B77,SportslineData!$Q:$AB,7,0))),"",ROUND(VLOOKUP($B77,SportslineData!$Q:$AB,7,0),0))</f>
        <v>14</v>
      </c>
      <c r="Q77" s="82">
        <f>IF(OR(($A77=Settings!$A$30),ISERROR(VLOOKUP($B77,SportslineData!$Q:$AB,8,0))),"",VLOOKUP($B77,SportslineData!$Q:$AB,8,0))</f>
        <v>104.5</v>
      </c>
      <c r="R77" s="82">
        <f>IF(OR(($A77=Settings!$A$30),ISERROR(VLOOKUP($B77,SportslineData!$Q:$AB,10,0))),"",ROUND(VLOOKUP($B77,SportslineData!$Q:$AB,10,0),0))</f>
        <v>1</v>
      </c>
      <c r="S77" s="74">
        <f>IF(OR(($A77=Settings!$A$30),ISERROR(VLOOKUP($B77,SportslineData!$Q:$AB,11,0))),"",ROUND(VLOOKUP($B77,SportslineData!$Q:$AB,11,0),0))</f>
        <v>0</v>
      </c>
      <c r="T77" s="117"/>
      <c r="U77" s="131">
        <f t="shared" si="10"/>
        <v>32.912763481664676</v>
      </c>
      <c r="V77" s="38">
        <f>IF(ISERROR(ROUND((((((ROUNDDOWN((D77/5),0)*Settings!$F$7)+(E77*Settings!$I$7))+(F77*Settings!$I$11))+(ROUNDDOWN((G77/5),0)*Settings!$F$11))+(H77*Settings!$F$12)),1)),0,ROUND((((((ROUNDDOWN((D77/5),0)*Settings!$F$7)+(E77*Settings!$I$7))+(F77*Settings!$I$11))+(ROUNDDOWN((G77/5),0)*Settings!$F$11))+(H77*Settings!$F$12)),1))</f>
        <v>0</v>
      </c>
      <c r="W77" s="38">
        <f>IF(ISERROR(ROUND((((((ROUNDDOWN((I77/5),0)*Settings!$F$7)+(J77*Settings!$I$7))+(K77*Settings!$I$11))+(ROUNDDOWN((L77/5),0)*Settings!$F$11))+(M77*Settings!$F$12)),1)),0,ROUND((((((ROUNDDOWN((I77/5),0)*Settings!$F$7)+(J77*Settings!$I$7))+(K77*Settings!$I$11))+(ROUNDDOWN((L77/5),0)*Settings!$F$11))+(M77*Settings!$F$12)),1))</f>
        <v>41.5</v>
      </c>
      <c r="X77" s="38">
        <f>IF(AND((N77=""),(P77="")),0,((((((ROUND((N77/5),0)*Settings!$F$7)+(O77*Settings!$I$7))+(P77*Settings!$I$11))+(ROUND((Q77/5),0)*Settings!$F$11))+(R77*Settings!$F$12))+(S77*Settings!$F$15)))</f>
        <v>65</v>
      </c>
      <c r="Y77" s="66">
        <f>ROUND((((V77*Settings!$B$21)+(W77*Settings!$B$22))+(X77*Settings!$B$23)),1)</f>
        <v>35.799999999999997</v>
      </c>
      <c r="Z77" s="66">
        <f>IF(ISERROR(VLOOKUP(RANK(Y77,$Y$4:$Y$182),Z$4:Z76,1,0)),RANK(Y77,$Y$4:$Y$182),IF(ISERROR(VLOOKUP((RANK(Y77,$Y$4:$Y$182)+1),Z$4:Z76,1,0)),(RANK(Y77,$Y$4:$Y$182)+1),IF(ISERROR(VLOOKUP((RANK(Y77,$Y$4:$Y$182)+2),Z$4:Z76,1,0)),(RANK(Y77,$Y$4:$Y$182)+2),(RANK(Y77,$Y$4:$Y$182)+3))))</f>
        <v>76</v>
      </c>
      <c r="AA77" t="str">
        <f t="shared" si="11"/>
        <v>Bobby Rainey</v>
      </c>
    </row>
    <row r="78" spans="1:27" ht="12.75" customHeight="1">
      <c r="A78" s="33" t="str">
        <f>ESPNData!R79</f>
        <v>Stepfan Taylor, Ari RB</v>
      </c>
      <c r="B78" s="33" t="str">
        <f t="shared" si="8"/>
        <v>Stepfan Taylor</v>
      </c>
      <c r="C78" s="64" t="str">
        <f t="shared" si="9"/>
        <v>ARI</v>
      </c>
      <c r="D78" s="117" t="str">
        <f>IF(OR(($A78=Settings!$A$30),ISERROR(VLOOKUP($B78,FFTodayData!$P:$Y,5,0))),"",VLOOKUP($B78,FFTodayData!$P:$Y,5,0))</f>
        <v/>
      </c>
      <c r="E78" s="33" t="str">
        <f>IF(OR(($A78=Settings!$A$30),ISERROR(VLOOKUP($B78,FFTodayData!$P:$Y,6,0))),"",VLOOKUP($B78,FFTodayData!$P:$Y,6,0))</f>
        <v/>
      </c>
      <c r="F78" s="33" t="str">
        <f>IF(OR(($A78=Settings!$A$30),ISERROR(VLOOKUP($B78,FFTodayData!$P:$Y,7,0))),"",VLOOKUP($B78,FFTodayData!$P:$Y,7,0))</f>
        <v/>
      </c>
      <c r="G78" s="33" t="str">
        <f>IF(OR(($A78=Settings!$A$30),ISERROR(VLOOKUP($B78,FFTodayData!$P:$Y,8,0))),"",VLOOKUP($B78,FFTodayData!$P:$Y,8,0))</f>
        <v/>
      </c>
      <c r="H78" s="64" t="str">
        <f>IF(OR(($A78=Settings!$A$30),ISERROR(VLOOKUP($B78,FFTodayData!$P:$Y,9,0))),"",VLOOKUP($B78,FFTodayData!$P:$Y,9,0))</f>
        <v/>
      </c>
      <c r="I78" s="117">
        <f>IF(ISERROR(VLOOKUP($A78,ESPNData!$R:$AE,9,0)),"",VLOOKUP($A78,ESPNData!$R:$AE,9,0))</f>
        <v>211</v>
      </c>
      <c r="J78" s="33">
        <f>IF(ISERROR(VLOOKUP($A78,ESPNData!$R:$AE,10,0)),"",VLOOKUP($A78,ESPNData!$R:$AE,10,0))</f>
        <v>2</v>
      </c>
      <c r="K78" s="33">
        <f>IF(ISERROR(VLOOKUP($A78,ESPNData!$R:$AE,11,0)),"",VLOOKUP($A78,ESPNData!$R:$AE,11,0))</f>
        <v>11</v>
      </c>
      <c r="L78" s="33">
        <f>IF(ISERROR(VLOOKUP($A78,ESPNData!$R:$AE,12,0)),"",VLOOKUP($A78,ESPNData!$R:$AE,12,0))</f>
        <v>70</v>
      </c>
      <c r="M78" s="64">
        <f>IF(ISERROR(VLOOKUP($A78,ESPNData!$R:$AE,13,0)),"",VLOOKUP($A78,ESPNData!$R:$AE,13,0))</f>
        <v>0</v>
      </c>
      <c r="N78" s="115">
        <f>IF(OR(($A78=Settings!$A$30),ISERROR(VLOOKUP($B78,SportslineData!$Q:$AB,4,0))),"",VLOOKUP($B78,SportslineData!$Q:$AB,4,0))</f>
        <v>623.5</v>
      </c>
      <c r="O78" s="82">
        <f>IF(OR(($A78=Settings!$A$30),ISERROR(VLOOKUP($B78,SportslineData!$Q:$AB,6,0))),"",ROUND(VLOOKUP($B78,SportslineData!$Q:$AB,6,0),0))</f>
        <v>5</v>
      </c>
      <c r="P78" s="82">
        <f>IF(OR(($A78=Settings!$A$30),ISERROR(VLOOKUP($B78,SportslineData!$Q:$AB,7,0))),"",ROUND(VLOOKUP($B78,SportslineData!$Q:$AB,7,0),0))</f>
        <v>11</v>
      </c>
      <c r="Q78" s="82">
        <f>IF(OR(($A78=Settings!$A$30),ISERROR(VLOOKUP($B78,SportslineData!$Q:$AB,8,0))),"",VLOOKUP($B78,SportslineData!$Q:$AB,8,0))</f>
        <v>88.5</v>
      </c>
      <c r="R78" s="82">
        <f>IF(OR(($A78=Settings!$A$30),ISERROR(VLOOKUP($B78,SportslineData!$Q:$AB,10,0))),"",ROUND(VLOOKUP($B78,SportslineData!$Q:$AB,10,0),0))</f>
        <v>0</v>
      </c>
      <c r="S78" s="74">
        <f>IF(OR(($A78=Settings!$A$30),ISERROR(VLOOKUP($B78,SportslineData!$Q:$AB,11,0))),"",ROUND(VLOOKUP($B78,SportslineData!$Q:$AB,11,0),0))</f>
        <v>1</v>
      </c>
      <c r="T78" s="117"/>
      <c r="U78" s="131">
        <f t="shared" si="10"/>
        <v>53.17659259486264</v>
      </c>
      <c r="V78" s="38">
        <f>IF(ISERROR(ROUND((((((ROUNDDOWN((D78/5),0)*Settings!$F$7)+(E78*Settings!$I$7))+(F78*Settings!$I$11))+(ROUNDDOWN((G78/5),0)*Settings!$F$11))+(H78*Settings!$F$12)),1)),0,ROUND((((((ROUNDDOWN((D78/5),0)*Settings!$F$7)+(E78*Settings!$I$7))+(F78*Settings!$I$11))+(ROUNDDOWN((G78/5),0)*Settings!$F$11))+(H78*Settings!$F$12)),1))</f>
        <v>0</v>
      </c>
      <c r="W78" s="38">
        <f>IF(ISERROR(ROUND((((((ROUNDDOWN((I78/5),0)*Settings!$F$7)+(J78*Settings!$I$7))+(K78*Settings!$I$11))+(ROUNDDOWN((L78/5),0)*Settings!$F$11))+(M78*Settings!$F$12)),1)),0,ROUND((((((ROUNDDOWN((I78/5),0)*Settings!$F$7)+(J78*Settings!$I$7))+(K78*Settings!$I$11))+(ROUNDDOWN((L78/5),0)*Settings!$F$11))+(M78*Settings!$F$12)),1))</f>
        <v>45.5</v>
      </c>
      <c r="X78" s="38">
        <f>IF(AND((N78=""),(P78="")),0,((((((ROUND((N78/5),0)*Settings!$F$7)+(O78*Settings!$I$7))+(P78*Settings!$I$11))+(ROUND((Q78/5),0)*Settings!$F$11))+(R78*Settings!$F$12))+(S78*Settings!$F$15)))</f>
        <v>106</v>
      </c>
      <c r="Y78" s="66">
        <f>ROUND((((V78*Settings!$B$21)+(W78*Settings!$B$22))+(X78*Settings!$B$23)),1)</f>
        <v>51.1</v>
      </c>
      <c r="Z78" s="66">
        <f>IF(ISERROR(VLOOKUP(RANK(Y78,$Y$4:$Y$182),Z$4:Z77,1,0)),RANK(Y78,$Y$4:$Y$182),IF(ISERROR(VLOOKUP((RANK(Y78,$Y$4:$Y$182)+1),Z$4:Z77,1,0)),(RANK(Y78,$Y$4:$Y$182)+1),IF(ISERROR(VLOOKUP((RANK(Y78,$Y$4:$Y$182)+2),Z$4:Z77,1,0)),(RANK(Y78,$Y$4:$Y$182)+2),(RANK(Y78,$Y$4:$Y$182)+3))))</f>
        <v>67</v>
      </c>
      <c r="AA78" t="str">
        <f t="shared" si="11"/>
        <v>Stepfan Taylor</v>
      </c>
    </row>
    <row r="79" spans="1:27" ht="12.75" customHeight="1">
      <c r="A79" s="33" t="str">
        <f>ESPNData!R80</f>
        <v>Jacquizz Rodgers, Atl RB</v>
      </c>
      <c r="B79" s="33" t="str">
        <f t="shared" si="8"/>
        <v>Jacquizz Rodgers</v>
      </c>
      <c r="C79" s="64" t="str">
        <f t="shared" si="9"/>
        <v>ATL</v>
      </c>
      <c r="D79" s="117">
        <f>IF(OR(($A79=Settings!$A$30),ISERROR(VLOOKUP($B79,FFTodayData!$P:$Y,5,0))),"",VLOOKUP($B79,FFTodayData!$P:$Y,5,0))</f>
        <v>335</v>
      </c>
      <c r="E79" s="33">
        <f>IF(OR(($A79=Settings!$A$30),ISERROR(VLOOKUP($B79,FFTodayData!$P:$Y,6,0))),"",VLOOKUP($B79,FFTodayData!$P:$Y,6,0))</f>
        <v>2</v>
      </c>
      <c r="F79" s="33">
        <f>IF(OR(($A79=Settings!$A$30),ISERROR(VLOOKUP($B79,FFTodayData!$P:$Y,7,0))),"",VLOOKUP($B79,FFTodayData!$P:$Y,7,0))</f>
        <v>37</v>
      </c>
      <c r="G79" s="33">
        <f>IF(OR(($A79=Settings!$A$30),ISERROR(VLOOKUP($B79,FFTodayData!$P:$Y,8,0))),"",VLOOKUP($B79,FFTodayData!$P:$Y,8,0))</f>
        <v>245</v>
      </c>
      <c r="H79" s="64">
        <f>IF(OR(($A79=Settings!$A$30),ISERROR(VLOOKUP($B79,FFTodayData!$P:$Y,9,0))),"",VLOOKUP($B79,FFTodayData!$P:$Y,9,0))</f>
        <v>1</v>
      </c>
      <c r="I79" s="117">
        <f>IF(ISERROR(VLOOKUP($A79,ESPNData!$R:$AE,9,0)),"",VLOOKUP($A79,ESPNData!$R:$AE,9,0))</f>
        <v>145</v>
      </c>
      <c r="J79" s="33">
        <f>IF(ISERROR(VLOOKUP($A79,ESPNData!$R:$AE,10,0)),"",VLOOKUP($A79,ESPNData!$R:$AE,10,0))</f>
        <v>0</v>
      </c>
      <c r="K79" s="33">
        <f>IF(ISERROR(VLOOKUP($A79,ESPNData!$R:$AE,11,0)),"",VLOOKUP($A79,ESPNData!$R:$AE,11,0))</f>
        <v>38</v>
      </c>
      <c r="L79" s="33">
        <f>IF(ISERROR(VLOOKUP($A79,ESPNData!$R:$AE,12,0)),"",VLOOKUP($A79,ESPNData!$R:$AE,12,0))</f>
        <v>287</v>
      </c>
      <c r="M79" s="64">
        <f>IF(ISERROR(VLOOKUP($A79,ESPNData!$R:$AE,13,0)),"",VLOOKUP($A79,ESPNData!$R:$AE,13,0))</f>
        <v>1</v>
      </c>
      <c r="N79" s="115">
        <f>IF(OR(($A79=Settings!$A$30),ISERROR(VLOOKUP($B79,SportslineData!$Q:$AB,4,0))),"",VLOOKUP($B79,SportslineData!$Q:$AB,4,0))</f>
        <v>279.5</v>
      </c>
      <c r="O79" s="82">
        <f>IF(OR(($A79=Settings!$A$30),ISERROR(VLOOKUP($B79,SportslineData!$Q:$AB,6,0))),"",ROUND(VLOOKUP($B79,SportslineData!$Q:$AB,6,0),0))</f>
        <v>1</v>
      </c>
      <c r="P79" s="82">
        <f>IF(OR(($A79=Settings!$A$30),ISERROR(VLOOKUP($B79,SportslineData!$Q:$AB,7,0))),"",ROUND(VLOOKUP($B79,SportslineData!$Q:$AB,7,0),0))</f>
        <v>29</v>
      </c>
      <c r="Q79" s="82">
        <f>IF(OR(($A79=Settings!$A$30),ISERROR(VLOOKUP($B79,SportslineData!$Q:$AB,8,0))),"",VLOOKUP($B79,SportslineData!$Q:$AB,8,0))</f>
        <v>207.5</v>
      </c>
      <c r="R79" s="82">
        <f>IF(OR(($A79=Settings!$A$30),ISERROR(VLOOKUP($B79,SportslineData!$Q:$AB,10,0))),"",ROUND(VLOOKUP($B79,SportslineData!$Q:$AB,10,0),0))</f>
        <v>2</v>
      </c>
      <c r="S79" s="74">
        <f>IF(OR(($A79=Settings!$A$30),ISERROR(VLOOKUP($B79,SportslineData!$Q:$AB,11,0))),"",ROUND(VLOOKUP($B79,SportslineData!$Q:$AB,11,0),0))</f>
        <v>1</v>
      </c>
      <c r="T79" s="117"/>
      <c r="U79" s="131">
        <f t="shared" si="10"/>
        <v>13.257073583562851</v>
      </c>
      <c r="V79" s="38">
        <f>IF(ISERROR(ROUND((((((ROUNDDOWN((D79/5),0)*Settings!$F$7)+(E79*Settings!$I$7))+(F79*Settings!$I$11))+(ROUNDDOWN((G79/5),0)*Settings!$F$11))+(H79*Settings!$F$12)),1)),0,ROUND((((((ROUNDDOWN((D79/5),0)*Settings!$F$7)+(E79*Settings!$I$7))+(F79*Settings!$I$11))+(ROUNDDOWN((G79/5),0)*Settings!$F$11))+(H79*Settings!$F$12)),1))</f>
        <v>94.5</v>
      </c>
      <c r="W79" s="38">
        <f>IF(ISERROR(ROUND((((((ROUNDDOWN((I79/5),0)*Settings!$F$7)+(J79*Settings!$I$7))+(K79*Settings!$I$11))+(ROUNDDOWN((L79/5),0)*Settings!$F$11))+(M79*Settings!$F$12)),1)),0,ROUND((((((ROUNDDOWN((I79/5),0)*Settings!$F$7)+(J79*Settings!$I$7))+(K79*Settings!$I$11))+(ROUNDDOWN((L79/5),0)*Settings!$F$11))+(M79*Settings!$F$12)),1))</f>
        <v>68</v>
      </c>
      <c r="X79" s="38">
        <f>IF(AND((N79=""),(P79="")),0,((((((ROUND((N79/5),0)*Settings!$F$7)+(O79*Settings!$I$7))+(P79*Settings!$I$11))+(ROUND((Q79/5),0)*Settings!$F$11))+(R79*Settings!$F$12))+(S79*Settings!$F$15)))</f>
        <v>80.5</v>
      </c>
      <c r="Y79" s="66">
        <f>ROUND((((V79*Settings!$B$21)+(W79*Settings!$B$22))+(X79*Settings!$B$23)),1)</f>
        <v>81</v>
      </c>
      <c r="Z79" s="66">
        <f>IF(ISERROR(VLOOKUP(RANK(Y79,$Y$4:$Y$182),Z$4:Z78,1,0)),RANK(Y79,$Y$4:$Y$182),IF(ISERROR(VLOOKUP((RANK(Y79,$Y$4:$Y$182)+1),Z$4:Z78,1,0)),(RANK(Y79,$Y$4:$Y$182)+1),IF(ISERROR(VLOOKUP((RANK(Y79,$Y$4:$Y$182)+2),Z$4:Z78,1,0)),(RANK(Y79,$Y$4:$Y$182)+2),(RANK(Y79,$Y$4:$Y$182)+3))))</f>
        <v>53</v>
      </c>
      <c r="AA79" t="str">
        <f t="shared" si="11"/>
        <v>Jacquizz Rodgers</v>
      </c>
    </row>
    <row r="80" spans="1:27" ht="12.75" customHeight="1">
      <c r="A80" s="33" t="str">
        <f>ESPNData!R81</f>
        <v>Jerick McKinnon, Min RB</v>
      </c>
      <c r="B80" s="33" t="str">
        <f t="shared" si="8"/>
        <v>Jerick McKinnon</v>
      </c>
      <c r="C80" s="64" t="str">
        <f t="shared" si="9"/>
        <v>MIN</v>
      </c>
      <c r="D80" s="117" t="str">
        <f>IF(OR(($A80=Settings!$A$30),ISERROR(VLOOKUP($B80,FFTodayData!$P:$Y,5,0))),"",VLOOKUP($B80,FFTodayData!$P:$Y,5,0))</f>
        <v/>
      </c>
      <c r="E80" s="33" t="str">
        <f>IF(OR(($A80=Settings!$A$30),ISERROR(VLOOKUP($B80,FFTodayData!$P:$Y,6,0))),"",VLOOKUP($B80,FFTodayData!$P:$Y,6,0))</f>
        <v/>
      </c>
      <c r="F80" s="33" t="str">
        <f>IF(OR(($A80=Settings!$A$30),ISERROR(VLOOKUP($B80,FFTodayData!$P:$Y,7,0))),"",VLOOKUP($B80,FFTodayData!$P:$Y,7,0))</f>
        <v/>
      </c>
      <c r="G80" s="33" t="str">
        <f>IF(OR(($A80=Settings!$A$30),ISERROR(VLOOKUP($B80,FFTodayData!$P:$Y,8,0))),"",VLOOKUP($B80,FFTodayData!$P:$Y,8,0))</f>
        <v/>
      </c>
      <c r="H80" s="64" t="str">
        <f>IF(OR(($A80=Settings!$A$30),ISERROR(VLOOKUP($B80,FFTodayData!$P:$Y,9,0))),"",VLOOKUP($B80,FFTodayData!$P:$Y,9,0))</f>
        <v/>
      </c>
      <c r="I80" s="117">
        <f>IF(ISERROR(VLOOKUP($A80,ESPNData!$R:$AE,9,0)),"",VLOOKUP($A80,ESPNData!$R:$AE,9,0))</f>
        <v>108</v>
      </c>
      <c r="J80" s="33">
        <f>IF(ISERROR(VLOOKUP($A80,ESPNData!$R:$AE,10,0)),"",VLOOKUP($A80,ESPNData!$R:$AE,10,0))</f>
        <v>1</v>
      </c>
      <c r="K80" s="33">
        <f>IF(ISERROR(VLOOKUP($A80,ESPNData!$R:$AE,11,0)),"",VLOOKUP($A80,ESPNData!$R:$AE,11,0))</f>
        <v>19</v>
      </c>
      <c r="L80" s="33">
        <f>IF(ISERROR(VLOOKUP($A80,ESPNData!$R:$AE,12,0)),"",VLOOKUP($A80,ESPNData!$R:$AE,12,0))</f>
        <v>123</v>
      </c>
      <c r="M80" s="64">
        <f>IF(ISERROR(VLOOKUP($A80,ESPNData!$R:$AE,13,0)),"",VLOOKUP($A80,ESPNData!$R:$AE,13,0))</f>
        <v>1</v>
      </c>
      <c r="N80" s="115">
        <f>IF(OR(($A80=Settings!$A$30),ISERROR(VLOOKUP($B80,SportslineData!$Q:$AB,4,0))),"",VLOOKUP($B80,SportslineData!$Q:$AB,4,0))</f>
        <v>276</v>
      </c>
      <c r="O80" s="82">
        <f>IF(OR(($A80=Settings!$A$30),ISERROR(VLOOKUP($B80,SportslineData!$Q:$AB,6,0))),"",ROUND(VLOOKUP($B80,SportslineData!$Q:$AB,6,0),0))</f>
        <v>2</v>
      </c>
      <c r="P80" s="82">
        <f>IF(OR(($A80=Settings!$A$30),ISERROR(VLOOKUP($B80,SportslineData!$Q:$AB,7,0))),"",ROUND(VLOOKUP($B80,SportslineData!$Q:$AB,7,0),0))</f>
        <v>25</v>
      </c>
      <c r="Q80" s="82">
        <f>IF(OR(($A80=Settings!$A$30),ISERROR(VLOOKUP($B80,SportslineData!$Q:$AB,8,0))),"",VLOOKUP($B80,SportslineData!$Q:$AB,8,0))</f>
        <v>217.5</v>
      </c>
      <c r="R80" s="82">
        <f>IF(OR(($A80=Settings!$A$30),ISERROR(VLOOKUP($B80,SportslineData!$Q:$AB,10,0))),"",ROUND(VLOOKUP($B80,SportslineData!$Q:$AB,10,0),0))</f>
        <v>1</v>
      </c>
      <c r="S80" s="74">
        <f>IF(OR(($A80=Settings!$A$30),ISERROR(VLOOKUP($B80,SportslineData!$Q:$AB,11,0))),"",ROUND(VLOOKUP($B80,SportslineData!$Q:$AB,11,0),0))</f>
        <v>1</v>
      </c>
      <c r="T80" s="117"/>
      <c r="U80" s="131">
        <f t="shared" si="10"/>
        <v>39.585350825778974</v>
      </c>
      <c r="V80" s="38">
        <f>IF(ISERROR(ROUND((((((ROUNDDOWN((D80/5),0)*Settings!$F$7)+(E80*Settings!$I$7))+(F80*Settings!$I$11))+(ROUNDDOWN((G80/5),0)*Settings!$F$11))+(H80*Settings!$F$12)),1)),0,ROUND((((((ROUNDDOWN((D80/5),0)*Settings!$F$7)+(E80*Settings!$I$7))+(F80*Settings!$I$11))+(ROUNDDOWN((G80/5),0)*Settings!$F$11))+(H80*Settings!$F$12)),1))</f>
        <v>0</v>
      </c>
      <c r="W80" s="38">
        <f>IF(ISERROR(ROUND((((((ROUNDDOWN((I80/5),0)*Settings!$F$7)+(J80*Settings!$I$7))+(K80*Settings!$I$11))+(ROUNDDOWN((L80/5),0)*Settings!$F$11))+(M80*Settings!$F$12)),1)),0,ROUND((((((ROUNDDOWN((I80/5),0)*Settings!$F$7)+(J80*Settings!$I$7))+(K80*Settings!$I$11))+(ROUNDDOWN((L80/5),0)*Settings!$F$11))+(M80*Settings!$F$12)),1))</f>
        <v>44</v>
      </c>
      <c r="X80" s="38">
        <f>IF(AND((N80=""),(P80="")),0,((((((ROUND((N80/5),0)*Settings!$F$7)+(O80*Settings!$I$7))+(P80*Settings!$I$11))+(ROUND((Q80/5),0)*Settings!$F$11))+(R80*Settings!$F$12))+(S80*Settings!$F$15)))</f>
        <v>79</v>
      </c>
      <c r="Y80" s="66">
        <f>ROUND((((V80*Settings!$B$21)+(W80*Settings!$B$22))+(X80*Settings!$B$23)),1)</f>
        <v>41.4</v>
      </c>
      <c r="Z80" s="66">
        <f>IF(ISERROR(VLOOKUP(RANK(Y80,$Y$4:$Y$182),Z$4:Z79,1,0)),RANK(Y80,$Y$4:$Y$182),IF(ISERROR(VLOOKUP((RANK(Y80,$Y$4:$Y$182)+1),Z$4:Z79,1,0)),(RANK(Y80,$Y$4:$Y$182)+1),IF(ISERROR(VLOOKUP((RANK(Y80,$Y$4:$Y$182)+2),Z$4:Z79,1,0)),(RANK(Y80,$Y$4:$Y$182)+2),(RANK(Y80,$Y$4:$Y$182)+3))))</f>
        <v>74</v>
      </c>
      <c r="AA80" t="str">
        <f t="shared" si="11"/>
        <v>Jerick McKinnon</v>
      </c>
    </row>
    <row r="81" spans="1:27" ht="12.75" customHeight="1">
      <c r="A81" s="33" t="str">
        <f>ESPNData!R82</f>
        <v>Benny Cunningham, StL RB</v>
      </c>
      <c r="B81" s="33" t="str">
        <f t="shared" si="8"/>
        <v>Benny Cunningham</v>
      </c>
      <c r="C81" s="64" t="str">
        <f t="shared" si="9"/>
        <v>STL</v>
      </c>
      <c r="D81" s="117" t="str">
        <f>IF(OR(($A81=Settings!$A$30),ISERROR(VLOOKUP($B81,FFTodayData!$P:$Y,5,0))),"",VLOOKUP($B81,FFTodayData!$P:$Y,5,0))</f>
        <v/>
      </c>
      <c r="E81" s="33" t="str">
        <f>IF(OR(($A81=Settings!$A$30),ISERROR(VLOOKUP($B81,FFTodayData!$P:$Y,6,0))),"",VLOOKUP($B81,FFTodayData!$P:$Y,6,0))</f>
        <v/>
      </c>
      <c r="F81" s="33" t="str">
        <f>IF(OR(($A81=Settings!$A$30),ISERROR(VLOOKUP($B81,FFTodayData!$P:$Y,7,0))),"",VLOOKUP($B81,FFTodayData!$P:$Y,7,0))</f>
        <v/>
      </c>
      <c r="G81" s="33" t="str">
        <f>IF(OR(($A81=Settings!$A$30),ISERROR(VLOOKUP($B81,FFTodayData!$P:$Y,8,0))),"",VLOOKUP($B81,FFTodayData!$P:$Y,8,0))</f>
        <v/>
      </c>
      <c r="H81" s="64" t="str">
        <f>IF(OR(($A81=Settings!$A$30),ISERROR(VLOOKUP($B81,FFTodayData!$P:$Y,9,0))),"",VLOOKUP($B81,FFTodayData!$P:$Y,9,0))</f>
        <v/>
      </c>
      <c r="I81" s="117">
        <f>IF(ISERROR(VLOOKUP($A81,ESPNData!$R:$AE,9,0)),"",VLOOKUP($A81,ESPNData!$R:$AE,9,0))</f>
        <v>276</v>
      </c>
      <c r="J81" s="33">
        <f>IF(ISERROR(VLOOKUP($A81,ESPNData!$R:$AE,10,0)),"",VLOOKUP($A81,ESPNData!$R:$AE,10,0))</f>
        <v>2</v>
      </c>
      <c r="K81" s="33">
        <f>IF(ISERROR(VLOOKUP($A81,ESPNData!$R:$AE,11,0)),"",VLOOKUP($A81,ESPNData!$R:$AE,11,0))</f>
        <v>6</v>
      </c>
      <c r="L81" s="33">
        <f>IF(ISERROR(VLOOKUP($A81,ESPNData!$R:$AE,12,0)),"",VLOOKUP($A81,ESPNData!$R:$AE,12,0))</f>
        <v>50</v>
      </c>
      <c r="M81" s="64">
        <f>IF(ISERROR(VLOOKUP($A81,ESPNData!$R:$AE,13,0)),"",VLOOKUP($A81,ESPNData!$R:$AE,13,0))</f>
        <v>0</v>
      </c>
      <c r="N81" s="115">
        <f>IF(OR(($A81=Settings!$A$30),ISERROR(VLOOKUP($B81,SportslineData!$Q:$AB,4,0))),"",VLOOKUP($B81,SportslineData!$Q:$AB,4,0))</f>
        <v>204</v>
      </c>
      <c r="O81" s="82">
        <f>IF(OR(($A81=Settings!$A$30),ISERROR(VLOOKUP($B81,SportslineData!$Q:$AB,6,0))),"",ROUND(VLOOKUP($B81,SportslineData!$Q:$AB,6,0),0))</f>
        <v>1</v>
      </c>
      <c r="P81" s="82">
        <f>IF(OR(($A81=Settings!$A$30),ISERROR(VLOOKUP($B81,SportslineData!$Q:$AB,7,0))),"",ROUND(VLOOKUP($B81,SportslineData!$Q:$AB,7,0),0))</f>
        <v>4</v>
      </c>
      <c r="Q81" s="82">
        <f>IF(OR(($A81=Settings!$A$30),ISERROR(VLOOKUP($B81,SportslineData!$Q:$AB,8,0))),"",VLOOKUP($B81,SportslineData!$Q:$AB,8,0))</f>
        <v>29.5</v>
      </c>
      <c r="R81" s="82">
        <f>IF(OR(($A81=Settings!$A$30),ISERROR(VLOOKUP($B81,SportslineData!$Q:$AB,10,0))),"",ROUND(VLOOKUP($B81,SportslineData!$Q:$AB,10,0),0))</f>
        <v>0</v>
      </c>
      <c r="S81" s="74">
        <f>IF(OR(($A81=Settings!$A$30),ISERROR(VLOOKUP($B81,SportslineData!$Q:$AB,11,0))),"",ROUND(VLOOKUP($B81,SportslineData!$Q:$AB,11,0),0))</f>
        <v>1</v>
      </c>
      <c r="T81" s="117"/>
      <c r="U81" s="131">
        <f t="shared" si="10"/>
        <v>24.06761309311748</v>
      </c>
      <c r="V81" s="38">
        <f>IF(ISERROR(ROUND((((((ROUNDDOWN((D81/5),0)*Settings!$F$7)+(E81*Settings!$I$7))+(F81*Settings!$I$11))+(ROUNDDOWN((G81/5),0)*Settings!$F$11))+(H81*Settings!$F$12)),1)),0,ROUND((((((ROUNDDOWN((D81/5),0)*Settings!$F$7)+(E81*Settings!$I$7))+(F81*Settings!$I$11))+(ROUNDDOWN((G81/5),0)*Settings!$F$11))+(H81*Settings!$F$12)),1))</f>
        <v>0</v>
      </c>
      <c r="W81" s="38">
        <f>IF(ISERROR(ROUND((((((ROUNDDOWN((I81/5),0)*Settings!$F$7)+(J81*Settings!$I$7))+(K81*Settings!$I$11))+(ROUNDDOWN((L81/5),0)*Settings!$F$11))+(M81*Settings!$F$12)),1)),0,ROUND((((((ROUNDDOWN((I81/5),0)*Settings!$F$7)+(J81*Settings!$I$7))+(K81*Settings!$I$11))+(ROUNDDOWN((L81/5),0)*Settings!$F$11))+(M81*Settings!$F$12)),1))</f>
        <v>47.5</v>
      </c>
      <c r="X81" s="38">
        <f>IF(AND((N81=""),(P81="")),0,((((((ROUND((N81/5),0)*Settings!$F$7)+(O81*Settings!$I$7))+(P81*Settings!$I$11))+(ROUND((Q81/5),0)*Settings!$F$11))+(R81*Settings!$F$12))+(S81*Settings!$F$15)))</f>
        <v>30.5</v>
      </c>
      <c r="Y81" s="66">
        <f>ROUND((((V81*Settings!$B$21)+(W81*Settings!$B$22))+(X81*Settings!$B$23)),1)</f>
        <v>26</v>
      </c>
      <c r="Z81" s="66">
        <f>IF(ISERROR(VLOOKUP(RANK(Y81,$Y$4:$Y$182),Z$4:Z80,1,0)),RANK(Y81,$Y$4:$Y$182),IF(ISERROR(VLOOKUP((RANK(Y81,$Y$4:$Y$182)+1),Z$4:Z80,1,0)),(RANK(Y81,$Y$4:$Y$182)+1),IF(ISERROR(VLOOKUP((RANK(Y81,$Y$4:$Y$182)+2),Z$4:Z80,1,0)),(RANK(Y81,$Y$4:$Y$182)+2),(RANK(Y81,$Y$4:$Y$182)+3))))</f>
        <v>91</v>
      </c>
      <c r="AA81" t="str">
        <f t="shared" si="11"/>
        <v>Benny Cunningham</v>
      </c>
    </row>
    <row r="82" spans="1:27" ht="12.75" customHeight="1">
      <c r="A82" s="33" t="str">
        <f>ESPNData!R83</f>
        <v>Daniel Thomas, Mia RB  P</v>
      </c>
      <c r="B82" s="33" t="str">
        <f t="shared" si="8"/>
        <v>Daniel Thomas</v>
      </c>
      <c r="C82" s="64" t="str">
        <f t="shared" si="9"/>
        <v>MIA</v>
      </c>
      <c r="D82" s="117" t="str">
        <f>IF(OR(($A82=Settings!$A$30),ISERROR(VLOOKUP($B82,FFTodayData!$P:$Y,5,0))),"",VLOOKUP($B82,FFTodayData!$P:$Y,5,0))</f>
        <v/>
      </c>
      <c r="E82" s="33" t="str">
        <f>IF(OR(($A82=Settings!$A$30),ISERROR(VLOOKUP($B82,FFTodayData!$P:$Y,6,0))),"",VLOOKUP($B82,FFTodayData!$P:$Y,6,0))</f>
        <v/>
      </c>
      <c r="F82" s="33" t="str">
        <f>IF(OR(($A82=Settings!$A$30),ISERROR(VLOOKUP($B82,FFTodayData!$P:$Y,7,0))),"",VLOOKUP($B82,FFTodayData!$P:$Y,7,0))</f>
        <v/>
      </c>
      <c r="G82" s="33" t="str">
        <f>IF(OR(($A82=Settings!$A$30),ISERROR(VLOOKUP($B82,FFTodayData!$P:$Y,8,0))),"",VLOOKUP($B82,FFTodayData!$P:$Y,8,0))</f>
        <v/>
      </c>
      <c r="H82" s="64" t="str">
        <f>IF(OR(($A82=Settings!$A$30),ISERROR(VLOOKUP($B82,FFTodayData!$P:$Y,9,0))),"",VLOOKUP($B82,FFTodayData!$P:$Y,9,0))</f>
        <v/>
      </c>
      <c r="I82" s="117">
        <f>IF(ISERROR(VLOOKUP($A82,ESPNData!$R:$AE,9,0)),"",VLOOKUP($A82,ESPNData!$R:$AE,9,0))</f>
        <v>187</v>
      </c>
      <c r="J82" s="33">
        <f>IF(ISERROR(VLOOKUP($A82,ESPNData!$R:$AE,10,0)),"",VLOOKUP($A82,ESPNData!$R:$AE,10,0))</f>
        <v>1</v>
      </c>
      <c r="K82" s="33">
        <f>IF(ISERROR(VLOOKUP($A82,ESPNData!$R:$AE,11,0)),"",VLOOKUP($A82,ESPNData!$R:$AE,11,0))</f>
        <v>9</v>
      </c>
      <c r="L82" s="33">
        <f>IF(ISERROR(VLOOKUP($A82,ESPNData!$R:$AE,12,0)),"",VLOOKUP($A82,ESPNData!$R:$AE,12,0))</f>
        <v>62</v>
      </c>
      <c r="M82" s="64">
        <f>IF(ISERROR(VLOOKUP($A82,ESPNData!$R:$AE,13,0)),"",VLOOKUP($A82,ESPNData!$R:$AE,13,0))</f>
        <v>0</v>
      </c>
      <c r="N82" s="115">
        <f>IF(OR(($A82=Settings!$A$30),ISERROR(VLOOKUP($B82,SportslineData!$Q:$AB,4,0))),"",VLOOKUP($B82,SportslineData!$Q:$AB,4,0))</f>
        <v>266.5</v>
      </c>
      <c r="O82" s="82">
        <f>IF(OR(($A82=Settings!$A$30),ISERROR(VLOOKUP($B82,SportslineData!$Q:$AB,6,0))),"",ROUND(VLOOKUP($B82,SportslineData!$Q:$AB,6,0),0))</f>
        <v>2</v>
      </c>
      <c r="P82" s="82">
        <f>IF(OR(($A82=Settings!$A$30),ISERROR(VLOOKUP($B82,SportslineData!$Q:$AB,7,0))),"",ROUND(VLOOKUP($B82,SportslineData!$Q:$AB,7,0),0))</f>
        <v>11</v>
      </c>
      <c r="Q82" s="82">
        <f>IF(OR(($A82=Settings!$A$30),ISERROR(VLOOKUP($B82,SportslineData!$Q:$AB,8,0))),"",VLOOKUP($B82,SportslineData!$Q:$AB,8,0))</f>
        <v>76.5</v>
      </c>
      <c r="R82" s="82">
        <f>IF(OR(($A82=Settings!$A$30),ISERROR(VLOOKUP($B82,SportslineData!$Q:$AB,10,0))),"",ROUND(VLOOKUP($B82,SportslineData!$Q:$AB,10,0),0))</f>
        <v>0</v>
      </c>
      <c r="S82" s="74">
        <f>IF(OR(($A82=Settings!$A$30),ISERROR(VLOOKUP($B82,SportslineData!$Q:$AB,11,0))),"",ROUND(VLOOKUP($B82,SportslineData!$Q:$AB,11,0),0))</f>
        <v>1</v>
      </c>
      <c r="T82" s="117"/>
      <c r="U82" s="131">
        <f t="shared" si="10"/>
        <v>25.86986664055306</v>
      </c>
      <c r="V82" s="38">
        <f>IF(ISERROR(ROUND((((((ROUNDDOWN((D82/5),0)*Settings!$F$7)+(E82*Settings!$I$7))+(F82*Settings!$I$11))+(ROUNDDOWN((G82/5),0)*Settings!$F$11))+(H82*Settings!$F$12)),1)),0,ROUND((((((ROUNDDOWN((D82/5),0)*Settings!$F$7)+(E82*Settings!$I$7))+(F82*Settings!$I$11))+(ROUNDDOWN((G82/5),0)*Settings!$F$11))+(H82*Settings!$F$12)),1))</f>
        <v>0</v>
      </c>
      <c r="W82" s="38">
        <f>IF(ISERROR(ROUND((((((ROUNDDOWN((I82/5),0)*Settings!$F$7)+(J82*Settings!$I$7))+(K82*Settings!$I$11))+(ROUNDDOWN((L82/5),0)*Settings!$F$11))+(M82*Settings!$F$12)),1)),0,ROUND((((((ROUNDDOWN((I82/5),0)*Settings!$F$7)+(J82*Settings!$I$7))+(K82*Settings!$I$11))+(ROUNDDOWN((L82/5),0)*Settings!$F$11))+(M82*Settings!$F$12)),1))</f>
        <v>35</v>
      </c>
      <c r="X82" s="38">
        <f>IF(AND((N82=""),(P82="")),0,((((((ROUND((N82/5),0)*Settings!$F$7)+(O82*Settings!$I$7))+(P82*Settings!$I$11))+(ROUND((Q82/5),0)*Settings!$F$11))+(R82*Settings!$F$12))+(S82*Settings!$F$15)))</f>
        <v>50.5</v>
      </c>
      <c r="Y82" s="66">
        <f>ROUND((((V82*Settings!$B$21)+(W82*Settings!$B$22))+(X82*Settings!$B$23)),1)</f>
        <v>28.7</v>
      </c>
      <c r="Z82" s="66">
        <f>IF(ISERROR(VLOOKUP(RANK(Y82,$Y$4:$Y$182),Z$4:Z81,1,0)),RANK(Y82,$Y$4:$Y$182),IF(ISERROR(VLOOKUP((RANK(Y82,$Y$4:$Y$182)+1),Z$4:Z81,1,0)),(RANK(Y82,$Y$4:$Y$182)+1),IF(ISERROR(VLOOKUP((RANK(Y82,$Y$4:$Y$182)+2),Z$4:Z81,1,0)),(RANK(Y82,$Y$4:$Y$182)+2),(RANK(Y82,$Y$4:$Y$182)+3))))</f>
        <v>87</v>
      </c>
      <c r="AA82" t="str">
        <f t="shared" si="11"/>
        <v>Daniel Thomas</v>
      </c>
    </row>
    <row r="83" spans="1:27" ht="12.75" customHeight="1">
      <c r="A83" s="33" t="str">
        <f>ESPNData!R84</f>
        <v>James White, NE RB</v>
      </c>
      <c r="B83" s="33" t="str">
        <f t="shared" si="8"/>
        <v>James White</v>
      </c>
      <c r="C83" s="64" t="str">
        <f t="shared" si="9"/>
        <v>NE</v>
      </c>
      <c r="D83" s="117" t="str">
        <f>IF(OR(($A83=Settings!$A$30),ISERROR(VLOOKUP($B83,FFTodayData!$P:$Y,5,0))),"",VLOOKUP($B83,FFTodayData!$P:$Y,5,0))</f>
        <v/>
      </c>
      <c r="E83" s="33" t="str">
        <f>IF(OR(($A83=Settings!$A$30),ISERROR(VLOOKUP($B83,FFTodayData!$P:$Y,6,0))),"",VLOOKUP($B83,FFTodayData!$P:$Y,6,0))</f>
        <v/>
      </c>
      <c r="F83" s="33" t="str">
        <f>IF(OR(($A83=Settings!$A$30),ISERROR(VLOOKUP($B83,FFTodayData!$P:$Y,7,0))),"",VLOOKUP($B83,FFTodayData!$P:$Y,7,0))</f>
        <v/>
      </c>
      <c r="G83" s="33" t="str">
        <f>IF(OR(($A83=Settings!$A$30),ISERROR(VLOOKUP($B83,FFTodayData!$P:$Y,8,0))),"",VLOOKUP($B83,FFTodayData!$P:$Y,8,0))</f>
        <v/>
      </c>
      <c r="H83" s="64" t="str">
        <f>IF(OR(($A83=Settings!$A$30),ISERROR(VLOOKUP($B83,FFTodayData!$P:$Y,9,0))),"",VLOOKUP($B83,FFTodayData!$P:$Y,9,0))</f>
        <v/>
      </c>
      <c r="I83" s="117">
        <f>IF(ISERROR(VLOOKUP($A83,ESPNData!$R:$AE,9,0)),"",VLOOKUP($A83,ESPNData!$R:$AE,9,0))</f>
        <v>198</v>
      </c>
      <c r="J83" s="33">
        <f>IF(ISERROR(VLOOKUP($A83,ESPNData!$R:$AE,10,0)),"",VLOOKUP($A83,ESPNData!$R:$AE,10,0))</f>
        <v>1</v>
      </c>
      <c r="K83" s="33">
        <f>IF(ISERROR(VLOOKUP($A83,ESPNData!$R:$AE,11,0)),"",VLOOKUP($A83,ESPNData!$R:$AE,11,0))</f>
        <v>13</v>
      </c>
      <c r="L83" s="33">
        <f>IF(ISERROR(VLOOKUP($A83,ESPNData!$R:$AE,12,0)),"",VLOOKUP($A83,ESPNData!$R:$AE,12,0))</f>
        <v>101</v>
      </c>
      <c r="M83" s="64">
        <f>IF(ISERROR(VLOOKUP($A83,ESPNData!$R:$AE,13,0)),"",VLOOKUP($A83,ESPNData!$R:$AE,13,0))</f>
        <v>1</v>
      </c>
      <c r="N83" s="115">
        <f>IF(OR(($A83=Settings!$A$30),ISERROR(VLOOKUP($B83,SportslineData!$Q:$AB,4,0))),"",VLOOKUP($B83,SportslineData!$Q:$AB,4,0))</f>
        <v>462.5</v>
      </c>
      <c r="O83" s="82">
        <f>IF(OR(($A83=Settings!$A$30),ISERROR(VLOOKUP($B83,SportslineData!$Q:$AB,6,0))),"",ROUND(VLOOKUP($B83,SportslineData!$Q:$AB,6,0),0))</f>
        <v>3</v>
      </c>
      <c r="P83" s="82">
        <f>IF(OR(($A83=Settings!$A$30),ISERROR(VLOOKUP($B83,SportslineData!$Q:$AB,7,0))),"",ROUND(VLOOKUP($B83,SportslineData!$Q:$AB,7,0),0))</f>
        <v>22</v>
      </c>
      <c r="Q83" s="82">
        <f>IF(OR(($A83=Settings!$A$30),ISERROR(VLOOKUP($B83,SportslineData!$Q:$AB,8,0))),"",VLOOKUP($B83,SportslineData!$Q:$AB,8,0))</f>
        <v>182</v>
      </c>
      <c r="R83" s="82">
        <f>IF(OR(($A83=Settings!$A$30),ISERROR(VLOOKUP($B83,SportslineData!$Q:$AB,10,0))),"",ROUND(VLOOKUP($B83,SportslineData!$Q:$AB,10,0),0))</f>
        <v>1</v>
      </c>
      <c r="S83" s="74">
        <f>IF(OR(($A83=Settings!$A$30),ISERROR(VLOOKUP($B83,SportslineData!$Q:$AB,11,0))),"",ROUND(VLOOKUP($B83,SportslineData!$Q:$AB,11,0),0))</f>
        <v>0</v>
      </c>
      <c r="T83" s="117"/>
      <c r="U83" s="131">
        <f t="shared" si="10"/>
        <v>49.760258573819065</v>
      </c>
      <c r="V83" s="38">
        <f>IF(ISERROR(ROUND((((((ROUNDDOWN((D83/5),0)*Settings!$F$7)+(E83*Settings!$I$7))+(F83*Settings!$I$11))+(ROUNDDOWN((G83/5),0)*Settings!$F$11))+(H83*Settings!$F$12)),1)),0,ROUND((((((ROUNDDOWN((D83/5),0)*Settings!$F$7)+(E83*Settings!$I$7))+(F83*Settings!$I$11))+(ROUNDDOWN((G83/5),0)*Settings!$F$11))+(H83*Settings!$F$12)),1))</f>
        <v>0</v>
      </c>
      <c r="W83" s="38">
        <f>IF(ISERROR(ROUND((((((ROUNDDOWN((I83/5),0)*Settings!$F$7)+(J83*Settings!$I$7))+(K83*Settings!$I$11))+(ROUNDDOWN((L83/5),0)*Settings!$F$11))+(M83*Settings!$F$12)),1)),0,ROUND((((((ROUNDDOWN((I83/5),0)*Settings!$F$7)+(J83*Settings!$I$7))+(K83*Settings!$I$11))+(ROUNDDOWN((L83/5),0)*Settings!$F$11))+(M83*Settings!$F$12)),1))</f>
        <v>48</v>
      </c>
      <c r="X83" s="38">
        <f>IF(AND((N83=""),(P83="")),0,((((((ROUND((N83/5),0)*Settings!$F$7)+(O83*Settings!$I$7))+(P83*Settings!$I$11))+(ROUND((Q83/5),0)*Settings!$F$11))+(R83*Settings!$F$12))+(S83*Settings!$F$15)))</f>
        <v>99.5</v>
      </c>
      <c r="Y83" s="66">
        <f>ROUND((((V83*Settings!$B$21)+(W83*Settings!$B$22))+(X83*Settings!$B$23)),1)</f>
        <v>49.7</v>
      </c>
      <c r="Z83" s="66">
        <f>IF(ISERROR(VLOOKUP(RANK(Y83,$Y$4:$Y$182),Z$4:Z82,1,0)),RANK(Y83,$Y$4:$Y$182),IF(ISERROR(VLOOKUP((RANK(Y83,$Y$4:$Y$182)+1),Z$4:Z82,1,0)),(RANK(Y83,$Y$4:$Y$182)+1),IF(ISERROR(VLOOKUP((RANK(Y83,$Y$4:$Y$182)+2),Z$4:Z82,1,0)),(RANK(Y83,$Y$4:$Y$182)+2),(RANK(Y83,$Y$4:$Y$182)+3))))</f>
        <v>69</v>
      </c>
      <c r="AA83" t="str">
        <f t="shared" si="11"/>
        <v>James White</v>
      </c>
    </row>
    <row r="84" spans="1:27" ht="12.75" customHeight="1">
      <c r="A84" s="33" t="str">
        <f>ESPNData!R87</f>
        <v>Ronnie Hillman, Den RB</v>
      </c>
      <c r="B84" s="33" t="str">
        <f t="shared" si="8"/>
        <v>Ronnie Hillman</v>
      </c>
      <c r="C84" s="64" t="str">
        <f t="shared" si="9"/>
        <v>DEN</v>
      </c>
      <c r="D84" s="117">
        <f>IF(OR(($A84=Settings!$A$30),ISERROR(VLOOKUP($B84,FFTodayData!$P:$Y,5,0))),"",VLOOKUP($B84,FFTodayData!$P:$Y,5,0))</f>
        <v>445</v>
      </c>
      <c r="E84" s="33">
        <f>IF(OR(($A84=Settings!$A$30),ISERROR(VLOOKUP($B84,FFTodayData!$P:$Y,6,0))),"",VLOOKUP($B84,FFTodayData!$P:$Y,6,0))</f>
        <v>3</v>
      </c>
      <c r="F84" s="33">
        <f>IF(OR(($A84=Settings!$A$30),ISERROR(VLOOKUP($B84,FFTodayData!$P:$Y,7,0))),"",VLOOKUP($B84,FFTodayData!$P:$Y,7,0))</f>
        <v>26</v>
      </c>
      <c r="G84" s="33">
        <f>IF(OR(($A84=Settings!$A$30),ISERROR(VLOOKUP($B84,FFTodayData!$P:$Y,8,0))),"",VLOOKUP($B84,FFTodayData!$P:$Y,8,0))</f>
        <v>176</v>
      </c>
      <c r="H84" s="64">
        <f>IF(OR(($A84=Settings!$A$30),ISERROR(VLOOKUP($B84,FFTodayData!$P:$Y,9,0))),"",VLOOKUP($B84,FFTodayData!$P:$Y,9,0))</f>
        <v>1</v>
      </c>
      <c r="I84" s="117">
        <f>IF(ISERROR(VLOOKUP($A84,ESPNData!$R:$AE,9,0)),"",VLOOKUP($A84,ESPNData!$R:$AE,9,0))</f>
        <v>277</v>
      </c>
      <c r="J84" s="33">
        <f>IF(ISERROR(VLOOKUP($A84,ESPNData!$R:$AE,10,0)),"",VLOOKUP($A84,ESPNData!$R:$AE,10,0))</f>
        <v>0</v>
      </c>
      <c r="K84" s="33">
        <f>IF(ISERROR(VLOOKUP($A84,ESPNData!$R:$AE,11,0)),"",VLOOKUP($A84,ESPNData!$R:$AE,11,0))</f>
        <v>27</v>
      </c>
      <c r="L84" s="33">
        <f>IF(ISERROR(VLOOKUP($A84,ESPNData!$R:$AE,12,0)),"",VLOOKUP($A84,ESPNData!$R:$AE,12,0))</f>
        <v>204</v>
      </c>
      <c r="M84" s="64">
        <f>IF(ISERROR(VLOOKUP($A84,ESPNData!$R:$AE,13,0)),"",VLOOKUP($A84,ESPNData!$R:$AE,13,0))</f>
        <v>0</v>
      </c>
      <c r="N84" s="115">
        <f>IF(OR(($A84=Settings!$A$30),ISERROR(VLOOKUP($B84,SportslineData!$Q:$AB,4,0))),"",VLOOKUP($B84,SportslineData!$Q:$AB,4,0))</f>
        <v>424</v>
      </c>
      <c r="O84" s="82">
        <f>IF(OR(($A84=Settings!$A$30),ISERROR(VLOOKUP($B84,SportslineData!$Q:$AB,6,0))),"",ROUND(VLOOKUP($B84,SportslineData!$Q:$AB,6,0),0))</f>
        <v>4</v>
      </c>
      <c r="P84" s="82">
        <f>IF(OR(($A84=Settings!$A$30),ISERROR(VLOOKUP($B84,SportslineData!$Q:$AB,7,0))),"",ROUND(VLOOKUP($B84,SportslineData!$Q:$AB,7,0),0))</f>
        <v>18</v>
      </c>
      <c r="Q84" s="82">
        <f>IF(OR(($A84=Settings!$A$30),ISERROR(VLOOKUP($B84,SportslineData!$Q:$AB,8,0))),"",VLOOKUP($B84,SportslineData!$Q:$AB,8,0))</f>
        <v>156</v>
      </c>
      <c r="R84" s="82">
        <f>IF(OR(($A84=Settings!$A$30),ISERROR(VLOOKUP($B84,SportslineData!$Q:$AB,10,0))),"",ROUND(VLOOKUP($B84,SportslineData!$Q:$AB,10,0),0))</f>
        <v>1</v>
      </c>
      <c r="S84" s="74">
        <f>IF(OR(($A84=Settings!$A$30),ISERROR(VLOOKUP($B84,SportslineData!$Q:$AB,11,0))),"",ROUND(VLOOKUP($B84,SportslineData!$Q:$AB,11,0),0))</f>
        <v>1</v>
      </c>
      <c r="T84" s="117"/>
      <c r="U84" s="131">
        <f t="shared" si="10"/>
        <v>21.126602503321113</v>
      </c>
      <c r="V84" s="38">
        <f>IF(ISERROR(ROUND((((((ROUNDDOWN((D84/5),0)*Settings!$F$7)+(E84*Settings!$I$7))+(F84*Settings!$I$11))+(ROUNDDOWN((G84/5),0)*Settings!$F$11))+(H84*Settings!$F$12)),1)),0,ROUND((((((ROUNDDOWN((D84/5),0)*Settings!$F$7)+(E84*Settings!$I$7))+(F84*Settings!$I$11))+(ROUNDDOWN((G84/5),0)*Settings!$F$11))+(H84*Settings!$F$12)),1))</f>
        <v>99</v>
      </c>
      <c r="W84" s="38">
        <f>IF(ISERROR(ROUND((((((ROUNDDOWN((I84/5),0)*Settings!$F$7)+(J84*Settings!$I$7))+(K84*Settings!$I$11))+(ROUNDDOWN((L84/5),0)*Settings!$F$11))+(M84*Settings!$F$12)),1)),0,ROUND((((((ROUNDDOWN((I84/5),0)*Settings!$F$7)+(J84*Settings!$I$7))+(K84*Settings!$I$11))+(ROUNDDOWN((L84/5),0)*Settings!$F$11))+(M84*Settings!$F$12)),1))</f>
        <v>61</v>
      </c>
      <c r="X84" s="38">
        <f>IF(AND((N84=""),(P84="")),0,((((((ROUND((N84/5),0)*Settings!$F$7)+(O84*Settings!$I$7))+(P84*Settings!$I$11))+(ROUND((Q84/5),0)*Settings!$F$11))+(R84*Settings!$F$12))+(S84*Settings!$F$15)))</f>
        <v>96</v>
      </c>
      <c r="Y84" s="66">
        <f>ROUND((((V84*Settings!$B$21)+(W84*Settings!$B$22))+(X84*Settings!$B$23)),1)</f>
        <v>85.4</v>
      </c>
      <c r="Z84" s="66">
        <f>IF(ISERROR(VLOOKUP(RANK(Y84,$Y$4:$Y$182),Z$4:Z83,1,0)),RANK(Y84,$Y$4:$Y$182),IF(ISERROR(VLOOKUP((RANK(Y84,$Y$4:$Y$182)+1),Z$4:Z83,1,0)),(RANK(Y84,$Y$4:$Y$182)+1),IF(ISERROR(VLOOKUP((RANK(Y84,$Y$4:$Y$182)+2),Z$4:Z83,1,0)),(RANK(Y84,$Y$4:$Y$182)+2),(RANK(Y84,$Y$4:$Y$182)+3))))</f>
        <v>50</v>
      </c>
      <c r="AA84" t="str">
        <f t="shared" si="11"/>
        <v>Ronnie Hillman</v>
      </c>
    </row>
    <row r="85" spans="1:27" ht="12.75" customHeight="1">
      <c r="A85" s="33" t="str">
        <f>ESPNData!R88</f>
        <v>Andre Brown, Hou RB</v>
      </c>
      <c r="B85" s="33" t="str">
        <f t="shared" si="8"/>
        <v>Andre Brown</v>
      </c>
      <c r="C85" s="64" t="str">
        <f t="shared" si="9"/>
        <v>HOU</v>
      </c>
      <c r="D85" s="117" t="str">
        <f>IF(OR(($A85=Settings!$A$30),ISERROR(VLOOKUP($B85,FFTodayData!$P:$Y,5,0))),"",VLOOKUP($B85,FFTodayData!$P:$Y,5,0))</f>
        <v/>
      </c>
      <c r="E85" s="33" t="str">
        <f>IF(OR(($A85=Settings!$A$30),ISERROR(VLOOKUP($B85,FFTodayData!$P:$Y,6,0))),"",VLOOKUP($B85,FFTodayData!$P:$Y,6,0))</f>
        <v/>
      </c>
      <c r="F85" s="33" t="str">
        <f>IF(OR(($A85=Settings!$A$30),ISERROR(VLOOKUP($B85,FFTodayData!$P:$Y,7,0))),"",VLOOKUP($B85,FFTodayData!$P:$Y,7,0))</f>
        <v/>
      </c>
      <c r="G85" s="33" t="str">
        <f>IF(OR(($A85=Settings!$A$30),ISERROR(VLOOKUP($B85,FFTodayData!$P:$Y,8,0))),"",VLOOKUP($B85,FFTodayData!$P:$Y,8,0))</f>
        <v/>
      </c>
      <c r="H85" s="64" t="str">
        <f>IF(OR(($A85=Settings!$A$30),ISERROR(VLOOKUP($B85,FFTodayData!$P:$Y,9,0))),"",VLOOKUP($B85,FFTodayData!$P:$Y,9,0))</f>
        <v/>
      </c>
      <c r="I85" s="117">
        <f>IF(ISERROR(VLOOKUP($A85,ESPNData!$R:$AE,9,0)),"",VLOOKUP($A85,ESPNData!$R:$AE,9,0))</f>
        <v>163</v>
      </c>
      <c r="J85" s="33">
        <f>IF(ISERROR(VLOOKUP($A85,ESPNData!$R:$AE,10,0)),"",VLOOKUP($A85,ESPNData!$R:$AE,10,0))</f>
        <v>2</v>
      </c>
      <c r="K85" s="33">
        <f>IF(ISERROR(VLOOKUP($A85,ESPNData!$R:$AE,11,0)),"",VLOOKUP($A85,ESPNData!$R:$AE,11,0))</f>
        <v>11</v>
      </c>
      <c r="L85" s="33">
        <f>IF(ISERROR(VLOOKUP($A85,ESPNData!$R:$AE,12,0)),"",VLOOKUP($A85,ESPNData!$R:$AE,12,0))</f>
        <v>59</v>
      </c>
      <c r="M85" s="64">
        <f>IF(ISERROR(VLOOKUP($A85,ESPNData!$R:$AE,13,0)),"",VLOOKUP($A85,ESPNData!$R:$AE,13,0))</f>
        <v>0</v>
      </c>
      <c r="N85" s="115" t="str">
        <f>IF(OR(($A85=Settings!$A$30),ISERROR(VLOOKUP($B85,SportslineData!$Q:$AB,4,0))),"",VLOOKUP($B85,SportslineData!$Q:$AB,4,0))</f>
        <v/>
      </c>
      <c r="O85" s="82" t="str">
        <f>IF(OR(($A85=Settings!$A$30),ISERROR(VLOOKUP($B85,SportslineData!$Q:$AB,6,0))),"",ROUND(VLOOKUP($B85,SportslineData!$Q:$AB,6,0),0))</f>
        <v/>
      </c>
      <c r="P85" s="82" t="str">
        <f>IF(OR(($A85=Settings!$A$30),ISERROR(VLOOKUP($B85,SportslineData!$Q:$AB,7,0))),"",ROUND(VLOOKUP($B85,SportslineData!$Q:$AB,7,0),0))</f>
        <v/>
      </c>
      <c r="Q85" s="82" t="str">
        <f>IF(OR(($A85=Settings!$A$30),ISERROR(VLOOKUP($B85,SportslineData!$Q:$AB,8,0))),"",VLOOKUP($B85,SportslineData!$Q:$AB,8,0))</f>
        <v/>
      </c>
      <c r="R85" s="82" t="str">
        <f>IF(OR(($A85=Settings!$A$30),ISERROR(VLOOKUP($B85,SportslineData!$Q:$AB,10,0))),"",ROUND(VLOOKUP($B85,SportslineData!$Q:$AB,10,0),0))</f>
        <v/>
      </c>
      <c r="S85" s="74" t="str">
        <f>IF(OR(($A85=Settings!$A$30),ISERROR(VLOOKUP($B85,SportslineData!$Q:$AB,11,0))),"",ROUND(VLOOKUP($B85,SportslineData!$Q:$AB,11,0),0))</f>
        <v/>
      </c>
      <c r="T85" s="117"/>
      <c r="U85" s="131">
        <f t="shared" si="10"/>
        <v>22.516660498395403</v>
      </c>
      <c r="V85" s="38">
        <f>IF(ISERROR(ROUND((((((ROUNDDOWN((D85/5),0)*Settings!$F$7)+(E85*Settings!$I$7))+(F85*Settings!$I$11))+(ROUNDDOWN((G85/5),0)*Settings!$F$11))+(H85*Settings!$F$12)),1)),0,ROUND((((((ROUNDDOWN((D85/5),0)*Settings!$F$7)+(E85*Settings!$I$7))+(F85*Settings!$I$11))+(ROUNDDOWN((G85/5),0)*Settings!$F$11))+(H85*Settings!$F$12)),1))</f>
        <v>0</v>
      </c>
      <c r="W85" s="38">
        <f>IF(ISERROR(ROUND((((((ROUNDDOWN((I85/5),0)*Settings!$F$7)+(J85*Settings!$I$7))+(K85*Settings!$I$11))+(ROUNDDOWN((L85/5),0)*Settings!$F$11))+(M85*Settings!$F$12)),1)),0,ROUND((((((ROUNDDOWN((I85/5),0)*Settings!$F$7)+(J85*Settings!$I$7))+(K85*Settings!$I$11))+(ROUNDDOWN((L85/5),0)*Settings!$F$11))+(M85*Settings!$F$12)),1))</f>
        <v>39</v>
      </c>
      <c r="X85" s="38">
        <f>IF(AND((N85=""),(P85="")),0,((((((ROUND((N85/5),0)*Settings!$F$7)+(O85*Settings!$I$7))+(P85*Settings!$I$11))+(ROUND((Q85/5),0)*Settings!$F$11))+(R85*Settings!$F$12))+(S85*Settings!$F$15)))</f>
        <v>0</v>
      </c>
      <c r="Y85" s="66">
        <f>ROUND((((V85*Settings!$B$21)+(W85*Settings!$B$22))+(X85*Settings!$B$23)),1)</f>
        <v>12.9</v>
      </c>
      <c r="Z85" s="66">
        <f>IF(ISERROR(VLOOKUP(RANK(Y85,$Y$4:$Y$182),Z$4:Z84,1,0)),RANK(Y85,$Y$4:$Y$182),IF(ISERROR(VLOOKUP((RANK(Y85,$Y$4:$Y$182)+1),Z$4:Z84,1,0)),(RANK(Y85,$Y$4:$Y$182)+1),IF(ISERROR(VLOOKUP((RANK(Y85,$Y$4:$Y$182)+2),Z$4:Z84,1,0)),(RANK(Y85,$Y$4:$Y$182)+2),(RANK(Y85,$Y$4:$Y$182)+3))))</f>
        <v>107</v>
      </c>
      <c r="AA85" t="str">
        <f t="shared" si="11"/>
        <v>Andre Brown</v>
      </c>
    </row>
    <row r="86" spans="1:27" ht="12.75" customHeight="1">
      <c r="A86" s="33" t="str">
        <f>ESPNData!R89</f>
        <v>Isaiah Crowell, Cle RB</v>
      </c>
      <c r="B86" s="33" t="str">
        <f t="shared" si="8"/>
        <v>Isaiah Crowell</v>
      </c>
      <c r="C86" s="64" t="str">
        <f t="shared" si="9"/>
        <v>CLE</v>
      </c>
      <c r="D86" s="117" t="str">
        <f>IF(OR(($A86=Settings!$A$30),ISERROR(VLOOKUP($B86,FFTodayData!$P:$Y,5,0))),"",VLOOKUP($B86,FFTodayData!$P:$Y,5,0))</f>
        <v/>
      </c>
      <c r="E86" s="33" t="str">
        <f>IF(OR(($A86=Settings!$A$30),ISERROR(VLOOKUP($B86,FFTodayData!$P:$Y,6,0))),"",VLOOKUP($B86,FFTodayData!$P:$Y,6,0))</f>
        <v/>
      </c>
      <c r="F86" s="33" t="str">
        <f>IF(OR(($A86=Settings!$A$30),ISERROR(VLOOKUP($B86,FFTodayData!$P:$Y,7,0))),"",VLOOKUP($B86,FFTodayData!$P:$Y,7,0))</f>
        <v/>
      </c>
      <c r="G86" s="33" t="str">
        <f>IF(OR(($A86=Settings!$A$30),ISERROR(VLOOKUP($B86,FFTodayData!$P:$Y,8,0))),"",VLOOKUP($B86,FFTodayData!$P:$Y,8,0))</f>
        <v/>
      </c>
      <c r="H86" s="64" t="str">
        <f>IF(OR(($A86=Settings!$A$30),ISERROR(VLOOKUP($B86,FFTodayData!$P:$Y,9,0))),"",VLOOKUP($B86,FFTodayData!$P:$Y,9,0))</f>
        <v/>
      </c>
      <c r="I86" s="117">
        <f>IF(ISERROR(VLOOKUP($A86,ESPNData!$R:$AE,9,0)),"",VLOOKUP($A86,ESPNData!$R:$AE,9,0))</f>
        <v>149</v>
      </c>
      <c r="J86" s="33">
        <f>IF(ISERROR(VLOOKUP($A86,ESPNData!$R:$AE,10,0)),"",VLOOKUP($A86,ESPNData!$R:$AE,10,0))</f>
        <v>1</v>
      </c>
      <c r="K86" s="33">
        <f>IF(ISERROR(VLOOKUP($A86,ESPNData!$R:$AE,11,0)),"",VLOOKUP($A86,ESPNData!$R:$AE,11,0))</f>
        <v>11</v>
      </c>
      <c r="L86" s="33">
        <f>IF(ISERROR(VLOOKUP($A86,ESPNData!$R:$AE,12,0)),"",VLOOKUP($A86,ESPNData!$R:$AE,12,0))</f>
        <v>68</v>
      </c>
      <c r="M86" s="64">
        <f>IF(ISERROR(VLOOKUP($A86,ESPNData!$R:$AE,13,0)),"",VLOOKUP($A86,ESPNData!$R:$AE,13,0))</f>
        <v>0</v>
      </c>
      <c r="N86" s="115">
        <f>IF(OR(($A86=Settings!$A$30),ISERROR(VLOOKUP($B86,SportslineData!$Q:$AB,4,0))),"",VLOOKUP($B86,SportslineData!$Q:$AB,4,0))</f>
        <v>293.5</v>
      </c>
      <c r="O86" s="82">
        <f>IF(OR(($A86=Settings!$A$30),ISERROR(VLOOKUP($B86,SportslineData!$Q:$AB,6,0))),"",ROUND(VLOOKUP($B86,SportslineData!$Q:$AB,6,0),0))</f>
        <v>1</v>
      </c>
      <c r="P86" s="82">
        <f>IF(OR(($A86=Settings!$A$30),ISERROR(VLOOKUP($B86,SportslineData!$Q:$AB,7,0))),"",ROUND(VLOOKUP($B86,SportslineData!$Q:$AB,7,0),0))</f>
        <v>10</v>
      </c>
      <c r="Q86" s="82">
        <f>IF(OR(($A86=Settings!$A$30),ISERROR(VLOOKUP($B86,SportslineData!$Q:$AB,8,0))),"",VLOOKUP($B86,SportslineData!$Q:$AB,8,0))</f>
        <v>67.5</v>
      </c>
      <c r="R86" s="82">
        <f>IF(OR(($A86=Settings!$A$30),ISERROR(VLOOKUP($B86,SportslineData!$Q:$AB,10,0))),"",ROUND(VLOOKUP($B86,SportslineData!$Q:$AB,10,0),0))</f>
        <v>0</v>
      </c>
      <c r="S86" s="74">
        <f>IF(OR(($A86=Settings!$A$30),ISERROR(VLOOKUP($B86,SportslineData!$Q:$AB,11,0))),"",ROUND(VLOOKUP($B86,SportslineData!$Q:$AB,11,0),0))</f>
        <v>0</v>
      </c>
      <c r="T86" s="117"/>
      <c r="U86" s="131">
        <f t="shared" si="10"/>
        <v>24.281337140555774</v>
      </c>
      <c r="V86" s="38">
        <f>IF(ISERROR(ROUND((((((ROUNDDOWN((D86/5),0)*Settings!$F$7)+(E86*Settings!$I$7))+(F86*Settings!$I$11))+(ROUNDDOWN((G86/5),0)*Settings!$F$11))+(H86*Settings!$F$12)),1)),0,ROUND((((((ROUNDDOWN((D86/5),0)*Settings!$F$7)+(E86*Settings!$I$7))+(F86*Settings!$I$11))+(ROUNDDOWN((G86/5),0)*Settings!$F$11))+(H86*Settings!$F$12)),1))</f>
        <v>0</v>
      </c>
      <c r="W86" s="38">
        <f>IF(ISERROR(ROUND((((((ROUNDDOWN((I86/5),0)*Settings!$F$7)+(J86*Settings!$I$7))+(K86*Settings!$I$11))+(ROUNDDOWN((L86/5),0)*Settings!$F$11))+(M86*Settings!$F$12)),1)),0,ROUND((((((ROUNDDOWN((I86/5),0)*Settings!$F$7)+(J86*Settings!$I$7))+(K86*Settings!$I$11))+(ROUNDDOWN((L86/5),0)*Settings!$F$11))+(M86*Settings!$F$12)),1))</f>
        <v>32.5</v>
      </c>
      <c r="X86" s="38">
        <f>IF(AND((N86=""),(P86="")),0,((((((ROUND((N86/5),0)*Settings!$F$7)+(O86*Settings!$I$7))+(P86*Settings!$I$11))+(ROUND((Q86/5),0)*Settings!$F$11))+(R86*Settings!$F$12))+(S86*Settings!$F$15)))</f>
        <v>47.5</v>
      </c>
      <c r="Y86" s="66">
        <f>ROUND((((V86*Settings!$B$21)+(W86*Settings!$B$22))+(X86*Settings!$B$23)),1)</f>
        <v>26.9</v>
      </c>
      <c r="Z86" s="66">
        <f>IF(ISERROR(VLOOKUP(RANK(Y86,$Y$4:$Y$182),Z$4:Z85,1,0)),RANK(Y86,$Y$4:$Y$182),IF(ISERROR(VLOOKUP((RANK(Y86,$Y$4:$Y$182)+1),Z$4:Z85,1,0)),(RANK(Y86,$Y$4:$Y$182)+1),IF(ISERROR(VLOOKUP((RANK(Y86,$Y$4:$Y$182)+2),Z$4:Z85,1,0)),(RANK(Y86,$Y$4:$Y$182)+2),(RANK(Y86,$Y$4:$Y$182)+3))))</f>
        <v>90</v>
      </c>
      <c r="AA86" t="str">
        <f t="shared" si="11"/>
        <v>Isaiah Crowell</v>
      </c>
    </row>
    <row r="87" spans="1:27" ht="12.75" customHeight="1">
      <c r="A87" s="33" t="str">
        <f>ESPNData!R90</f>
        <v>Denard Robinson, Jac RB</v>
      </c>
      <c r="B87" s="33" t="str">
        <f t="shared" si="8"/>
        <v>Denard Robinson</v>
      </c>
      <c r="C87" s="64" t="str">
        <f t="shared" si="9"/>
        <v>JAC</v>
      </c>
      <c r="D87" s="117" t="str">
        <f>IF(OR(($A87=Settings!$A$30),ISERROR(VLOOKUP($B87,FFTodayData!$P:$Y,5,0))),"",VLOOKUP($B87,FFTodayData!$P:$Y,5,0))</f>
        <v/>
      </c>
      <c r="E87" s="33" t="str">
        <f>IF(OR(($A87=Settings!$A$30),ISERROR(VLOOKUP($B87,FFTodayData!$P:$Y,6,0))),"",VLOOKUP($B87,FFTodayData!$P:$Y,6,0))</f>
        <v/>
      </c>
      <c r="F87" s="33" t="str">
        <f>IF(OR(($A87=Settings!$A$30),ISERROR(VLOOKUP($B87,FFTodayData!$P:$Y,7,0))),"",VLOOKUP($B87,FFTodayData!$P:$Y,7,0))</f>
        <v/>
      </c>
      <c r="G87" s="33" t="str">
        <f>IF(OR(($A87=Settings!$A$30),ISERROR(VLOOKUP($B87,FFTodayData!$P:$Y,8,0))),"",VLOOKUP($B87,FFTodayData!$P:$Y,8,0))</f>
        <v/>
      </c>
      <c r="H87" s="64" t="str">
        <f>IF(OR(($A87=Settings!$A$30),ISERROR(VLOOKUP($B87,FFTodayData!$P:$Y,9,0))),"",VLOOKUP($B87,FFTodayData!$P:$Y,9,0))</f>
        <v/>
      </c>
      <c r="I87" s="117">
        <f>IF(ISERROR(VLOOKUP($A87,ESPNData!$R:$AE,9,0)),"",VLOOKUP($A87,ESPNData!$R:$AE,9,0))</f>
        <v>155</v>
      </c>
      <c r="J87" s="33">
        <f>IF(ISERROR(VLOOKUP($A87,ESPNData!$R:$AE,10,0)),"",VLOOKUP($A87,ESPNData!$R:$AE,10,0))</f>
        <v>1</v>
      </c>
      <c r="K87" s="33">
        <f>IF(ISERROR(VLOOKUP($A87,ESPNData!$R:$AE,11,0)),"",VLOOKUP($A87,ESPNData!$R:$AE,11,0))</f>
        <v>3</v>
      </c>
      <c r="L87" s="33">
        <f>IF(ISERROR(VLOOKUP($A87,ESPNData!$R:$AE,12,0)),"",VLOOKUP($A87,ESPNData!$R:$AE,12,0))</f>
        <v>18</v>
      </c>
      <c r="M87" s="64">
        <f>IF(ISERROR(VLOOKUP($A87,ESPNData!$R:$AE,13,0)),"",VLOOKUP($A87,ESPNData!$R:$AE,13,0))</f>
        <v>0</v>
      </c>
      <c r="N87" s="115">
        <f>IF(OR(($A87=Settings!$A$30),ISERROR(VLOOKUP($B87,SportslineData!$Q:$AB,4,0))),"",VLOOKUP($B87,SportslineData!$Q:$AB,4,0))</f>
        <v>304.5</v>
      </c>
      <c r="O87" s="82">
        <f>IF(OR(($A87=Settings!$A$30),ISERROR(VLOOKUP($B87,SportslineData!$Q:$AB,6,0))),"",ROUND(VLOOKUP($B87,SportslineData!$Q:$AB,6,0),0))</f>
        <v>2</v>
      </c>
      <c r="P87" s="82">
        <f>IF(OR(($A87=Settings!$A$30),ISERROR(VLOOKUP($B87,SportslineData!$Q:$AB,7,0))),"",ROUND(VLOOKUP($B87,SportslineData!$Q:$AB,7,0),0))</f>
        <v>14</v>
      </c>
      <c r="Q87" s="82">
        <f>IF(OR(($A87=Settings!$A$30),ISERROR(VLOOKUP($B87,SportslineData!$Q:$AB,8,0))),"",VLOOKUP($B87,SportslineData!$Q:$AB,8,0))</f>
        <v>122</v>
      </c>
      <c r="R87" s="82">
        <f>IF(OR(($A87=Settings!$A$30),ISERROR(VLOOKUP($B87,SportslineData!$Q:$AB,10,0))),"",ROUND(VLOOKUP($B87,SportslineData!$Q:$AB,10,0),0))</f>
        <v>1</v>
      </c>
      <c r="S87" s="74">
        <f>IF(OR(($A87=Settings!$A$30),ISERROR(VLOOKUP($B87,SportslineData!$Q:$AB,11,0))),"",ROUND(VLOOKUP($B87,SportslineData!$Q:$AB,11,0),0))</f>
        <v>2</v>
      </c>
      <c r="T87" s="117"/>
      <c r="U87" s="131">
        <f t="shared" si="10"/>
        <v>33.094561486745825</v>
      </c>
      <c r="V87" s="38">
        <f>IF(ISERROR(ROUND((((((ROUNDDOWN((D87/5),0)*Settings!$F$7)+(E87*Settings!$I$7))+(F87*Settings!$I$11))+(ROUNDDOWN((G87/5),0)*Settings!$F$11))+(H87*Settings!$F$12)),1)),0,ROUND((((((ROUNDDOWN((D87/5),0)*Settings!$F$7)+(E87*Settings!$I$7))+(F87*Settings!$I$11))+(ROUNDDOWN((G87/5),0)*Settings!$F$11))+(H87*Settings!$F$12)),1))</f>
        <v>0</v>
      </c>
      <c r="W87" s="38">
        <f>IF(ISERROR(ROUND((((((ROUNDDOWN((I87/5),0)*Settings!$F$7)+(J87*Settings!$I$7))+(K87*Settings!$I$11))+(ROUNDDOWN((L87/5),0)*Settings!$F$11))+(M87*Settings!$F$12)),1)),0,ROUND((((((ROUNDDOWN((I87/5),0)*Settings!$F$7)+(J87*Settings!$I$7))+(K87*Settings!$I$11))+(ROUNDDOWN((L87/5),0)*Settings!$F$11))+(M87*Settings!$F$12)),1))</f>
        <v>24.5</v>
      </c>
      <c r="X87" s="38">
        <f>IF(AND((N87=""),(P87="")),0,((((((ROUND((N87/5),0)*Settings!$F$7)+(O87*Settings!$I$7))+(P87*Settings!$I$11))+(ROUND((Q87/5),0)*Settings!$F$11))+(R87*Settings!$F$12))+(S87*Settings!$F$15)))</f>
        <v>65.5</v>
      </c>
      <c r="Y87" s="66">
        <f>ROUND((((V87*Settings!$B$21)+(W87*Settings!$B$22))+(X87*Settings!$B$23)),1)</f>
        <v>30.4</v>
      </c>
      <c r="Z87" s="66">
        <f>IF(ISERROR(VLOOKUP(RANK(Y87,$Y$4:$Y$182),Z$4:Z86,1,0)),RANK(Y87,$Y$4:$Y$182),IF(ISERROR(VLOOKUP((RANK(Y87,$Y$4:$Y$182)+1),Z$4:Z86,1,0)),(RANK(Y87,$Y$4:$Y$182)+1),IF(ISERROR(VLOOKUP((RANK(Y87,$Y$4:$Y$182)+2),Z$4:Z86,1,0)),(RANK(Y87,$Y$4:$Y$182)+2),(RANK(Y87,$Y$4:$Y$182)+3))))</f>
        <v>84</v>
      </c>
      <c r="AA87" t="str">
        <f t="shared" si="11"/>
        <v>Denard Robinson</v>
      </c>
    </row>
    <row r="88" spans="1:27" ht="12.75" customHeight="1">
      <c r="A88" s="33" t="str">
        <f>ESPNData!R91</f>
        <v>Joseph Randle, Dal RB</v>
      </c>
      <c r="B88" s="33" t="str">
        <f t="shared" si="8"/>
        <v>Joseph Randle</v>
      </c>
      <c r="C88" s="64" t="str">
        <f t="shared" si="9"/>
        <v>DAL</v>
      </c>
      <c r="D88" s="117" t="str">
        <f>IF(OR(($A88=Settings!$A$30),ISERROR(VLOOKUP($B88,FFTodayData!$P:$Y,5,0))),"",VLOOKUP($B88,FFTodayData!$P:$Y,5,0))</f>
        <v/>
      </c>
      <c r="E88" s="33" t="str">
        <f>IF(OR(($A88=Settings!$A$30),ISERROR(VLOOKUP($B88,FFTodayData!$P:$Y,6,0))),"",VLOOKUP($B88,FFTodayData!$P:$Y,6,0))</f>
        <v/>
      </c>
      <c r="F88" s="33" t="str">
        <f>IF(OR(($A88=Settings!$A$30),ISERROR(VLOOKUP($B88,FFTodayData!$P:$Y,7,0))),"",VLOOKUP($B88,FFTodayData!$P:$Y,7,0))</f>
        <v/>
      </c>
      <c r="G88" s="33" t="str">
        <f>IF(OR(($A88=Settings!$A$30),ISERROR(VLOOKUP($B88,FFTodayData!$P:$Y,8,0))),"",VLOOKUP($B88,FFTodayData!$P:$Y,8,0))</f>
        <v/>
      </c>
      <c r="H88" s="64" t="str">
        <f>IF(OR(($A88=Settings!$A$30),ISERROR(VLOOKUP($B88,FFTodayData!$P:$Y,9,0))),"",VLOOKUP($B88,FFTodayData!$P:$Y,9,0))</f>
        <v/>
      </c>
      <c r="I88" s="117">
        <f>IF(ISERROR(VLOOKUP($A88,ESPNData!$R:$AE,9,0)),"",VLOOKUP($A88,ESPNData!$R:$AE,9,0))</f>
        <v>185</v>
      </c>
      <c r="J88" s="33">
        <f>IF(ISERROR(VLOOKUP($A88,ESPNData!$R:$AE,10,0)),"",VLOOKUP($A88,ESPNData!$R:$AE,10,0))</f>
        <v>1</v>
      </c>
      <c r="K88" s="33">
        <f>IF(ISERROR(VLOOKUP($A88,ESPNData!$R:$AE,11,0)),"",VLOOKUP($A88,ESPNData!$R:$AE,11,0))</f>
        <v>13</v>
      </c>
      <c r="L88" s="33">
        <f>IF(ISERROR(VLOOKUP($A88,ESPNData!$R:$AE,12,0)),"",VLOOKUP($A88,ESPNData!$R:$AE,12,0))</f>
        <v>72</v>
      </c>
      <c r="M88" s="64">
        <f>IF(ISERROR(VLOOKUP($A88,ESPNData!$R:$AE,13,0)),"",VLOOKUP($A88,ESPNData!$R:$AE,13,0))</f>
        <v>0</v>
      </c>
      <c r="N88" s="115">
        <f>IF(OR(($A88=Settings!$A$30),ISERROR(VLOOKUP($B88,SportslineData!$Q:$AB,4,0))),"",VLOOKUP($B88,SportslineData!$Q:$AB,4,0))</f>
        <v>183</v>
      </c>
      <c r="O88" s="82">
        <f>IF(OR(($A88=Settings!$A$30),ISERROR(VLOOKUP($B88,SportslineData!$Q:$AB,6,0))),"",ROUND(VLOOKUP($B88,SportslineData!$Q:$AB,6,0),0))</f>
        <v>1</v>
      </c>
      <c r="P88" s="82">
        <f>IF(OR(($A88=Settings!$A$30),ISERROR(VLOOKUP($B88,SportslineData!$Q:$AB,7,0))),"",ROUND(VLOOKUP($B88,SportslineData!$Q:$AB,7,0),0))</f>
        <v>5</v>
      </c>
      <c r="Q88" s="82">
        <f>IF(OR(($A88=Settings!$A$30),ISERROR(VLOOKUP($B88,SportslineData!$Q:$AB,8,0))),"",VLOOKUP($B88,SportslineData!$Q:$AB,8,0))</f>
        <v>32</v>
      </c>
      <c r="R88" s="82">
        <f>IF(OR(($A88=Settings!$A$30),ISERROR(VLOOKUP($B88,SportslineData!$Q:$AB,10,0))),"",ROUND(VLOOKUP($B88,SportslineData!$Q:$AB,10,0),0))</f>
        <v>0</v>
      </c>
      <c r="S88" s="74">
        <f>IF(OR(($A88=Settings!$A$30),ISERROR(VLOOKUP($B88,SportslineData!$Q:$AB,11,0))),"",ROUND(VLOOKUP($B88,SportslineData!$Q:$AB,11,0),0))</f>
        <v>0</v>
      </c>
      <c r="T88" s="117"/>
      <c r="U88" s="131">
        <f t="shared" si="10"/>
        <v>20.033305601755625</v>
      </c>
      <c r="V88" s="38">
        <f>IF(ISERROR(ROUND((((((ROUNDDOWN((D88/5),0)*Settings!$F$7)+(E88*Settings!$I$7))+(F88*Settings!$I$11))+(ROUNDDOWN((G88/5),0)*Settings!$F$11))+(H88*Settings!$F$12)),1)),0,ROUND((((((ROUNDDOWN((D88/5),0)*Settings!$F$7)+(E88*Settings!$I$7))+(F88*Settings!$I$11))+(ROUNDDOWN((G88/5),0)*Settings!$F$11))+(H88*Settings!$F$12)),1))</f>
        <v>0</v>
      </c>
      <c r="W88" s="38">
        <f>IF(ISERROR(ROUND((((((ROUNDDOWN((I88/5),0)*Settings!$F$7)+(J88*Settings!$I$7))+(K88*Settings!$I$11))+(ROUNDDOWN((L88/5),0)*Settings!$F$11))+(M88*Settings!$F$12)),1)),0,ROUND((((((ROUNDDOWN((I88/5),0)*Settings!$F$7)+(J88*Settings!$I$7))+(K88*Settings!$I$11))+(ROUNDDOWN((L88/5),0)*Settings!$F$11))+(M88*Settings!$F$12)),1))</f>
        <v>38</v>
      </c>
      <c r="X88" s="38">
        <f>IF(AND((N88=""),(P88="")),0,((((((ROUND((N88/5),0)*Settings!$F$7)+(O88*Settings!$I$7))+(P88*Settings!$I$11))+(ROUND((Q88/5),0)*Settings!$F$11))+(R88*Settings!$F$12))+(S88*Settings!$F$15)))</f>
        <v>30</v>
      </c>
      <c r="Y88" s="66">
        <f>ROUND((((V88*Settings!$B$21)+(W88*Settings!$B$22))+(X88*Settings!$B$23)),1)</f>
        <v>22.7</v>
      </c>
      <c r="Z88" s="66">
        <f>IF(ISERROR(VLOOKUP(RANK(Y88,$Y$4:$Y$182),Z$4:Z87,1,0)),RANK(Y88,$Y$4:$Y$182),IF(ISERROR(VLOOKUP((RANK(Y88,$Y$4:$Y$182)+1),Z$4:Z87,1,0)),(RANK(Y88,$Y$4:$Y$182)+1),IF(ISERROR(VLOOKUP((RANK(Y88,$Y$4:$Y$182)+2),Z$4:Z87,1,0)),(RANK(Y88,$Y$4:$Y$182)+2),(RANK(Y88,$Y$4:$Y$182)+3))))</f>
        <v>95</v>
      </c>
      <c r="AA88" t="str">
        <f t="shared" si="11"/>
        <v>Joseph Randle</v>
      </c>
    </row>
    <row r="89" spans="1:27" ht="12.75" customHeight="1">
      <c r="A89" s="33" t="str">
        <f>ESPNData!R92</f>
        <v>Ronnie Brown, SD RB</v>
      </c>
      <c r="B89" s="33" t="str">
        <f t="shared" si="8"/>
        <v>Ronnie Brown</v>
      </c>
      <c r="C89" s="64" t="str">
        <f t="shared" si="9"/>
        <v>SD</v>
      </c>
      <c r="D89" s="117">
        <f>IF(OR(($A89=Settings!$A$30),ISERROR(VLOOKUP($B89,FFTodayData!$P:$Y,5,0))),"",VLOOKUP($B89,FFTodayData!$P:$Y,5,0))</f>
        <v>305</v>
      </c>
      <c r="E89" s="33">
        <f>IF(OR(($A89=Settings!$A$30),ISERROR(VLOOKUP($B89,FFTodayData!$P:$Y,6,0))),"",VLOOKUP($B89,FFTodayData!$P:$Y,6,0))</f>
        <v>2</v>
      </c>
      <c r="F89" s="33">
        <f>IF(OR(($A89=Settings!$A$30),ISERROR(VLOOKUP($B89,FFTodayData!$P:$Y,7,0))),"",VLOOKUP($B89,FFTodayData!$P:$Y,7,0))</f>
        <v>8</v>
      </c>
      <c r="G89" s="33">
        <f>IF(OR(($A89=Settings!$A$30),ISERROR(VLOOKUP($B89,FFTodayData!$P:$Y,8,0))),"",VLOOKUP($B89,FFTodayData!$P:$Y,8,0))</f>
        <v>52</v>
      </c>
      <c r="H89" s="64">
        <f>IF(OR(($A89=Settings!$A$30),ISERROR(VLOOKUP($B89,FFTodayData!$P:$Y,9,0))),"",VLOOKUP($B89,FFTodayData!$P:$Y,9,0))</f>
        <v>0</v>
      </c>
      <c r="I89" s="117">
        <f>IF(ISERROR(VLOOKUP($A89,ESPNData!$R:$AE,9,0)),"",VLOOKUP($A89,ESPNData!$R:$AE,9,0))</f>
        <v>116</v>
      </c>
      <c r="J89" s="33">
        <f>IF(ISERROR(VLOOKUP($A89,ESPNData!$R:$AE,10,0)),"",VLOOKUP($A89,ESPNData!$R:$AE,10,0))</f>
        <v>0</v>
      </c>
      <c r="K89" s="33">
        <f>IF(ISERROR(VLOOKUP($A89,ESPNData!$R:$AE,11,0)),"",VLOOKUP($A89,ESPNData!$R:$AE,11,0))</f>
        <v>18</v>
      </c>
      <c r="L89" s="33">
        <f>IF(ISERROR(VLOOKUP($A89,ESPNData!$R:$AE,12,0)),"",VLOOKUP($A89,ESPNData!$R:$AE,12,0))</f>
        <v>128</v>
      </c>
      <c r="M89" s="64">
        <f>IF(ISERROR(VLOOKUP($A89,ESPNData!$R:$AE,13,0)),"",VLOOKUP($A89,ESPNData!$R:$AE,13,0))</f>
        <v>1</v>
      </c>
      <c r="N89" s="115" t="str">
        <f>IF(OR(($A89=Settings!$A$30),ISERROR(VLOOKUP($B89,SportslineData!$Q:$AB,4,0))),"",VLOOKUP($B89,SportslineData!$Q:$AB,4,0))</f>
        <v/>
      </c>
      <c r="O89" s="82" t="str">
        <f>IF(OR(($A89=Settings!$A$30),ISERROR(VLOOKUP($B89,SportslineData!$Q:$AB,6,0))),"",ROUND(VLOOKUP($B89,SportslineData!$Q:$AB,6,0),0))</f>
        <v/>
      </c>
      <c r="P89" s="82" t="str">
        <f>IF(OR(($A89=Settings!$A$30),ISERROR(VLOOKUP($B89,SportslineData!$Q:$AB,7,0))),"",ROUND(VLOOKUP($B89,SportslineData!$Q:$AB,7,0),0))</f>
        <v/>
      </c>
      <c r="Q89" s="82" t="str">
        <f>IF(OR(($A89=Settings!$A$30),ISERROR(VLOOKUP($B89,SportslineData!$Q:$AB,8,0))),"",VLOOKUP($B89,SportslineData!$Q:$AB,8,0))</f>
        <v/>
      </c>
      <c r="R89" s="82" t="str">
        <f>IF(OR(($A89=Settings!$A$30),ISERROR(VLOOKUP($B89,SportslineData!$Q:$AB,10,0))),"",ROUND(VLOOKUP($B89,SportslineData!$Q:$AB,10,0),0))</f>
        <v/>
      </c>
      <c r="S89" s="74" t="str">
        <f>IF(OR(($A89=Settings!$A$30),ISERROR(VLOOKUP($B89,SportslineData!$Q:$AB,11,0))),"",ROUND(VLOOKUP($B89,SportslineData!$Q:$AB,11,0),0))</f>
        <v/>
      </c>
      <c r="T89" s="117"/>
      <c r="U89" s="131">
        <f t="shared" si="10"/>
        <v>26.862303202319293</v>
      </c>
      <c r="V89" s="38">
        <f>IF(ISERROR(ROUND((((((ROUNDDOWN((D89/5),0)*Settings!$F$7)+(E89*Settings!$I$7))+(F89*Settings!$I$11))+(ROUNDDOWN((G89/5),0)*Settings!$F$11))+(H89*Settings!$F$12)),1)),0,ROUND((((((ROUNDDOWN((D89/5),0)*Settings!$F$7)+(E89*Settings!$I$7))+(F89*Settings!$I$11))+(ROUNDDOWN((G89/5),0)*Settings!$F$11))+(H89*Settings!$F$12)),1))</f>
        <v>51.5</v>
      </c>
      <c r="W89" s="38">
        <f>IF(ISERROR(ROUND((((((ROUNDDOWN((I89/5),0)*Settings!$F$7)+(J89*Settings!$I$7))+(K89*Settings!$I$11))+(ROUNDDOWN((L89/5),0)*Settings!$F$11))+(M89*Settings!$F$12)),1)),0,ROUND((((((ROUNDDOWN((I89/5),0)*Settings!$F$7)+(J89*Settings!$I$7))+(K89*Settings!$I$11))+(ROUNDDOWN((L89/5),0)*Settings!$F$11))+(M89*Settings!$F$12)),1))</f>
        <v>39</v>
      </c>
      <c r="X89" s="38">
        <f>IF(AND((N89=""),(P89="")),0,((((((ROUND((N89/5),0)*Settings!$F$7)+(O89*Settings!$I$7))+(P89*Settings!$I$11))+(ROUND((Q89/5),0)*Settings!$F$11))+(R89*Settings!$F$12))+(S89*Settings!$F$15)))</f>
        <v>0</v>
      </c>
      <c r="Y89" s="66">
        <f>ROUND((((V89*Settings!$B$21)+(W89*Settings!$B$22))+(X89*Settings!$B$23)),1)</f>
        <v>29.9</v>
      </c>
      <c r="Z89" s="66">
        <f>IF(ISERROR(VLOOKUP(RANK(Y89,$Y$4:$Y$182),Z$4:Z88,1,0)),RANK(Y89,$Y$4:$Y$182),IF(ISERROR(VLOOKUP((RANK(Y89,$Y$4:$Y$182)+1),Z$4:Z88,1,0)),(RANK(Y89,$Y$4:$Y$182)+1),IF(ISERROR(VLOOKUP((RANK(Y89,$Y$4:$Y$182)+2),Z$4:Z88,1,0)),(RANK(Y89,$Y$4:$Y$182)+2),(RANK(Y89,$Y$4:$Y$182)+3))))</f>
        <v>85</v>
      </c>
      <c r="AA89" t="str">
        <f t="shared" si="11"/>
        <v>Ronnie Brown</v>
      </c>
    </row>
    <row r="90" spans="1:27" ht="12.75" customHeight="1">
      <c r="A90" s="33" t="str">
        <f>ESPNData!R93</f>
        <v>Matt Asiata, Min RB</v>
      </c>
      <c r="B90" s="33" t="str">
        <f t="shared" si="8"/>
        <v>Matt Asiata</v>
      </c>
      <c r="C90" s="64" t="str">
        <f t="shared" si="9"/>
        <v>MIN</v>
      </c>
      <c r="D90" s="117" t="str">
        <f>IF(OR(($A90=Settings!$A$30),ISERROR(VLOOKUP($B90,FFTodayData!$P:$Y,5,0))),"",VLOOKUP($B90,FFTodayData!$P:$Y,5,0))</f>
        <v/>
      </c>
      <c r="E90" s="33" t="str">
        <f>IF(OR(($A90=Settings!$A$30),ISERROR(VLOOKUP($B90,FFTodayData!$P:$Y,6,0))),"",VLOOKUP($B90,FFTodayData!$P:$Y,6,0))</f>
        <v/>
      </c>
      <c r="F90" s="33" t="str">
        <f>IF(OR(($A90=Settings!$A$30),ISERROR(VLOOKUP($B90,FFTodayData!$P:$Y,7,0))),"",VLOOKUP($B90,FFTodayData!$P:$Y,7,0))</f>
        <v/>
      </c>
      <c r="G90" s="33" t="str">
        <f>IF(OR(($A90=Settings!$A$30),ISERROR(VLOOKUP($B90,FFTodayData!$P:$Y,8,0))),"",VLOOKUP($B90,FFTodayData!$P:$Y,8,0))</f>
        <v/>
      </c>
      <c r="H90" s="64" t="str">
        <f>IF(OR(($A90=Settings!$A$30),ISERROR(VLOOKUP($B90,FFTodayData!$P:$Y,9,0))),"",VLOOKUP($B90,FFTodayData!$P:$Y,9,0))</f>
        <v/>
      </c>
      <c r="I90" s="117">
        <f>IF(ISERROR(VLOOKUP($A90,ESPNData!$R:$AE,9,0)),"",VLOOKUP($A90,ESPNData!$R:$AE,9,0))</f>
        <v>190</v>
      </c>
      <c r="J90" s="33">
        <f>IF(ISERROR(VLOOKUP($A90,ESPNData!$R:$AE,10,0)),"",VLOOKUP($A90,ESPNData!$R:$AE,10,0))</f>
        <v>2</v>
      </c>
      <c r="K90" s="33">
        <f>IF(ISERROR(VLOOKUP($A90,ESPNData!$R:$AE,11,0)),"",VLOOKUP($A90,ESPNData!$R:$AE,11,0))</f>
        <v>3</v>
      </c>
      <c r="L90" s="33">
        <f>IF(ISERROR(VLOOKUP($A90,ESPNData!$R:$AE,12,0)),"",VLOOKUP($A90,ESPNData!$R:$AE,12,0))</f>
        <v>16</v>
      </c>
      <c r="M90" s="64">
        <f>IF(ISERROR(VLOOKUP($A90,ESPNData!$R:$AE,13,0)),"",VLOOKUP($A90,ESPNData!$R:$AE,13,0))</f>
        <v>0</v>
      </c>
      <c r="N90" s="115">
        <f>IF(OR(($A90=Settings!$A$30),ISERROR(VLOOKUP($B90,SportslineData!$Q:$AB,4,0))),"",VLOOKUP($B90,SportslineData!$Q:$AB,4,0))</f>
        <v>209.5</v>
      </c>
      <c r="O90" s="82">
        <f>IF(OR(($A90=Settings!$A$30),ISERROR(VLOOKUP($B90,SportslineData!$Q:$AB,6,0))),"",ROUND(VLOOKUP($B90,SportslineData!$Q:$AB,6,0),0))</f>
        <v>2</v>
      </c>
      <c r="P90" s="82">
        <f>IF(OR(($A90=Settings!$A$30),ISERROR(VLOOKUP($B90,SportslineData!$Q:$AB,7,0))),"",ROUND(VLOOKUP($B90,SportslineData!$Q:$AB,7,0),0))</f>
        <v>6</v>
      </c>
      <c r="Q90" s="82">
        <f>IF(OR(($A90=Settings!$A$30),ISERROR(VLOOKUP($B90,SportslineData!$Q:$AB,8,0))),"",VLOOKUP($B90,SportslineData!$Q:$AB,8,0))</f>
        <v>36.5</v>
      </c>
      <c r="R90" s="82">
        <f>IF(OR(($A90=Settings!$A$30),ISERROR(VLOOKUP($B90,SportslineData!$Q:$AB,10,0))),"",ROUND(VLOOKUP($B90,SportslineData!$Q:$AB,10,0),0))</f>
        <v>0</v>
      </c>
      <c r="S90" s="74">
        <f>IF(OR(($A90=Settings!$A$30),ISERROR(VLOOKUP($B90,SportslineData!$Q:$AB,11,0))),"",ROUND(VLOOKUP($B90,SportslineData!$Q:$AB,11,0),0))</f>
        <v>0</v>
      </c>
      <c r="T90" s="117"/>
      <c r="U90" s="131">
        <f t="shared" si="10"/>
        <v>21.395092895334667</v>
      </c>
      <c r="V90" s="38">
        <f>IF(ISERROR(ROUND((((((ROUNDDOWN((D90/5),0)*Settings!$F$7)+(E90*Settings!$I$7))+(F90*Settings!$I$11))+(ROUNDDOWN((G90/5),0)*Settings!$F$11))+(H90*Settings!$F$12)),1)),0,ROUND((((((ROUNDDOWN((D90/5),0)*Settings!$F$7)+(E90*Settings!$I$7))+(F90*Settings!$I$11))+(ROUNDDOWN((G90/5),0)*Settings!$F$11))+(H90*Settings!$F$12)),1))</f>
        <v>0</v>
      </c>
      <c r="W90" s="38">
        <f>IF(ISERROR(ROUND((((((ROUNDDOWN((I90/5),0)*Settings!$F$7)+(J90*Settings!$I$7))+(K90*Settings!$I$11))+(ROUNDDOWN((L90/5),0)*Settings!$F$11))+(M90*Settings!$F$12)),1)),0,ROUND((((((ROUNDDOWN((I90/5),0)*Settings!$F$7)+(J90*Settings!$I$7))+(K90*Settings!$I$11))+(ROUNDDOWN((L90/5),0)*Settings!$F$11))+(M90*Settings!$F$12)),1))</f>
        <v>34</v>
      </c>
      <c r="X90" s="38">
        <f>IF(AND((N90=""),(P90="")),0,((((((ROUND((N90/5),0)*Settings!$F$7)+(O90*Settings!$I$7))+(P90*Settings!$I$11))+(ROUND((Q90/5),0)*Settings!$F$11))+(R90*Settings!$F$12))+(S90*Settings!$F$15)))</f>
        <v>39.5</v>
      </c>
      <c r="Y90" s="66">
        <f>ROUND((((V90*Settings!$B$21)+(W90*Settings!$B$22))+(X90*Settings!$B$23)),1)</f>
        <v>24.7</v>
      </c>
      <c r="Z90" s="66">
        <f>IF(ISERROR(VLOOKUP(RANK(Y90,$Y$4:$Y$182),Z$4:Z89,1,0)),RANK(Y90,$Y$4:$Y$182),IF(ISERROR(VLOOKUP((RANK(Y90,$Y$4:$Y$182)+1),Z$4:Z89,1,0)),(RANK(Y90,$Y$4:$Y$182)+1),IF(ISERROR(VLOOKUP((RANK(Y90,$Y$4:$Y$182)+2),Z$4:Z89,1,0)),(RANK(Y90,$Y$4:$Y$182)+2),(RANK(Y90,$Y$4:$Y$182)+3))))</f>
        <v>92</v>
      </c>
      <c r="AA90" t="str">
        <f t="shared" si="11"/>
        <v>Matt Asiata</v>
      </c>
    </row>
    <row r="91" spans="1:27" ht="12.75" customHeight="1">
      <c r="A91" s="33" t="str">
        <f>ESPNData!R94</f>
        <v>Bilal Powell, NYJ RB</v>
      </c>
      <c r="B91" s="33" t="str">
        <f t="shared" si="8"/>
        <v>Bilal Powell</v>
      </c>
      <c r="C91" s="64" t="str">
        <f t="shared" si="9"/>
        <v>NYJ</v>
      </c>
      <c r="D91" s="117">
        <f>IF(OR(($A91=Settings!$A$30),ISERROR(VLOOKUP($B91,FFTodayData!$P:$Y,5,0))),"",VLOOKUP($B91,FFTodayData!$P:$Y,5,0))</f>
        <v>245</v>
      </c>
      <c r="E91" s="33">
        <f>IF(OR(($A91=Settings!$A$30),ISERROR(VLOOKUP($B91,FFTodayData!$P:$Y,6,0))),"",VLOOKUP($B91,FFTodayData!$P:$Y,6,0))</f>
        <v>1</v>
      </c>
      <c r="F91" s="33">
        <f>IF(OR(($A91=Settings!$A$30),ISERROR(VLOOKUP($B91,FFTodayData!$P:$Y,7,0))),"",VLOOKUP($B91,FFTodayData!$P:$Y,7,0))</f>
        <v>16</v>
      </c>
      <c r="G91" s="33">
        <f>IF(OR(($A91=Settings!$A$30),ISERROR(VLOOKUP($B91,FFTodayData!$P:$Y,8,0))),"",VLOOKUP($B91,FFTodayData!$P:$Y,8,0))</f>
        <v>133</v>
      </c>
      <c r="H91" s="64">
        <f>IF(OR(($A91=Settings!$A$30),ISERROR(VLOOKUP($B91,FFTodayData!$P:$Y,9,0))),"",VLOOKUP($B91,FFTodayData!$P:$Y,9,0))</f>
        <v>0</v>
      </c>
      <c r="I91" s="117">
        <f>IF(ISERROR(VLOOKUP($A91,ESPNData!$R:$AE,9,0)),"",VLOOKUP($A91,ESPNData!$R:$AE,9,0))</f>
        <v>232</v>
      </c>
      <c r="J91" s="33">
        <f>IF(ISERROR(VLOOKUP($A91,ESPNData!$R:$AE,10,0)),"",VLOOKUP($A91,ESPNData!$R:$AE,10,0))</f>
        <v>1</v>
      </c>
      <c r="K91" s="33">
        <f>IF(ISERROR(VLOOKUP($A91,ESPNData!$R:$AE,11,0)),"",VLOOKUP($A91,ESPNData!$R:$AE,11,0))</f>
        <v>20</v>
      </c>
      <c r="L91" s="33">
        <f>IF(ISERROR(VLOOKUP($A91,ESPNData!$R:$AE,12,0)),"",VLOOKUP($A91,ESPNData!$R:$AE,12,0))</f>
        <v>131</v>
      </c>
      <c r="M91" s="64">
        <f>IF(ISERROR(VLOOKUP($A91,ESPNData!$R:$AE,13,0)),"",VLOOKUP($A91,ESPNData!$R:$AE,13,0))</f>
        <v>0</v>
      </c>
      <c r="N91" s="115">
        <f>IF(OR(($A91=Settings!$A$30),ISERROR(VLOOKUP($B91,SportslineData!$Q:$AB,4,0))),"",VLOOKUP($B91,SportslineData!$Q:$AB,4,0))</f>
        <v>252</v>
      </c>
      <c r="O91" s="82">
        <f>IF(OR(($A91=Settings!$A$30),ISERROR(VLOOKUP($B91,SportslineData!$Q:$AB,6,0))),"",ROUND(VLOOKUP($B91,SportslineData!$Q:$AB,6,0),0))</f>
        <v>1</v>
      </c>
      <c r="P91" s="82">
        <f>IF(OR(($A91=Settings!$A$30),ISERROR(VLOOKUP($B91,SportslineData!$Q:$AB,7,0))),"",ROUND(VLOOKUP($B91,SportslineData!$Q:$AB,7,0),0))</f>
        <v>21</v>
      </c>
      <c r="Q91" s="82">
        <f>IF(OR(($A91=Settings!$A$30),ISERROR(VLOOKUP($B91,SportslineData!$Q:$AB,8,0))),"",VLOOKUP($B91,SportslineData!$Q:$AB,8,0))</f>
        <v>162.5</v>
      </c>
      <c r="R91" s="82">
        <f>IF(OR(($A91=Settings!$A$30),ISERROR(VLOOKUP($B91,SportslineData!$Q:$AB,10,0))),"",ROUND(VLOOKUP($B91,SportslineData!$Q:$AB,10,0),0))</f>
        <v>1</v>
      </c>
      <c r="S91" s="74">
        <f>IF(OR(($A91=Settings!$A$30),ISERROR(VLOOKUP($B91,SportslineData!$Q:$AB,11,0))),"",ROUND(VLOOKUP($B91,SportslineData!$Q:$AB,11,0),0))</f>
        <v>0</v>
      </c>
      <c r="T91" s="117"/>
      <c r="U91" s="131">
        <f t="shared" si="10"/>
        <v>7.0769579151873607</v>
      </c>
      <c r="V91" s="38">
        <f>IF(ISERROR(ROUND((((((ROUNDDOWN((D91/5),0)*Settings!$F$7)+(E91*Settings!$I$7))+(F91*Settings!$I$11))+(ROUNDDOWN((G91/5),0)*Settings!$F$11))+(H91*Settings!$F$12)),1)),0,ROUND((((((ROUNDDOWN((D91/5),0)*Settings!$F$7)+(E91*Settings!$I$7))+(F91*Settings!$I$11))+(ROUNDDOWN((G91/5),0)*Settings!$F$11))+(H91*Settings!$F$12)),1))</f>
        <v>51.5</v>
      </c>
      <c r="W91" s="38">
        <f>IF(ISERROR(ROUND((((((ROUNDDOWN((I91/5),0)*Settings!$F$7)+(J91*Settings!$I$7))+(K91*Settings!$I$11))+(ROUNDDOWN((L91/5),0)*Settings!$F$11))+(M91*Settings!$F$12)),1)),0,ROUND((((((ROUNDDOWN((I91/5),0)*Settings!$F$7)+(J91*Settings!$I$7))+(K91*Settings!$I$11))+(ROUNDDOWN((L91/5),0)*Settings!$F$11))+(M91*Settings!$F$12)),1))</f>
        <v>52</v>
      </c>
      <c r="X91" s="38">
        <f>IF(AND((N91=""),(P91="")),0,((((((ROUND((N91/5),0)*Settings!$F$7)+(O91*Settings!$I$7))+(P91*Settings!$I$11))+(ROUND((Q91/5),0)*Settings!$F$11))+(R91*Settings!$F$12))+(S91*Settings!$F$15)))</f>
        <v>64</v>
      </c>
      <c r="Y91" s="66">
        <f>ROUND((((V91*Settings!$B$21)+(W91*Settings!$B$22))+(X91*Settings!$B$23)),1)</f>
        <v>55.9</v>
      </c>
      <c r="Z91" s="66">
        <f>IF(ISERROR(VLOOKUP(RANK(Y91,$Y$4:$Y$182),Z$4:Z90,1,0)),RANK(Y91,$Y$4:$Y$182),IF(ISERROR(VLOOKUP((RANK(Y91,$Y$4:$Y$182)+1),Z$4:Z90,1,0)),(RANK(Y91,$Y$4:$Y$182)+1),IF(ISERROR(VLOOKUP((RANK(Y91,$Y$4:$Y$182)+2),Z$4:Z90,1,0)),(RANK(Y91,$Y$4:$Y$182)+2),(RANK(Y91,$Y$4:$Y$182)+3))))</f>
        <v>62</v>
      </c>
      <c r="AA91" t="str">
        <f t="shared" si="11"/>
        <v>Bilal Powell</v>
      </c>
    </row>
    <row r="92" spans="1:27" ht="12.75" customHeight="1">
      <c r="A92" s="33" t="str">
        <f>ESPNData!R95</f>
        <v>Shaun Draughn, Chi RB</v>
      </c>
      <c r="B92" s="33" t="str">
        <f t="shared" si="8"/>
        <v>Shaun Draughn</v>
      </c>
      <c r="C92" s="64" t="str">
        <f t="shared" si="9"/>
        <v>CHI</v>
      </c>
      <c r="D92" s="117" t="str">
        <f>IF(OR(($A92=Settings!$A$30),ISERROR(VLOOKUP($B92,FFTodayData!$P:$Y,5,0))),"",VLOOKUP($B92,FFTodayData!$P:$Y,5,0))</f>
        <v/>
      </c>
      <c r="E92" s="33" t="str">
        <f>IF(OR(($A92=Settings!$A$30),ISERROR(VLOOKUP($B92,FFTodayData!$P:$Y,6,0))),"",VLOOKUP($B92,FFTodayData!$P:$Y,6,0))</f>
        <v/>
      </c>
      <c r="F92" s="33" t="str">
        <f>IF(OR(($A92=Settings!$A$30),ISERROR(VLOOKUP($B92,FFTodayData!$P:$Y,7,0))),"",VLOOKUP($B92,FFTodayData!$P:$Y,7,0))</f>
        <v/>
      </c>
      <c r="G92" s="33" t="str">
        <f>IF(OR(($A92=Settings!$A$30),ISERROR(VLOOKUP($B92,FFTodayData!$P:$Y,8,0))),"",VLOOKUP($B92,FFTodayData!$P:$Y,8,0))</f>
        <v/>
      </c>
      <c r="H92" s="64" t="str">
        <f>IF(OR(($A92=Settings!$A$30),ISERROR(VLOOKUP($B92,FFTodayData!$P:$Y,9,0))),"",VLOOKUP($B92,FFTodayData!$P:$Y,9,0))</f>
        <v/>
      </c>
      <c r="I92" s="117">
        <f>IF(ISERROR(VLOOKUP($A92,ESPNData!$R:$AE,9,0)),"",VLOOKUP($A92,ESPNData!$R:$AE,9,0))</f>
        <v>112</v>
      </c>
      <c r="J92" s="33">
        <f>IF(ISERROR(VLOOKUP($A92,ESPNData!$R:$AE,10,0)),"",VLOOKUP($A92,ESPNData!$R:$AE,10,0))</f>
        <v>0</v>
      </c>
      <c r="K92" s="33">
        <f>IF(ISERROR(VLOOKUP($A92,ESPNData!$R:$AE,11,0)),"",VLOOKUP($A92,ESPNData!$R:$AE,11,0))</f>
        <v>12</v>
      </c>
      <c r="L92" s="33">
        <f>IF(ISERROR(VLOOKUP($A92,ESPNData!$R:$AE,12,0)),"",VLOOKUP($A92,ESPNData!$R:$AE,12,0))</f>
        <v>78</v>
      </c>
      <c r="M92" s="64">
        <f>IF(ISERROR(VLOOKUP($A92,ESPNData!$R:$AE,13,0)),"",VLOOKUP($A92,ESPNData!$R:$AE,13,0))</f>
        <v>0</v>
      </c>
      <c r="N92" s="115">
        <f>IF(OR(($A92=Settings!$A$30),ISERROR(VLOOKUP($B92,SportslineData!$Q:$AB,4,0))),"",VLOOKUP($B92,SportslineData!$Q:$AB,4,0))</f>
        <v>196.5</v>
      </c>
      <c r="O92" s="82">
        <f>IF(OR(($A92=Settings!$A$30),ISERROR(VLOOKUP($B92,SportslineData!$Q:$AB,6,0))),"",ROUND(VLOOKUP($B92,SportslineData!$Q:$AB,6,0),0))</f>
        <v>1</v>
      </c>
      <c r="P92" s="82">
        <f>IF(OR(($A92=Settings!$A$30),ISERROR(VLOOKUP($B92,SportslineData!$Q:$AB,7,0))),"",ROUND(VLOOKUP($B92,SportslineData!$Q:$AB,7,0),0))</f>
        <v>10</v>
      </c>
      <c r="Q92" s="82">
        <f>IF(OR(($A92=Settings!$A$30),ISERROR(VLOOKUP($B92,SportslineData!$Q:$AB,8,0))),"",VLOOKUP($B92,SportslineData!$Q:$AB,8,0))</f>
        <v>73</v>
      </c>
      <c r="R92" s="82">
        <f>IF(OR(($A92=Settings!$A$30),ISERROR(VLOOKUP($B92,SportslineData!$Q:$AB,10,0))),"",ROUND(VLOOKUP($B92,SportslineData!$Q:$AB,10,0),0))</f>
        <v>0</v>
      </c>
      <c r="S92" s="74">
        <f>IF(OR(($A92=Settings!$A$30),ISERROR(VLOOKUP($B92,SportslineData!$Q:$AB,11,0))),"",ROUND(VLOOKUP($B92,SportslineData!$Q:$AB,11,0),0))</f>
        <v>0</v>
      </c>
      <c r="T92" s="117"/>
      <c r="U92" s="131">
        <f t="shared" si="10"/>
        <v>19.26352338834548</v>
      </c>
      <c r="V92" s="38">
        <f>IF(ISERROR(ROUND((((((ROUNDDOWN((D92/5),0)*Settings!$F$7)+(E92*Settings!$I$7))+(F92*Settings!$I$11))+(ROUNDDOWN((G92/5),0)*Settings!$F$11))+(H92*Settings!$F$12)),1)),0,ROUND((((((ROUNDDOWN((D92/5),0)*Settings!$F$7)+(E92*Settings!$I$7))+(F92*Settings!$I$11))+(ROUNDDOWN((G92/5),0)*Settings!$F$11))+(H92*Settings!$F$12)),1))</f>
        <v>0</v>
      </c>
      <c r="W92" s="38">
        <f>IF(ISERROR(ROUND((((((ROUNDDOWN((I92/5),0)*Settings!$F$7)+(J92*Settings!$I$7))+(K92*Settings!$I$11))+(ROUNDDOWN((L92/5),0)*Settings!$F$11))+(M92*Settings!$F$12)),1)),0,ROUND((((((ROUNDDOWN((I92/5),0)*Settings!$F$7)+(J92*Settings!$I$7))+(K92*Settings!$I$11))+(ROUNDDOWN((L92/5),0)*Settings!$F$11))+(M92*Settings!$F$12)),1))</f>
        <v>24.5</v>
      </c>
      <c r="X92" s="38">
        <f>IF(AND((N92=""),(P92="")),0,((((((ROUND((N92/5),0)*Settings!$F$7)+(O92*Settings!$I$7))+(P92*Settings!$I$11))+(ROUND((Q92/5),0)*Settings!$F$11))+(R92*Settings!$F$12))+(S92*Settings!$F$15)))</f>
        <v>38</v>
      </c>
      <c r="Y92" s="66">
        <f>ROUND((((V92*Settings!$B$21)+(W92*Settings!$B$22))+(X92*Settings!$B$23)),1)</f>
        <v>21</v>
      </c>
      <c r="Z92" s="66">
        <f>IF(ISERROR(VLOOKUP(RANK(Y92,$Y$4:$Y$182),Z$4:Z91,1,0)),RANK(Y92,$Y$4:$Y$182),IF(ISERROR(VLOOKUP((RANK(Y92,$Y$4:$Y$182)+1),Z$4:Z91,1,0)),(RANK(Y92,$Y$4:$Y$182)+1),IF(ISERROR(VLOOKUP((RANK(Y92,$Y$4:$Y$182)+2),Z$4:Z91,1,0)),(RANK(Y92,$Y$4:$Y$182)+2),(RANK(Y92,$Y$4:$Y$182)+3))))</f>
        <v>97</v>
      </c>
      <c r="AA92" t="str">
        <f t="shared" si="11"/>
        <v>Shaun Draughn</v>
      </c>
    </row>
    <row r="93" spans="1:27" ht="12.75" customHeight="1">
      <c r="A93" s="33" t="str">
        <f>ESPNData!R96</f>
        <v>Mike James, TB RB  Q</v>
      </c>
      <c r="B93" s="33" t="str">
        <f t="shared" si="8"/>
        <v>Mike James</v>
      </c>
      <c r="C93" s="64" t="str">
        <f t="shared" si="9"/>
        <v>TB</v>
      </c>
      <c r="D93" s="117" t="str">
        <f>IF(OR(($A93=Settings!$A$30),ISERROR(VLOOKUP($B93,FFTodayData!$P:$Y,5,0))),"",VLOOKUP($B93,FFTodayData!$P:$Y,5,0))</f>
        <v/>
      </c>
      <c r="E93" s="33" t="str">
        <f>IF(OR(($A93=Settings!$A$30),ISERROR(VLOOKUP($B93,FFTodayData!$P:$Y,6,0))),"",VLOOKUP($B93,FFTodayData!$P:$Y,6,0))</f>
        <v/>
      </c>
      <c r="F93" s="33" t="str">
        <f>IF(OR(($A93=Settings!$A$30),ISERROR(VLOOKUP($B93,FFTodayData!$P:$Y,7,0))),"",VLOOKUP($B93,FFTodayData!$P:$Y,7,0))</f>
        <v/>
      </c>
      <c r="G93" s="33" t="str">
        <f>IF(OR(($A93=Settings!$A$30),ISERROR(VLOOKUP($B93,FFTodayData!$P:$Y,8,0))),"",VLOOKUP($B93,FFTodayData!$P:$Y,8,0))</f>
        <v/>
      </c>
      <c r="H93" s="64" t="str">
        <f>IF(OR(($A93=Settings!$A$30),ISERROR(VLOOKUP($B93,FFTodayData!$P:$Y,9,0))),"",VLOOKUP($B93,FFTodayData!$P:$Y,9,0))</f>
        <v/>
      </c>
      <c r="I93" s="117">
        <f>IF(ISERROR(VLOOKUP($A93,ESPNData!$R:$AE,9,0)),"",VLOOKUP($A93,ESPNData!$R:$AE,9,0))</f>
        <v>197</v>
      </c>
      <c r="J93" s="33">
        <f>IF(ISERROR(VLOOKUP($A93,ESPNData!$R:$AE,10,0)),"",VLOOKUP($A93,ESPNData!$R:$AE,10,0))</f>
        <v>1</v>
      </c>
      <c r="K93" s="33">
        <f>IF(ISERROR(VLOOKUP($A93,ESPNData!$R:$AE,11,0)),"",VLOOKUP($A93,ESPNData!$R:$AE,11,0))</f>
        <v>2</v>
      </c>
      <c r="L93" s="33">
        <f>IF(ISERROR(VLOOKUP($A93,ESPNData!$R:$AE,12,0)),"",VLOOKUP($A93,ESPNData!$R:$AE,12,0))</f>
        <v>9</v>
      </c>
      <c r="M93" s="64">
        <f>IF(ISERROR(VLOOKUP($A93,ESPNData!$R:$AE,13,0)),"",VLOOKUP($A93,ESPNData!$R:$AE,13,0))</f>
        <v>0</v>
      </c>
      <c r="N93" s="115">
        <f>IF(OR(($A93=Settings!$A$30),ISERROR(VLOOKUP($B93,SportslineData!$Q:$AB,4,0))),"",VLOOKUP($B93,SportslineData!$Q:$AB,4,0))</f>
        <v>281.5</v>
      </c>
      <c r="O93" s="82">
        <f>IF(OR(($A93=Settings!$A$30),ISERROR(VLOOKUP($B93,SportslineData!$Q:$AB,6,0))),"",ROUND(VLOOKUP($B93,SportslineData!$Q:$AB,6,0),0))</f>
        <v>2</v>
      </c>
      <c r="P93" s="82">
        <f>IF(OR(($A93=Settings!$A$30),ISERROR(VLOOKUP($B93,SportslineData!$Q:$AB,7,0))),"",ROUND(VLOOKUP($B93,SportslineData!$Q:$AB,7,0),0))</f>
        <v>12</v>
      </c>
      <c r="Q93" s="82">
        <f>IF(OR(($A93=Settings!$A$30),ISERROR(VLOOKUP($B93,SportslineData!$Q:$AB,8,0))),"",VLOOKUP($B93,SportslineData!$Q:$AB,8,0))</f>
        <v>87</v>
      </c>
      <c r="R93" s="82">
        <f>IF(OR(($A93=Settings!$A$30),ISERROR(VLOOKUP($B93,SportslineData!$Q:$AB,10,0))),"",ROUND(VLOOKUP($B93,SportslineData!$Q:$AB,10,0),0))</f>
        <v>0</v>
      </c>
      <c r="S93" s="74">
        <f>IF(OR(($A93=Settings!$A$30),ISERROR(VLOOKUP($B93,SportslineData!$Q:$AB,11,0))),"",ROUND(VLOOKUP($B93,SportslineData!$Q:$AB,11,0),0))</f>
        <v>1</v>
      </c>
      <c r="T93" s="117"/>
      <c r="U93" s="131">
        <f t="shared" si="10"/>
        <v>26.750389405265359</v>
      </c>
      <c r="V93" s="38">
        <f>IF(ISERROR(ROUND((((((ROUNDDOWN((D93/5),0)*Settings!$F$7)+(E93*Settings!$I$7))+(F93*Settings!$I$11))+(ROUNDDOWN((G93/5),0)*Settings!$F$11))+(H93*Settings!$F$12)),1)),0,ROUND((((((ROUNDDOWN((D93/5),0)*Settings!$F$7)+(E93*Settings!$I$7))+(F93*Settings!$I$11))+(ROUNDDOWN((G93/5),0)*Settings!$F$11))+(H93*Settings!$F$12)),1))</f>
        <v>0</v>
      </c>
      <c r="W93" s="38">
        <f>IF(ISERROR(ROUND((((((ROUNDDOWN((I93/5),0)*Settings!$F$7)+(J93*Settings!$I$7))+(K93*Settings!$I$11))+(ROUNDDOWN((L93/5),0)*Settings!$F$11))+(M93*Settings!$F$12)),1)),0,ROUND((((((ROUNDDOWN((I93/5),0)*Settings!$F$7)+(J93*Settings!$I$7))+(K93*Settings!$I$11))+(ROUNDDOWN((L93/5),0)*Settings!$F$11))+(M93*Settings!$F$12)),1))</f>
        <v>27</v>
      </c>
      <c r="X93" s="38">
        <f>IF(AND((N93=""),(P93="")),0,((((((ROUND((N93/5),0)*Settings!$F$7)+(O93*Settings!$I$7))+(P93*Settings!$I$11))+(ROUND((Q93/5),0)*Settings!$F$11))+(R93*Settings!$F$12))+(S93*Settings!$F$15)))</f>
        <v>53.5</v>
      </c>
      <c r="Y93" s="66">
        <f>ROUND((((V93*Settings!$B$21)+(W93*Settings!$B$22))+(X93*Settings!$B$23)),1)</f>
        <v>27.1</v>
      </c>
      <c r="Z93" s="66">
        <f>IF(ISERROR(VLOOKUP(RANK(Y93,$Y$4:$Y$182),Z$4:Z92,1,0)),RANK(Y93,$Y$4:$Y$182),IF(ISERROR(VLOOKUP((RANK(Y93,$Y$4:$Y$182)+1),Z$4:Z92,1,0)),(RANK(Y93,$Y$4:$Y$182)+1),IF(ISERROR(VLOOKUP((RANK(Y93,$Y$4:$Y$182)+2),Z$4:Z92,1,0)),(RANK(Y93,$Y$4:$Y$182)+2),(RANK(Y93,$Y$4:$Y$182)+3))))</f>
        <v>89</v>
      </c>
      <c r="AA93" t="str">
        <f t="shared" si="11"/>
        <v>Mike James</v>
      </c>
    </row>
    <row r="94" spans="1:27" ht="12.75" customHeight="1">
      <c r="A94" s="33" t="str">
        <f>ESPNData!R97</f>
        <v>Travaris Cadet, NO RB</v>
      </c>
      <c r="B94" s="33" t="str">
        <f t="shared" si="8"/>
        <v>Travaris Cadet</v>
      </c>
      <c r="C94" s="64" t="str">
        <f t="shared" si="9"/>
        <v>NO</v>
      </c>
      <c r="D94" s="117" t="str">
        <f>IF(OR(($A94=Settings!$A$30),ISERROR(VLOOKUP($B94,FFTodayData!$P:$Y,5,0))),"",VLOOKUP($B94,FFTodayData!$P:$Y,5,0))</f>
        <v/>
      </c>
      <c r="E94" s="33" t="str">
        <f>IF(OR(($A94=Settings!$A$30),ISERROR(VLOOKUP($B94,FFTodayData!$P:$Y,6,0))),"",VLOOKUP($B94,FFTodayData!$P:$Y,6,0))</f>
        <v/>
      </c>
      <c r="F94" s="33" t="str">
        <f>IF(OR(($A94=Settings!$A$30),ISERROR(VLOOKUP($B94,FFTodayData!$P:$Y,7,0))),"",VLOOKUP($B94,FFTodayData!$P:$Y,7,0))</f>
        <v/>
      </c>
      <c r="G94" s="33" t="str">
        <f>IF(OR(($A94=Settings!$A$30),ISERROR(VLOOKUP($B94,FFTodayData!$P:$Y,8,0))),"",VLOOKUP($B94,FFTodayData!$P:$Y,8,0))</f>
        <v/>
      </c>
      <c r="H94" s="64" t="str">
        <f>IF(OR(($A94=Settings!$A$30),ISERROR(VLOOKUP($B94,FFTodayData!$P:$Y,9,0))),"",VLOOKUP($B94,FFTodayData!$P:$Y,9,0))</f>
        <v/>
      </c>
      <c r="I94" s="117">
        <f>IF(ISERROR(VLOOKUP($A94,ESPNData!$R:$AE,9,0)),"",VLOOKUP($A94,ESPNData!$R:$AE,9,0))</f>
        <v>79</v>
      </c>
      <c r="J94" s="33">
        <f>IF(ISERROR(VLOOKUP($A94,ESPNData!$R:$AE,10,0)),"",VLOOKUP($A94,ESPNData!$R:$AE,10,0))</f>
        <v>0</v>
      </c>
      <c r="K94" s="33">
        <f>IF(ISERROR(VLOOKUP($A94,ESPNData!$R:$AE,11,0)),"",VLOOKUP($A94,ESPNData!$R:$AE,11,0))</f>
        <v>12</v>
      </c>
      <c r="L94" s="33">
        <f>IF(ISERROR(VLOOKUP($A94,ESPNData!$R:$AE,12,0)),"",VLOOKUP($A94,ESPNData!$R:$AE,12,0))</f>
        <v>79</v>
      </c>
      <c r="M94" s="64">
        <f>IF(ISERROR(VLOOKUP($A94,ESPNData!$R:$AE,13,0)),"",VLOOKUP($A94,ESPNData!$R:$AE,13,0))</f>
        <v>0</v>
      </c>
      <c r="N94" s="115">
        <f>IF(OR(($A94=Settings!$A$30),ISERROR(VLOOKUP($B94,SportslineData!$Q:$AB,4,0))),"",VLOOKUP($B94,SportslineData!$Q:$AB,4,0))</f>
        <v>224.5</v>
      </c>
      <c r="O94" s="82">
        <f>IF(OR(($A94=Settings!$A$30),ISERROR(VLOOKUP($B94,SportslineData!$Q:$AB,6,0))),"",ROUND(VLOOKUP($B94,SportslineData!$Q:$AB,6,0),0))</f>
        <v>1</v>
      </c>
      <c r="P94" s="82">
        <f>IF(OR(($A94=Settings!$A$30),ISERROR(VLOOKUP($B94,SportslineData!$Q:$AB,7,0))),"",ROUND(VLOOKUP($B94,SportslineData!$Q:$AB,7,0),0))</f>
        <v>35</v>
      </c>
      <c r="Q94" s="82">
        <f>IF(OR(($A94=Settings!$A$30),ISERROR(VLOOKUP($B94,SportslineData!$Q:$AB,8,0))),"",VLOOKUP($B94,SportslineData!$Q:$AB,8,0))</f>
        <v>271</v>
      </c>
      <c r="R94" s="82">
        <f>IF(OR(($A94=Settings!$A$30),ISERROR(VLOOKUP($B94,SportslineData!$Q:$AB,10,0))),"",ROUND(VLOOKUP($B94,SportslineData!$Q:$AB,10,0),0))</f>
        <v>2</v>
      </c>
      <c r="S94" s="74">
        <f>IF(OR(($A94=Settings!$A$30),ISERROR(VLOOKUP($B94,SportslineData!$Q:$AB,11,0))),"",ROUND(VLOOKUP($B94,SportslineData!$Q:$AB,11,0),0))</f>
        <v>0</v>
      </c>
      <c r="T94" s="117"/>
      <c r="U94" s="131">
        <f t="shared" si="10"/>
        <v>44.275651698572808</v>
      </c>
      <c r="V94" s="38">
        <f>IF(ISERROR(ROUND((((((ROUNDDOWN((D94/5),0)*Settings!$F$7)+(E94*Settings!$I$7))+(F94*Settings!$I$11))+(ROUNDDOWN((G94/5),0)*Settings!$F$11))+(H94*Settings!$F$12)),1)),0,ROUND((((((ROUNDDOWN((D94/5),0)*Settings!$F$7)+(E94*Settings!$I$7))+(F94*Settings!$I$11))+(ROUNDDOWN((G94/5),0)*Settings!$F$11))+(H94*Settings!$F$12)),1))</f>
        <v>0</v>
      </c>
      <c r="W94" s="38">
        <f>IF(ISERROR(ROUND((((((ROUNDDOWN((I94/5),0)*Settings!$F$7)+(J94*Settings!$I$7))+(K94*Settings!$I$11))+(ROUNDDOWN((L94/5),0)*Settings!$F$11))+(M94*Settings!$F$12)),1)),0,ROUND((((((ROUNDDOWN((I94/5),0)*Settings!$F$7)+(J94*Settings!$I$7))+(K94*Settings!$I$11))+(ROUNDDOWN((L94/5),0)*Settings!$F$11))+(M94*Settings!$F$12)),1))</f>
        <v>21</v>
      </c>
      <c r="X94" s="38">
        <f>IF(AND((N94=""),(P94="")),0,((((((ROUND((N94/5),0)*Settings!$F$7)+(O94*Settings!$I$7))+(P94*Settings!$I$11))+(ROUND((Q94/5),0)*Settings!$F$11))+(R94*Settings!$F$12))+(S94*Settings!$F$15)))</f>
        <v>85</v>
      </c>
      <c r="Y94" s="66">
        <f>ROUND((((V94*Settings!$B$21)+(W94*Settings!$B$22))+(X94*Settings!$B$23)),1)</f>
        <v>35.799999999999997</v>
      </c>
      <c r="Z94" s="66">
        <f>IF(ISERROR(VLOOKUP(RANK(Y94,$Y$4:$Y$182),Z$4:Z93,1,0)),RANK(Y94,$Y$4:$Y$182),IF(ISERROR(VLOOKUP((RANK(Y94,$Y$4:$Y$182)+1),Z$4:Z93,1,0)),(RANK(Y94,$Y$4:$Y$182)+1),IF(ISERROR(VLOOKUP((RANK(Y94,$Y$4:$Y$182)+2),Z$4:Z93,1,0)),(RANK(Y94,$Y$4:$Y$182)+2),(RANK(Y94,$Y$4:$Y$182)+3))))</f>
        <v>77</v>
      </c>
      <c r="AA94" t="str">
        <f t="shared" si="11"/>
        <v>Travaris Cadet</v>
      </c>
    </row>
    <row r="95" spans="1:27" ht="12.75" customHeight="1">
      <c r="A95" s="33" t="str">
        <f>ESPNData!R98</f>
        <v>Storm Johnson, Jac RB</v>
      </c>
      <c r="B95" s="33" t="str">
        <f t="shared" si="8"/>
        <v>Storm Johnson</v>
      </c>
      <c r="C95" s="64" t="str">
        <f t="shared" si="9"/>
        <v>JAC</v>
      </c>
      <c r="D95" s="117" t="str">
        <f>IF(OR(($A95=Settings!$A$30),ISERROR(VLOOKUP($B95,FFTodayData!$P:$Y,5,0))),"",VLOOKUP($B95,FFTodayData!$P:$Y,5,0))</f>
        <v/>
      </c>
      <c r="E95" s="33" t="str">
        <f>IF(OR(($A95=Settings!$A$30),ISERROR(VLOOKUP($B95,FFTodayData!$P:$Y,6,0))),"",VLOOKUP($B95,FFTodayData!$P:$Y,6,0))</f>
        <v/>
      </c>
      <c r="F95" s="33" t="str">
        <f>IF(OR(($A95=Settings!$A$30),ISERROR(VLOOKUP($B95,FFTodayData!$P:$Y,7,0))),"",VLOOKUP($B95,FFTodayData!$P:$Y,7,0))</f>
        <v/>
      </c>
      <c r="G95" s="33" t="str">
        <f>IF(OR(($A95=Settings!$A$30),ISERROR(VLOOKUP($B95,FFTodayData!$P:$Y,8,0))),"",VLOOKUP($B95,FFTodayData!$P:$Y,8,0))</f>
        <v/>
      </c>
      <c r="H95" s="64" t="str">
        <f>IF(OR(($A95=Settings!$A$30),ISERROR(VLOOKUP($B95,FFTodayData!$P:$Y,9,0))),"",VLOOKUP($B95,FFTodayData!$P:$Y,9,0))</f>
        <v/>
      </c>
      <c r="I95" s="117">
        <f>IF(ISERROR(VLOOKUP($A95,ESPNData!$R:$AE,9,0)),"",VLOOKUP($A95,ESPNData!$R:$AE,9,0))</f>
        <v>120</v>
      </c>
      <c r="J95" s="33">
        <f>IF(ISERROR(VLOOKUP($A95,ESPNData!$R:$AE,10,0)),"",VLOOKUP($A95,ESPNData!$R:$AE,10,0))</f>
        <v>0</v>
      </c>
      <c r="K95" s="33">
        <f>IF(ISERROR(VLOOKUP($A95,ESPNData!$R:$AE,11,0)),"",VLOOKUP($A95,ESPNData!$R:$AE,11,0))</f>
        <v>5</v>
      </c>
      <c r="L95" s="33">
        <f>IF(ISERROR(VLOOKUP($A95,ESPNData!$R:$AE,12,0)),"",VLOOKUP($A95,ESPNData!$R:$AE,12,0))</f>
        <v>36</v>
      </c>
      <c r="M95" s="64">
        <f>IF(ISERROR(VLOOKUP($A95,ESPNData!$R:$AE,13,0)),"",VLOOKUP($A95,ESPNData!$R:$AE,13,0))</f>
        <v>0</v>
      </c>
      <c r="N95" s="115">
        <f>IF(OR(($A95=Settings!$A$30),ISERROR(VLOOKUP($B95,SportslineData!$Q:$AB,4,0))),"",VLOOKUP($B95,SportslineData!$Q:$AB,4,0))</f>
        <v>140.5</v>
      </c>
      <c r="O95" s="82">
        <f>IF(OR(($A95=Settings!$A$30),ISERROR(VLOOKUP($B95,SportslineData!$Q:$AB,6,0))),"",ROUND(VLOOKUP($B95,SportslineData!$Q:$AB,6,0),0))</f>
        <v>1</v>
      </c>
      <c r="P95" s="82">
        <f>IF(OR(($A95=Settings!$A$30),ISERROR(VLOOKUP($B95,SportslineData!$Q:$AB,7,0))),"",ROUND(VLOOKUP($B95,SportslineData!$Q:$AB,7,0),0))</f>
        <v>7</v>
      </c>
      <c r="Q95" s="82">
        <f>IF(OR(($A95=Settings!$A$30),ISERROR(VLOOKUP($B95,SportslineData!$Q:$AB,8,0))),"",VLOOKUP($B95,SportslineData!$Q:$AB,8,0))</f>
        <v>51.5</v>
      </c>
      <c r="R95" s="82">
        <f>IF(OR(($A95=Settings!$A$30),ISERROR(VLOOKUP($B95,SportslineData!$Q:$AB,10,0))),"",ROUND(VLOOKUP($B95,SportslineData!$Q:$AB,10,0),0))</f>
        <v>0</v>
      </c>
      <c r="S95" s="74">
        <f>IF(OR(($A95=Settings!$A$30),ISERROR(VLOOKUP($B95,SportslineData!$Q:$AB,11,0))),"",ROUND(VLOOKUP($B95,SportslineData!$Q:$AB,11,0),0))</f>
        <v>0</v>
      </c>
      <c r="T95" s="117"/>
      <c r="U95" s="131">
        <f t="shared" si="10"/>
        <v>14.413535305399574</v>
      </c>
      <c r="V95" s="38">
        <f>IF(ISERROR(ROUND((((((ROUNDDOWN((D95/5),0)*Settings!$F$7)+(E95*Settings!$I$7))+(F95*Settings!$I$11))+(ROUNDDOWN((G95/5),0)*Settings!$F$11))+(H95*Settings!$F$12)),1)),0,ROUND((((((ROUNDDOWN((D95/5),0)*Settings!$F$7)+(E95*Settings!$I$7))+(F95*Settings!$I$11))+(ROUNDDOWN((G95/5),0)*Settings!$F$11))+(H95*Settings!$F$12)),1))</f>
        <v>0</v>
      </c>
      <c r="W95" s="38">
        <f>IF(ISERROR(ROUND((((((ROUNDDOWN((I95/5),0)*Settings!$F$7)+(J95*Settings!$I$7))+(K95*Settings!$I$11))+(ROUNDDOWN((L95/5),0)*Settings!$F$11))+(M95*Settings!$F$12)),1)),0,ROUND((((((ROUNDDOWN((I95/5),0)*Settings!$F$7)+(J95*Settings!$I$7))+(K95*Settings!$I$11))+(ROUNDDOWN((L95/5),0)*Settings!$F$11))+(M95*Settings!$F$12)),1))</f>
        <v>18</v>
      </c>
      <c r="X95" s="38">
        <f>IF(AND((N95=""),(P95="")),0,((((((ROUND((N95/5),0)*Settings!$F$7)+(O95*Settings!$I$7))+(P95*Settings!$I$11))+(ROUND((Q95/5),0)*Settings!$F$11))+(R95*Settings!$F$12))+(S95*Settings!$F$15)))</f>
        <v>28.5</v>
      </c>
      <c r="Y95" s="66">
        <f>ROUND((((V95*Settings!$B$21)+(W95*Settings!$B$22))+(X95*Settings!$B$23)),1)</f>
        <v>15.6</v>
      </c>
      <c r="Z95" s="66">
        <f>IF(ISERROR(VLOOKUP(RANK(Y95,$Y$4:$Y$182),Z$4:Z94,1,0)),RANK(Y95,$Y$4:$Y$182),IF(ISERROR(VLOOKUP((RANK(Y95,$Y$4:$Y$182)+1),Z$4:Z94,1,0)),(RANK(Y95,$Y$4:$Y$182)+1),IF(ISERROR(VLOOKUP((RANK(Y95,$Y$4:$Y$182)+2),Z$4:Z94,1,0)),(RANK(Y95,$Y$4:$Y$182)+2),(RANK(Y95,$Y$4:$Y$182)+3))))</f>
        <v>103</v>
      </c>
      <c r="AA95" t="str">
        <f t="shared" si="11"/>
        <v>Storm Johnson</v>
      </c>
    </row>
    <row r="96" spans="1:27" ht="12.75" customHeight="1">
      <c r="A96" s="33" t="str">
        <f>ESPNData!R99</f>
        <v>Lorenzo Taliaferro, Bal RB</v>
      </c>
      <c r="B96" s="33" t="str">
        <f t="shared" si="8"/>
        <v>Lorenzo Taliaferro</v>
      </c>
      <c r="C96" s="64" t="str">
        <f t="shared" si="9"/>
        <v>BAL</v>
      </c>
      <c r="D96" s="117" t="str">
        <f>IF(OR(($A96=Settings!$A$30),ISERROR(VLOOKUP($B96,FFTodayData!$P:$Y,5,0))),"",VLOOKUP($B96,FFTodayData!$P:$Y,5,0))</f>
        <v/>
      </c>
      <c r="E96" s="33" t="str">
        <f>IF(OR(($A96=Settings!$A$30),ISERROR(VLOOKUP($B96,FFTodayData!$P:$Y,6,0))),"",VLOOKUP($B96,FFTodayData!$P:$Y,6,0))</f>
        <v/>
      </c>
      <c r="F96" s="33" t="str">
        <f>IF(OR(($A96=Settings!$A$30),ISERROR(VLOOKUP($B96,FFTodayData!$P:$Y,7,0))),"",VLOOKUP($B96,FFTodayData!$P:$Y,7,0))</f>
        <v/>
      </c>
      <c r="G96" s="33" t="str">
        <f>IF(OR(($A96=Settings!$A$30),ISERROR(VLOOKUP($B96,FFTodayData!$P:$Y,8,0))),"",VLOOKUP($B96,FFTodayData!$P:$Y,8,0))</f>
        <v/>
      </c>
      <c r="H96" s="64" t="str">
        <f>IF(OR(($A96=Settings!$A$30),ISERROR(VLOOKUP($B96,FFTodayData!$P:$Y,9,0))),"",VLOOKUP($B96,FFTodayData!$P:$Y,9,0))</f>
        <v/>
      </c>
      <c r="I96" s="117">
        <f>IF(ISERROR(VLOOKUP($A96,ESPNData!$R:$AE,9,0)),"",VLOOKUP($A96,ESPNData!$R:$AE,9,0))</f>
        <v>123</v>
      </c>
      <c r="J96" s="33">
        <f>IF(ISERROR(VLOOKUP($A96,ESPNData!$R:$AE,10,0)),"",VLOOKUP($A96,ESPNData!$R:$AE,10,0))</f>
        <v>1</v>
      </c>
      <c r="K96" s="33">
        <f>IF(ISERROR(VLOOKUP($A96,ESPNData!$R:$AE,11,0)),"",VLOOKUP($A96,ESPNData!$R:$AE,11,0))</f>
        <v>6</v>
      </c>
      <c r="L96" s="33">
        <f>IF(ISERROR(VLOOKUP($A96,ESPNData!$R:$AE,12,0)),"",VLOOKUP($A96,ESPNData!$R:$AE,12,0))</f>
        <v>37</v>
      </c>
      <c r="M96" s="64">
        <f>IF(ISERROR(VLOOKUP($A96,ESPNData!$R:$AE,13,0)),"",VLOOKUP($A96,ESPNData!$R:$AE,13,0))</f>
        <v>0</v>
      </c>
      <c r="N96" s="115">
        <f>IF(OR(($A96=Settings!$A$30),ISERROR(VLOOKUP($B96,SportslineData!$Q:$AB,4,0))),"",VLOOKUP($B96,SportslineData!$Q:$AB,4,0))</f>
        <v>286</v>
      </c>
      <c r="O96" s="82">
        <f>IF(OR(($A96=Settings!$A$30),ISERROR(VLOOKUP($B96,SportslineData!$Q:$AB,6,0))),"",ROUND(VLOOKUP($B96,SportslineData!$Q:$AB,6,0),0))</f>
        <v>1</v>
      </c>
      <c r="P96" s="82">
        <f>IF(OR(($A96=Settings!$A$30),ISERROR(VLOOKUP($B96,SportslineData!$Q:$AB,7,0))),"",ROUND(VLOOKUP($B96,SportslineData!$Q:$AB,7,0),0))</f>
        <v>6</v>
      </c>
      <c r="Q96" s="82">
        <f>IF(OR(($A96=Settings!$A$30),ISERROR(VLOOKUP($B96,SportslineData!$Q:$AB,8,0))),"",VLOOKUP($B96,SportslineData!$Q:$AB,8,0))</f>
        <v>36.5</v>
      </c>
      <c r="R96" s="82">
        <f>IF(OR(($A96=Settings!$A$30),ISERROR(VLOOKUP($B96,SportslineData!$Q:$AB,10,0))),"",ROUND(VLOOKUP($B96,SportslineData!$Q:$AB,10,0),0))</f>
        <v>0</v>
      </c>
      <c r="S96" s="74">
        <f>IF(OR(($A96=Settings!$A$30),ISERROR(VLOOKUP($B96,SportslineData!$Q:$AB,11,0))),"",ROUND(VLOOKUP($B96,SportslineData!$Q:$AB,11,0),0))</f>
        <v>0</v>
      </c>
      <c r="T96" s="117"/>
      <c r="U96" s="131">
        <f t="shared" si="10"/>
        <v>20.629671188202039</v>
      </c>
      <c r="V96" s="38">
        <f>IF(ISERROR(ROUND((((((ROUNDDOWN((D96/5),0)*Settings!$F$7)+(E96*Settings!$I$7))+(F96*Settings!$I$11))+(ROUNDDOWN((G96/5),0)*Settings!$F$11))+(H96*Settings!$F$12)),1)),0,ROUND((((((ROUNDDOWN((D96/5),0)*Settings!$F$7)+(E96*Settings!$I$7))+(F96*Settings!$I$11))+(ROUNDDOWN((G96/5),0)*Settings!$F$11))+(H96*Settings!$F$12)),1))</f>
        <v>0</v>
      </c>
      <c r="W96" s="38">
        <f>IF(ISERROR(ROUND((((((ROUNDDOWN((I96/5),0)*Settings!$F$7)+(J96*Settings!$I$7))+(K96*Settings!$I$11))+(ROUNDDOWN((L96/5),0)*Settings!$F$11))+(M96*Settings!$F$12)),1)),0,ROUND((((((ROUNDDOWN((I96/5),0)*Settings!$F$7)+(J96*Settings!$I$7))+(K96*Settings!$I$11))+(ROUNDDOWN((L96/5),0)*Settings!$F$11))+(M96*Settings!$F$12)),1))</f>
        <v>24.5</v>
      </c>
      <c r="X96" s="38">
        <f>IF(AND((N96=""),(P96="")),0,((((((ROUND((N96/5),0)*Settings!$F$7)+(O96*Settings!$I$7))+(P96*Settings!$I$11))+(ROUND((Q96/5),0)*Settings!$F$11))+(R96*Settings!$F$12))+(S96*Settings!$F$15)))</f>
        <v>41</v>
      </c>
      <c r="Y96" s="66">
        <f>ROUND((((V96*Settings!$B$21)+(W96*Settings!$B$22))+(X96*Settings!$B$23)),1)</f>
        <v>22</v>
      </c>
      <c r="Z96" s="66">
        <f>IF(ISERROR(VLOOKUP(RANK(Y96,$Y$4:$Y$182),Z$4:Z95,1,0)),RANK(Y96,$Y$4:$Y$182),IF(ISERROR(VLOOKUP((RANK(Y96,$Y$4:$Y$182)+1),Z$4:Z95,1,0)),(RANK(Y96,$Y$4:$Y$182)+1),IF(ISERROR(VLOOKUP((RANK(Y96,$Y$4:$Y$182)+2),Z$4:Z95,1,0)),(RANK(Y96,$Y$4:$Y$182)+2),(RANK(Y96,$Y$4:$Y$182)+3))))</f>
        <v>96</v>
      </c>
      <c r="AA96" t="str">
        <f t="shared" si="11"/>
        <v>Lorenzo Taliaferro</v>
      </c>
    </row>
    <row r="97" spans="1:27" ht="12.75" customHeight="1">
      <c r="A97" s="33" t="str">
        <f>ESPNData!R100</f>
        <v>De'Anthony Thomas, KC RB</v>
      </c>
      <c r="B97" s="33" t="str">
        <f t="shared" si="8"/>
        <v>De'Anthony Thomas</v>
      </c>
      <c r="C97" s="64" t="str">
        <f t="shared" si="9"/>
        <v>KC</v>
      </c>
      <c r="D97" s="117" t="str">
        <f>IF(OR(($A97=Settings!$A$30),ISERROR(VLOOKUP($B97,FFTodayData!$P:$Y,5,0))),"",VLOOKUP($B97,FFTodayData!$P:$Y,5,0))</f>
        <v/>
      </c>
      <c r="E97" s="33" t="str">
        <f>IF(OR(($A97=Settings!$A$30),ISERROR(VLOOKUP($B97,FFTodayData!$P:$Y,6,0))),"",VLOOKUP($B97,FFTodayData!$P:$Y,6,0))</f>
        <v/>
      </c>
      <c r="F97" s="33" t="str">
        <f>IF(OR(($A97=Settings!$A$30),ISERROR(VLOOKUP($B97,FFTodayData!$P:$Y,7,0))),"",VLOOKUP($B97,FFTodayData!$P:$Y,7,0))</f>
        <v/>
      </c>
      <c r="G97" s="33" t="str">
        <f>IF(OR(($A97=Settings!$A$30),ISERROR(VLOOKUP($B97,FFTodayData!$P:$Y,8,0))),"",VLOOKUP($B97,FFTodayData!$P:$Y,8,0))</f>
        <v/>
      </c>
      <c r="H97" s="64" t="str">
        <f>IF(OR(($A97=Settings!$A$30),ISERROR(VLOOKUP($B97,FFTodayData!$P:$Y,9,0))),"",VLOOKUP($B97,FFTodayData!$P:$Y,9,0))</f>
        <v/>
      </c>
      <c r="I97" s="117">
        <f>IF(ISERROR(VLOOKUP($A97,ESPNData!$R:$AE,9,0)),"",VLOOKUP($A97,ESPNData!$R:$AE,9,0))</f>
        <v>43</v>
      </c>
      <c r="J97" s="33">
        <f>IF(ISERROR(VLOOKUP($A97,ESPNData!$R:$AE,10,0)),"",VLOOKUP($A97,ESPNData!$R:$AE,10,0))</f>
        <v>0</v>
      </c>
      <c r="K97" s="33">
        <f>IF(ISERROR(VLOOKUP($A97,ESPNData!$R:$AE,11,0)),"",VLOOKUP($A97,ESPNData!$R:$AE,11,0))</f>
        <v>32</v>
      </c>
      <c r="L97" s="33">
        <f>IF(ISERROR(VLOOKUP($A97,ESPNData!$R:$AE,12,0)),"",VLOOKUP($A97,ESPNData!$R:$AE,12,0))</f>
        <v>244</v>
      </c>
      <c r="M97" s="64">
        <f>IF(ISERROR(VLOOKUP($A97,ESPNData!$R:$AE,13,0)),"",VLOOKUP($A97,ESPNData!$R:$AE,13,0))</f>
        <v>1</v>
      </c>
      <c r="N97" s="115">
        <f>IF(OR(($A97=Settings!$A$30),ISERROR(VLOOKUP($B97,SportslineData!$Q:$AB,4,0))),"",VLOOKUP($B97,SportslineData!$Q:$AB,4,0))</f>
        <v>97</v>
      </c>
      <c r="O97" s="82">
        <f>IF(OR(($A97=Settings!$A$30),ISERROR(VLOOKUP($B97,SportslineData!$Q:$AB,6,0))),"",ROUND(VLOOKUP($B97,SportslineData!$Q:$AB,6,0),0))</f>
        <v>1</v>
      </c>
      <c r="P97" s="82">
        <f>IF(OR(($A97=Settings!$A$30),ISERROR(VLOOKUP($B97,SportslineData!$Q:$AB,7,0))),"",ROUND(VLOOKUP($B97,SportslineData!$Q:$AB,7,0),0))</f>
        <v>16</v>
      </c>
      <c r="Q97" s="82">
        <f>IF(OR(($A97=Settings!$A$30),ISERROR(VLOOKUP($B97,SportslineData!$Q:$AB,8,0))),"",VLOOKUP($B97,SportslineData!$Q:$AB,8,0))</f>
        <v>126.5</v>
      </c>
      <c r="R97" s="82">
        <f>IF(OR(($A97=Settings!$A$30),ISERROR(VLOOKUP($B97,SportslineData!$Q:$AB,10,0))),"",ROUND(VLOOKUP($B97,SportslineData!$Q:$AB,10,0),0))</f>
        <v>1</v>
      </c>
      <c r="S97" s="74">
        <f>IF(OR(($A97=Settings!$A$30),ISERROR(VLOOKUP($B97,SportslineData!$Q:$AB,11,0))),"",ROUND(VLOOKUP($B97,SportslineData!$Q:$AB,11,0),0))</f>
        <v>0</v>
      </c>
      <c r="T97" s="117"/>
      <c r="U97" s="131">
        <f t="shared" si="10"/>
        <v>26.857649437978246</v>
      </c>
      <c r="V97" s="38">
        <f>IF(ISERROR(ROUND((((((ROUNDDOWN((D97/5),0)*Settings!$F$7)+(E97*Settings!$I$7))+(F97*Settings!$I$11))+(ROUNDDOWN((G97/5),0)*Settings!$F$11))+(H97*Settings!$F$12)),1)),0,ROUND((((((ROUNDDOWN((D97/5),0)*Settings!$F$7)+(E97*Settings!$I$7))+(F97*Settings!$I$11))+(ROUNDDOWN((G97/5),0)*Settings!$F$11))+(H97*Settings!$F$12)),1))</f>
        <v>0</v>
      </c>
      <c r="W97" s="38">
        <f>IF(ISERROR(ROUND((((((ROUNDDOWN((I97/5),0)*Settings!$F$7)+(J97*Settings!$I$7))+(K97*Settings!$I$11))+(ROUNDDOWN((L97/5),0)*Settings!$F$11))+(M97*Settings!$F$12)),1)),0,ROUND((((((ROUNDDOWN((I97/5),0)*Settings!$F$7)+(J97*Settings!$I$7))+(K97*Settings!$I$11))+(ROUNDDOWN((L97/5),0)*Settings!$F$11))+(M97*Settings!$F$12)),1))</f>
        <v>50</v>
      </c>
      <c r="X97" s="38">
        <f>IF(AND((N97=""),(P97="")),0,((((((ROUND((N97/5),0)*Settings!$F$7)+(O97*Settings!$I$7))+(P97*Settings!$I$11))+(ROUND((Q97/5),0)*Settings!$F$11))+(R97*Settings!$F$12))+(S97*Settings!$F$15)))</f>
        <v>42</v>
      </c>
      <c r="Y97" s="66">
        <f>ROUND((((V97*Settings!$B$21)+(W97*Settings!$B$22))+(X97*Settings!$B$23)),1)</f>
        <v>30.8</v>
      </c>
      <c r="Z97" s="66">
        <f>IF(ISERROR(VLOOKUP(RANK(Y97,$Y$4:$Y$182),Z$4:Z96,1,0)),RANK(Y97,$Y$4:$Y$182),IF(ISERROR(VLOOKUP((RANK(Y97,$Y$4:$Y$182)+1),Z$4:Z96,1,0)),(RANK(Y97,$Y$4:$Y$182)+1),IF(ISERROR(VLOOKUP((RANK(Y97,$Y$4:$Y$182)+2),Z$4:Z96,1,0)),(RANK(Y97,$Y$4:$Y$182)+2),(RANK(Y97,$Y$4:$Y$182)+3))))</f>
        <v>82</v>
      </c>
      <c r="AA97" t="str">
        <f t="shared" si="11"/>
        <v>De'Anthony Thomas</v>
      </c>
    </row>
    <row r="98" spans="1:27" ht="12.75" customHeight="1">
      <c r="A98" s="33" t="str">
        <f>ESPNData!R101</f>
        <v>Theo Riddick, Det RB</v>
      </c>
      <c r="B98" s="33" t="str">
        <f t="shared" si="8"/>
        <v>Theo Riddick</v>
      </c>
      <c r="C98" s="64" t="str">
        <f t="shared" si="9"/>
        <v>DET</v>
      </c>
      <c r="D98" s="117" t="str">
        <f>IF(OR(($A98=Settings!$A$30),ISERROR(VLOOKUP($B98,FFTodayData!$P:$Y,5,0))),"",VLOOKUP($B98,FFTodayData!$P:$Y,5,0))</f>
        <v/>
      </c>
      <c r="E98" s="33" t="str">
        <f>IF(OR(($A98=Settings!$A$30),ISERROR(VLOOKUP($B98,FFTodayData!$P:$Y,6,0))),"",VLOOKUP($B98,FFTodayData!$P:$Y,6,0))</f>
        <v/>
      </c>
      <c r="F98" s="33" t="str">
        <f>IF(OR(($A98=Settings!$A$30),ISERROR(VLOOKUP($B98,FFTodayData!$P:$Y,7,0))),"",VLOOKUP($B98,FFTodayData!$P:$Y,7,0))</f>
        <v/>
      </c>
      <c r="G98" s="33" t="str">
        <f>IF(OR(($A98=Settings!$A$30),ISERROR(VLOOKUP($B98,FFTodayData!$P:$Y,8,0))),"",VLOOKUP($B98,FFTodayData!$P:$Y,8,0))</f>
        <v/>
      </c>
      <c r="H98" s="64" t="str">
        <f>IF(OR(($A98=Settings!$A$30),ISERROR(VLOOKUP($B98,FFTodayData!$P:$Y,9,0))),"",VLOOKUP($B98,FFTodayData!$P:$Y,9,0))</f>
        <v/>
      </c>
      <c r="I98" s="117">
        <f>IF(ISERROR(VLOOKUP($A98,ESPNData!$R:$AE,9,0)),"",VLOOKUP($A98,ESPNData!$R:$AE,9,0))</f>
        <v>108</v>
      </c>
      <c r="J98" s="33">
        <f>IF(ISERROR(VLOOKUP($A98,ESPNData!$R:$AE,10,0)),"",VLOOKUP($A98,ESPNData!$R:$AE,10,0))</f>
        <v>1</v>
      </c>
      <c r="K98" s="33">
        <f>IF(ISERROR(VLOOKUP($A98,ESPNData!$R:$AE,11,0)),"",VLOOKUP($A98,ESPNData!$R:$AE,11,0))</f>
        <v>10</v>
      </c>
      <c r="L98" s="33">
        <f>IF(ISERROR(VLOOKUP($A98,ESPNData!$R:$AE,12,0)),"",VLOOKUP($A98,ESPNData!$R:$AE,12,0))</f>
        <v>65</v>
      </c>
      <c r="M98" s="64">
        <f>IF(ISERROR(VLOOKUP($A98,ESPNData!$R:$AE,13,0)),"",VLOOKUP($A98,ESPNData!$R:$AE,13,0))</f>
        <v>0</v>
      </c>
      <c r="N98" s="115">
        <f>IF(OR(($A98=Settings!$A$30),ISERROR(VLOOKUP($B98,SportslineData!$Q:$AB,4,0))),"",VLOOKUP($B98,SportslineData!$Q:$AB,4,0))</f>
        <v>154.5</v>
      </c>
      <c r="O98" s="82">
        <f>IF(OR(($A98=Settings!$A$30),ISERROR(VLOOKUP($B98,SportslineData!$Q:$AB,6,0))),"",ROUND(VLOOKUP($B98,SportslineData!$Q:$AB,6,0),0))</f>
        <v>1</v>
      </c>
      <c r="P98" s="82">
        <f>IF(OR(($A98=Settings!$A$30),ISERROR(VLOOKUP($B98,SportslineData!$Q:$AB,7,0))),"",ROUND(VLOOKUP($B98,SportslineData!$Q:$AB,7,0),0))</f>
        <v>10</v>
      </c>
      <c r="Q98" s="82">
        <f>IF(OR(($A98=Settings!$A$30),ISERROR(VLOOKUP($B98,SportslineData!$Q:$AB,8,0))),"",VLOOKUP($B98,SportslineData!$Q:$AB,8,0))</f>
        <v>62.5</v>
      </c>
      <c r="R98" s="82">
        <f>IF(OR(($A98=Settings!$A$30),ISERROR(VLOOKUP($B98,SportslineData!$Q:$AB,10,0))),"",ROUND(VLOOKUP($B98,SportslineData!$Q:$AB,10,0),0))</f>
        <v>0</v>
      </c>
      <c r="S98" s="74">
        <f>IF(OR(($A98=Settings!$A$30),ISERROR(VLOOKUP($B98,SportslineData!$Q:$AB,11,0))),"",ROUND(VLOOKUP($B98,SportslineData!$Q:$AB,11,0),0))</f>
        <v>0</v>
      </c>
      <c r="T98" s="117"/>
      <c r="U98" s="131">
        <f t="shared" si="10"/>
        <v>17.7857620959388</v>
      </c>
      <c r="V98" s="38">
        <f>IF(ISERROR(ROUND((((((ROUNDDOWN((D98/5),0)*Settings!$F$7)+(E98*Settings!$I$7))+(F98*Settings!$I$11))+(ROUNDDOWN((G98/5),0)*Settings!$F$11))+(H98*Settings!$F$12)),1)),0,ROUND((((((ROUNDDOWN((D98/5),0)*Settings!$F$7)+(E98*Settings!$I$7))+(F98*Settings!$I$11))+(ROUNDDOWN((G98/5),0)*Settings!$F$11))+(H98*Settings!$F$12)),1))</f>
        <v>0</v>
      </c>
      <c r="W98" s="38">
        <f>IF(ISERROR(ROUND((((((ROUNDDOWN((I98/5),0)*Settings!$F$7)+(J98*Settings!$I$7))+(K98*Settings!$I$11))+(ROUNDDOWN((L98/5),0)*Settings!$F$11))+(M98*Settings!$F$12)),1)),0,ROUND((((((ROUNDDOWN((I98/5),0)*Settings!$F$7)+(J98*Settings!$I$7))+(K98*Settings!$I$11))+(ROUNDDOWN((L98/5),0)*Settings!$F$11))+(M98*Settings!$F$12)),1))</f>
        <v>28</v>
      </c>
      <c r="X98" s="38">
        <f>IF(AND((N98=""),(P98="")),0,((((((ROUND((N98/5),0)*Settings!$F$7)+(O98*Settings!$I$7))+(P98*Settings!$I$11))+(ROUND((Q98/5),0)*Settings!$F$11))+(R98*Settings!$F$12))+(S98*Settings!$F$15)))</f>
        <v>33</v>
      </c>
      <c r="Y98" s="66">
        <f>ROUND((((V98*Settings!$B$21)+(W98*Settings!$B$22))+(X98*Settings!$B$23)),1)</f>
        <v>20.5</v>
      </c>
      <c r="Z98" s="66">
        <f>IF(ISERROR(VLOOKUP(RANK(Y98,$Y$4:$Y$182),Z$4:Z97,1,0)),RANK(Y98,$Y$4:$Y$182),IF(ISERROR(VLOOKUP((RANK(Y98,$Y$4:$Y$182)+1),Z$4:Z97,1,0)),(RANK(Y98,$Y$4:$Y$182)+1),IF(ISERROR(VLOOKUP((RANK(Y98,$Y$4:$Y$182)+2),Z$4:Z97,1,0)),(RANK(Y98,$Y$4:$Y$182)+2),(RANK(Y98,$Y$4:$Y$182)+3))))</f>
        <v>101</v>
      </c>
      <c r="AA98" t="str">
        <f t="shared" si="11"/>
        <v>Theo Riddick</v>
      </c>
    </row>
    <row r="99" spans="1:27" ht="12.75" customHeight="1">
      <c r="A99" s="33" t="str">
        <f>ESPNData!R102</f>
        <v>Peyton Hillis, NYG RB  Q</v>
      </c>
      <c r="B99" s="33" t="str">
        <f t="shared" si="8"/>
        <v>Peyton Hillis</v>
      </c>
      <c r="C99" s="64" t="str">
        <f t="shared" si="9"/>
        <v>NYG</v>
      </c>
      <c r="D99" s="117" t="str">
        <f>IF(OR(($A99=Settings!$A$30),ISERROR(VLOOKUP($B99,FFTodayData!$P:$Y,5,0))),"",VLOOKUP($B99,FFTodayData!$P:$Y,5,0))</f>
        <v/>
      </c>
      <c r="E99" s="33" t="str">
        <f>IF(OR(($A99=Settings!$A$30),ISERROR(VLOOKUP($B99,FFTodayData!$P:$Y,6,0))),"",VLOOKUP($B99,FFTodayData!$P:$Y,6,0))</f>
        <v/>
      </c>
      <c r="F99" s="33" t="str">
        <f>IF(OR(($A99=Settings!$A$30),ISERROR(VLOOKUP($B99,FFTodayData!$P:$Y,7,0))),"",VLOOKUP($B99,FFTodayData!$P:$Y,7,0))</f>
        <v/>
      </c>
      <c r="G99" s="33" t="str">
        <f>IF(OR(($A99=Settings!$A$30),ISERROR(VLOOKUP($B99,FFTodayData!$P:$Y,8,0))),"",VLOOKUP($B99,FFTodayData!$P:$Y,8,0))</f>
        <v/>
      </c>
      <c r="H99" s="64" t="str">
        <f>IF(OR(($A99=Settings!$A$30),ISERROR(VLOOKUP($B99,FFTodayData!$P:$Y,9,0))),"",VLOOKUP($B99,FFTodayData!$P:$Y,9,0))</f>
        <v/>
      </c>
      <c r="I99" s="117">
        <f>IF(ISERROR(VLOOKUP($A99,ESPNData!$R:$AE,9,0)),"",VLOOKUP($A99,ESPNData!$R:$AE,9,0))</f>
        <v>160</v>
      </c>
      <c r="J99" s="33">
        <f>IF(ISERROR(VLOOKUP($A99,ESPNData!$R:$AE,10,0)),"",VLOOKUP($A99,ESPNData!$R:$AE,10,0))</f>
        <v>1</v>
      </c>
      <c r="K99" s="33">
        <f>IF(ISERROR(VLOOKUP($A99,ESPNData!$R:$AE,11,0)),"",VLOOKUP($A99,ESPNData!$R:$AE,11,0))</f>
        <v>8</v>
      </c>
      <c r="L99" s="33">
        <f>IF(ISERROR(VLOOKUP($A99,ESPNData!$R:$AE,12,0)),"",VLOOKUP($A99,ESPNData!$R:$AE,12,0))</f>
        <v>61</v>
      </c>
      <c r="M99" s="64">
        <f>IF(ISERROR(VLOOKUP($A99,ESPNData!$R:$AE,13,0)),"",VLOOKUP($A99,ESPNData!$R:$AE,13,0))</f>
        <v>0</v>
      </c>
      <c r="N99" s="115">
        <f>IF(OR(($A99=Settings!$A$30),ISERROR(VLOOKUP($B99,SportslineData!$Q:$AB,4,0))),"",VLOOKUP($B99,SportslineData!$Q:$AB,4,0))</f>
        <v>233.5</v>
      </c>
      <c r="O99" s="82">
        <f>IF(OR(($A99=Settings!$A$30),ISERROR(VLOOKUP($B99,SportslineData!$Q:$AB,6,0))),"",ROUND(VLOOKUP($B99,SportslineData!$Q:$AB,6,0),0))</f>
        <v>2</v>
      </c>
      <c r="P99" s="82">
        <f>IF(OR(($A99=Settings!$A$30),ISERROR(VLOOKUP($B99,SportslineData!$Q:$AB,7,0))),"",ROUND(VLOOKUP($B99,SportslineData!$Q:$AB,7,0),0))</f>
        <v>16</v>
      </c>
      <c r="Q99" s="82">
        <f>IF(OR(($A99=Settings!$A$30),ISERROR(VLOOKUP($B99,SportslineData!$Q:$AB,8,0))),"",VLOOKUP($B99,SportslineData!$Q:$AB,8,0))</f>
        <v>108</v>
      </c>
      <c r="R99" s="82">
        <f>IF(OR(($A99=Settings!$A$30),ISERROR(VLOOKUP($B99,SportslineData!$Q:$AB,10,0))),"",ROUND(VLOOKUP($B99,SportslineData!$Q:$AB,10,0),0))</f>
        <v>0</v>
      </c>
      <c r="S99" s="74">
        <f>IF(OR(($A99=Settings!$A$30),ISERROR(VLOOKUP($B99,SportslineData!$Q:$AB,11,0))),"",ROUND(VLOOKUP($B99,SportslineData!$Q:$AB,11,0),0))</f>
        <v>1</v>
      </c>
      <c r="T99" s="117"/>
      <c r="U99" s="131">
        <f t="shared" si="10"/>
        <v>26.921181251943608</v>
      </c>
      <c r="V99" s="38">
        <f>IF(ISERROR(ROUND((((((ROUNDDOWN((D99/5),0)*Settings!$F$7)+(E99*Settings!$I$7))+(F99*Settings!$I$11))+(ROUNDDOWN((G99/5),0)*Settings!$F$11))+(H99*Settings!$F$12)),1)),0,ROUND((((((ROUNDDOWN((D99/5),0)*Settings!$F$7)+(E99*Settings!$I$7))+(F99*Settings!$I$11))+(ROUNDDOWN((G99/5),0)*Settings!$F$11))+(H99*Settings!$F$12)),1))</f>
        <v>0</v>
      </c>
      <c r="W99" s="38">
        <f>IF(ISERROR(ROUND((((((ROUNDDOWN((I99/5),0)*Settings!$F$7)+(J99*Settings!$I$7))+(K99*Settings!$I$11))+(ROUNDDOWN((L99/5),0)*Settings!$F$11))+(M99*Settings!$F$12)),1)),0,ROUND((((((ROUNDDOWN((I99/5),0)*Settings!$F$7)+(J99*Settings!$I$7))+(K99*Settings!$I$11))+(ROUNDDOWN((L99/5),0)*Settings!$F$11))+(M99*Settings!$F$12)),1))</f>
        <v>32</v>
      </c>
      <c r="X99" s="38">
        <f>IF(AND((N99=""),(P99="")),0,((((((ROUND((N99/5),0)*Settings!$F$7)+(O99*Settings!$I$7))+(P99*Settings!$I$11))+(ROUND((Q99/5),0)*Settings!$F$11))+(R99*Settings!$F$12))+(S99*Settings!$F$15)))</f>
        <v>53.5</v>
      </c>
      <c r="Y99" s="66">
        <f>ROUND((((V99*Settings!$B$21)+(W99*Settings!$B$22))+(X99*Settings!$B$23)),1)</f>
        <v>28.8</v>
      </c>
      <c r="Z99" s="66">
        <f>IF(ISERROR(VLOOKUP(RANK(Y99,$Y$4:$Y$182),Z$4:Z98,1,0)),RANK(Y99,$Y$4:$Y$182),IF(ISERROR(VLOOKUP((RANK(Y99,$Y$4:$Y$182)+1),Z$4:Z98,1,0)),(RANK(Y99,$Y$4:$Y$182)+1),IF(ISERROR(VLOOKUP((RANK(Y99,$Y$4:$Y$182)+2),Z$4:Z98,1,0)),(RANK(Y99,$Y$4:$Y$182)+2),(RANK(Y99,$Y$4:$Y$182)+3))))</f>
        <v>86</v>
      </c>
      <c r="AA99" t="str">
        <f t="shared" si="11"/>
        <v>Peyton Hillis</v>
      </c>
    </row>
    <row r="100" spans="1:27" ht="12.75" customHeight="1">
      <c r="A100" s="33" t="str">
        <f>ESPNData!R103</f>
        <v>Ryan Williams, Dal RB</v>
      </c>
      <c r="B100" s="33" t="str">
        <f t="shared" ref="B100:B131" si="12">IF(OR((A100=""),(A100=0)),"",IF(ISERROR(FIND("*",A100)),LEFT(A100,(FIND(",",A100)-1)),LEFT(A100,(FIND("*",A100)-1))))</f>
        <v>Ryan Williams</v>
      </c>
      <c r="C100" s="64" t="str">
        <f t="shared" ref="C100:C131" si="13">IF((A100=""),"",UPPER(RIGHT(LEFT(A100,(FIND("RB",A100)-2)),(LEN(LEFT(A100,(FIND("RB",A100)-2)))-(FIND(",",LEFT(A100,(FIND("RB",A100)-2)))+1)))))</f>
        <v>DAL</v>
      </c>
      <c r="D100" s="117" t="str">
        <f>IF(OR(($A100=Settings!$A$30),ISERROR(VLOOKUP($B100,FFTodayData!$P:$Y,5,0))),"",VLOOKUP($B100,FFTodayData!$P:$Y,5,0))</f>
        <v/>
      </c>
      <c r="E100" s="33" t="str">
        <f>IF(OR(($A100=Settings!$A$30),ISERROR(VLOOKUP($B100,FFTodayData!$P:$Y,6,0))),"",VLOOKUP($B100,FFTodayData!$P:$Y,6,0))</f>
        <v/>
      </c>
      <c r="F100" s="33" t="str">
        <f>IF(OR(($A100=Settings!$A$30),ISERROR(VLOOKUP($B100,FFTodayData!$P:$Y,7,0))),"",VLOOKUP($B100,FFTodayData!$P:$Y,7,0))</f>
        <v/>
      </c>
      <c r="G100" s="33" t="str">
        <f>IF(OR(($A100=Settings!$A$30),ISERROR(VLOOKUP($B100,FFTodayData!$P:$Y,8,0))),"",VLOOKUP($B100,FFTodayData!$P:$Y,8,0))</f>
        <v/>
      </c>
      <c r="H100" s="64" t="str">
        <f>IF(OR(($A100=Settings!$A$30),ISERROR(VLOOKUP($B100,FFTodayData!$P:$Y,9,0))),"",VLOOKUP($B100,FFTodayData!$P:$Y,9,0))</f>
        <v/>
      </c>
      <c r="I100" s="117">
        <f>IF(ISERROR(VLOOKUP($A100,ESPNData!$R:$AE,9,0)),"",VLOOKUP($A100,ESPNData!$R:$AE,9,0))</f>
        <v>64</v>
      </c>
      <c r="J100" s="33">
        <f>IF(ISERROR(VLOOKUP($A100,ESPNData!$R:$AE,10,0)),"",VLOOKUP($A100,ESPNData!$R:$AE,10,0))</f>
        <v>0</v>
      </c>
      <c r="K100" s="33">
        <f>IF(ISERROR(VLOOKUP($A100,ESPNData!$R:$AE,11,0)),"",VLOOKUP($A100,ESPNData!$R:$AE,11,0))</f>
        <v>5</v>
      </c>
      <c r="L100" s="33">
        <f>IF(ISERROR(VLOOKUP($A100,ESPNData!$R:$AE,12,0)),"",VLOOKUP($A100,ESPNData!$R:$AE,12,0))</f>
        <v>36</v>
      </c>
      <c r="M100" s="64">
        <f>IF(ISERROR(VLOOKUP($A100,ESPNData!$R:$AE,13,0)),"",VLOOKUP($A100,ESPNData!$R:$AE,13,0))</f>
        <v>0</v>
      </c>
      <c r="N100" s="115">
        <f>IF(OR(($A100=Settings!$A$30),ISERROR(VLOOKUP($B100,SportslineData!$Q:$AB,4,0))),"",VLOOKUP($B100,SportslineData!$Q:$AB,4,0))</f>
        <v>88</v>
      </c>
      <c r="O100" s="82">
        <f>IF(OR(($A100=Settings!$A$30),ISERROR(VLOOKUP($B100,SportslineData!$Q:$AB,6,0))),"",ROUND(VLOOKUP($B100,SportslineData!$Q:$AB,6,0),0))</f>
        <v>0</v>
      </c>
      <c r="P100" s="82">
        <f>IF(OR(($A100=Settings!$A$30),ISERROR(VLOOKUP($B100,SportslineData!$Q:$AB,7,0))),"",ROUND(VLOOKUP($B100,SportslineData!$Q:$AB,7,0),0))</f>
        <v>3</v>
      </c>
      <c r="Q100" s="82">
        <f>IF(OR(($A100=Settings!$A$30),ISERROR(VLOOKUP($B100,SportslineData!$Q:$AB,8,0))),"",VLOOKUP($B100,SportslineData!$Q:$AB,8,0))</f>
        <v>23.5</v>
      </c>
      <c r="R100" s="82">
        <f>IF(OR(($A100=Settings!$A$30),ISERROR(VLOOKUP($B100,SportslineData!$Q:$AB,10,0))),"",ROUND(VLOOKUP($B100,SportslineData!$Q:$AB,10,0),0))</f>
        <v>0</v>
      </c>
      <c r="S100" s="74">
        <f>IF(OR(($A100=Settings!$A$30),ISERROR(VLOOKUP($B100,SportslineData!$Q:$AB,11,0))),"",ROUND(VLOOKUP($B100,SportslineData!$Q:$AB,11,0),0))</f>
        <v>1</v>
      </c>
      <c r="T100" s="117"/>
      <c r="U100" s="131">
        <f t="shared" ref="U100:U131" si="14">STDEV(V100:X100)</f>
        <v>6.9282032302755088</v>
      </c>
      <c r="V100" s="38">
        <f>IF(ISERROR(ROUND((((((ROUNDDOWN((D100/5),0)*Settings!$F$7)+(E100*Settings!$I$7))+(F100*Settings!$I$11))+(ROUNDDOWN((G100/5),0)*Settings!$F$11))+(H100*Settings!$F$12)),1)),0,ROUND((((((ROUNDDOWN((D100/5),0)*Settings!$F$7)+(E100*Settings!$I$7))+(F100*Settings!$I$11))+(ROUNDDOWN((G100/5),0)*Settings!$F$11))+(H100*Settings!$F$12)),1))</f>
        <v>0</v>
      </c>
      <c r="W100" s="38">
        <f>IF(ISERROR(ROUND((((((ROUNDDOWN((I100/5),0)*Settings!$F$7)+(J100*Settings!$I$7))+(K100*Settings!$I$11))+(ROUNDDOWN((L100/5),0)*Settings!$F$11))+(M100*Settings!$F$12)),1)),0,ROUND((((((ROUNDDOWN((I100/5),0)*Settings!$F$7)+(J100*Settings!$I$7))+(K100*Settings!$I$11))+(ROUNDDOWN((L100/5),0)*Settings!$F$11))+(M100*Settings!$F$12)),1))</f>
        <v>12</v>
      </c>
      <c r="X100" s="38">
        <f>IF(AND((N100=""),(P100="")),0,((((((ROUND((N100/5),0)*Settings!$F$7)+(O100*Settings!$I$7))+(P100*Settings!$I$11))+(ROUND((Q100/5),0)*Settings!$F$11))+(R100*Settings!$F$12))+(S100*Settings!$F$15)))</f>
        <v>12</v>
      </c>
      <c r="Y100" s="66">
        <f>ROUND((((V100*Settings!$B$21)+(W100*Settings!$B$22))+(X100*Settings!$B$23)),1)</f>
        <v>8</v>
      </c>
      <c r="Z100" s="66">
        <f>IF(ISERROR(VLOOKUP(RANK(Y100,$Y$4:$Y$182),Z$4:Z99,1,0)),RANK(Y100,$Y$4:$Y$182),IF(ISERROR(VLOOKUP((RANK(Y100,$Y$4:$Y$182)+1),Z$4:Z99,1,0)),(RANK(Y100,$Y$4:$Y$182)+1),IF(ISERROR(VLOOKUP((RANK(Y100,$Y$4:$Y$182)+2),Z$4:Z99,1,0)),(RANK(Y100,$Y$4:$Y$182)+2),(RANK(Y100,$Y$4:$Y$182)+3))))</f>
        <v>112</v>
      </c>
      <c r="AA100" t="str">
        <f t="shared" ref="AA100:AA131" si="15">B100</f>
        <v>Ryan Williams</v>
      </c>
    </row>
    <row r="101" spans="1:27" ht="12.75" customHeight="1">
      <c r="A101" s="33" t="str">
        <f>ESPNData!R104</f>
        <v>Marcus Lattimore, SF RB  Q</v>
      </c>
      <c r="B101" s="33" t="str">
        <f t="shared" si="12"/>
        <v>Marcus Lattimore</v>
      </c>
      <c r="C101" s="64" t="str">
        <f t="shared" si="13"/>
        <v>SF</v>
      </c>
      <c r="D101" s="117" t="str">
        <f>IF(OR(($A101=Settings!$A$30),ISERROR(VLOOKUP($B101,FFTodayData!$P:$Y,5,0))),"",VLOOKUP($B101,FFTodayData!$P:$Y,5,0))</f>
        <v/>
      </c>
      <c r="E101" s="33" t="str">
        <f>IF(OR(($A101=Settings!$A$30),ISERROR(VLOOKUP($B101,FFTodayData!$P:$Y,6,0))),"",VLOOKUP($B101,FFTodayData!$P:$Y,6,0))</f>
        <v/>
      </c>
      <c r="F101" s="33" t="str">
        <f>IF(OR(($A101=Settings!$A$30),ISERROR(VLOOKUP($B101,FFTodayData!$P:$Y,7,0))),"",VLOOKUP($B101,FFTodayData!$P:$Y,7,0))</f>
        <v/>
      </c>
      <c r="G101" s="33" t="str">
        <f>IF(OR(($A101=Settings!$A$30),ISERROR(VLOOKUP($B101,FFTodayData!$P:$Y,8,0))),"",VLOOKUP($B101,FFTodayData!$P:$Y,8,0))</f>
        <v/>
      </c>
      <c r="H101" s="64" t="str">
        <f>IF(OR(($A101=Settings!$A$30),ISERROR(VLOOKUP($B101,FFTodayData!$P:$Y,9,0))),"",VLOOKUP($B101,FFTodayData!$P:$Y,9,0))</f>
        <v/>
      </c>
      <c r="I101" s="117">
        <f>IF(ISERROR(VLOOKUP($A101,ESPNData!$R:$AE,9,0)),"",VLOOKUP($A101,ESPNData!$R:$AE,9,0))</f>
        <v>103</v>
      </c>
      <c r="J101" s="33">
        <f>IF(ISERROR(VLOOKUP($A101,ESPNData!$R:$AE,10,0)),"",VLOOKUP($A101,ESPNData!$R:$AE,10,0))</f>
        <v>1</v>
      </c>
      <c r="K101" s="33">
        <f>IF(ISERROR(VLOOKUP($A101,ESPNData!$R:$AE,11,0)),"",VLOOKUP($A101,ESPNData!$R:$AE,11,0))</f>
        <v>4</v>
      </c>
      <c r="L101" s="33">
        <f>IF(ISERROR(VLOOKUP($A101,ESPNData!$R:$AE,12,0)),"",VLOOKUP($A101,ESPNData!$R:$AE,12,0))</f>
        <v>26</v>
      </c>
      <c r="M101" s="64">
        <f>IF(ISERROR(VLOOKUP($A101,ESPNData!$R:$AE,13,0)),"",VLOOKUP($A101,ESPNData!$R:$AE,13,0))</f>
        <v>0</v>
      </c>
      <c r="N101" s="115">
        <f>IF(OR(($A101=Settings!$A$30),ISERROR(VLOOKUP($B101,SportslineData!$Q:$AB,4,0))),"",VLOOKUP($B101,SportslineData!$Q:$AB,4,0))</f>
        <v>332</v>
      </c>
      <c r="O101" s="82">
        <f>IF(OR(($A101=Settings!$A$30),ISERROR(VLOOKUP($B101,SportslineData!$Q:$AB,6,0))),"",ROUND(VLOOKUP($B101,SportslineData!$Q:$AB,6,0),0))</f>
        <v>3</v>
      </c>
      <c r="P101" s="82">
        <f>IF(OR(($A101=Settings!$A$30),ISERROR(VLOOKUP($B101,SportslineData!$Q:$AB,7,0))),"",ROUND(VLOOKUP($B101,SportslineData!$Q:$AB,7,0),0))</f>
        <v>7</v>
      </c>
      <c r="Q101" s="82">
        <f>IF(OR(($A101=Settings!$A$30),ISERROR(VLOOKUP($B101,SportslineData!$Q:$AB,8,0))),"",VLOOKUP($B101,SportslineData!$Q:$AB,8,0))</f>
        <v>58</v>
      </c>
      <c r="R101" s="82">
        <f>IF(OR(($A101=Settings!$A$30),ISERROR(VLOOKUP($B101,SportslineData!$Q:$AB,10,0))),"",ROUND(VLOOKUP($B101,SportslineData!$Q:$AB,10,0),0))</f>
        <v>0</v>
      </c>
      <c r="S101" s="74">
        <f>IF(OR(($A101=Settings!$A$30),ISERROR(VLOOKUP($B101,SportslineData!$Q:$AB,11,0))),"",ROUND(VLOOKUP($B101,SportslineData!$Q:$AB,11,0),0))</f>
        <v>0</v>
      </c>
      <c r="T101" s="117"/>
      <c r="U101" s="131">
        <f t="shared" si="14"/>
        <v>30.769302884530873</v>
      </c>
      <c r="V101" s="38">
        <f>IF(ISERROR(ROUND((((((ROUNDDOWN((D101/5),0)*Settings!$F$7)+(E101*Settings!$I$7))+(F101*Settings!$I$11))+(ROUNDDOWN((G101/5),0)*Settings!$F$11))+(H101*Settings!$F$12)),1)),0,ROUND((((((ROUNDDOWN((D101/5),0)*Settings!$F$7)+(E101*Settings!$I$7))+(F101*Settings!$I$11))+(ROUNDDOWN((G101/5),0)*Settings!$F$11))+(H101*Settings!$F$12)),1))</f>
        <v>0</v>
      </c>
      <c r="W101" s="38">
        <f>IF(ISERROR(ROUND((((((ROUNDDOWN((I101/5),0)*Settings!$F$7)+(J101*Settings!$I$7))+(K101*Settings!$I$11))+(ROUNDDOWN((L101/5),0)*Settings!$F$11))+(M101*Settings!$F$12)),1)),0,ROUND((((((ROUNDDOWN((I101/5),0)*Settings!$F$7)+(J101*Settings!$I$7))+(K101*Settings!$I$11))+(ROUNDDOWN((L101/5),0)*Settings!$F$11))+(M101*Settings!$F$12)),1))</f>
        <v>20.5</v>
      </c>
      <c r="X101" s="38">
        <f>IF(AND((N101=""),(P101="")),0,((((((ROUND((N101/5),0)*Settings!$F$7)+(O101*Settings!$I$7))+(P101*Settings!$I$11))+(ROUND((Q101/5),0)*Settings!$F$11))+(R101*Settings!$F$12))+(S101*Settings!$F$15)))</f>
        <v>60.5</v>
      </c>
      <c r="Y101" s="66">
        <f>ROUND((((V101*Settings!$B$21)+(W101*Settings!$B$22))+(X101*Settings!$B$23)),1)</f>
        <v>27.3</v>
      </c>
      <c r="Z101" s="66">
        <f>IF(ISERROR(VLOOKUP(RANK(Y101,$Y$4:$Y$182),Z$4:Z100,1,0)),RANK(Y101,$Y$4:$Y$182),IF(ISERROR(VLOOKUP((RANK(Y101,$Y$4:$Y$182)+1),Z$4:Z100,1,0)),(RANK(Y101,$Y$4:$Y$182)+1),IF(ISERROR(VLOOKUP((RANK(Y101,$Y$4:$Y$182)+2),Z$4:Z100,1,0)),(RANK(Y101,$Y$4:$Y$182)+2),(RANK(Y101,$Y$4:$Y$182)+3))))</f>
        <v>88</v>
      </c>
      <c r="AA101" t="str">
        <f t="shared" si="15"/>
        <v>Marcus Lattimore</v>
      </c>
    </row>
    <row r="102" spans="1:27" ht="12.75" customHeight="1">
      <c r="A102" s="33" t="str">
        <f>ESPNData!R105</f>
        <v>Lache Seastrunk, Wsh RB</v>
      </c>
      <c r="B102" s="33" t="str">
        <f t="shared" si="12"/>
        <v>Lache Seastrunk</v>
      </c>
      <c r="C102" s="64" t="str">
        <f t="shared" si="13"/>
        <v>WSH</v>
      </c>
      <c r="D102" s="117" t="str">
        <f>IF(OR(($A102=Settings!$A$30),ISERROR(VLOOKUP($B102,FFTodayData!$P:$Y,5,0))),"",VLOOKUP($B102,FFTodayData!$P:$Y,5,0))</f>
        <v/>
      </c>
      <c r="E102" s="33" t="str">
        <f>IF(OR(($A102=Settings!$A$30),ISERROR(VLOOKUP($B102,FFTodayData!$P:$Y,6,0))),"",VLOOKUP($B102,FFTodayData!$P:$Y,6,0))</f>
        <v/>
      </c>
      <c r="F102" s="33" t="str">
        <f>IF(OR(($A102=Settings!$A$30),ISERROR(VLOOKUP($B102,FFTodayData!$P:$Y,7,0))),"",VLOOKUP($B102,FFTodayData!$P:$Y,7,0))</f>
        <v/>
      </c>
      <c r="G102" s="33" t="str">
        <f>IF(OR(($A102=Settings!$A$30),ISERROR(VLOOKUP($B102,FFTodayData!$P:$Y,8,0))),"",VLOOKUP($B102,FFTodayData!$P:$Y,8,0))</f>
        <v/>
      </c>
      <c r="H102" s="64" t="str">
        <f>IF(OR(($A102=Settings!$A$30),ISERROR(VLOOKUP($B102,FFTodayData!$P:$Y,9,0))),"",VLOOKUP($B102,FFTodayData!$P:$Y,9,0))</f>
        <v/>
      </c>
      <c r="I102" s="117">
        <f>IF(ISERROR(VLOOKUP($A102,ESPNData!$R:$AE,9,0)),"",VLOOKUP($A102,ESPNData!$R:$AE,9,0))</f>
        <v>151</v>
      </c>
      <c r="J102" s="33">
        <f>IF(ISERROR(VLOOKUP($A102,ESPNData!$R:$AE,10,0)),"",VLOOKUP($A102,ESPNData!$R:$AE,10,0))</f>
        <v>1</v>
      </c>
      <c r="K102" s="33">
        <f>IF(ISERROR(VLOOKUP($A102,ESPNData!$R:$AE,11,0)),"",VLOOKUP($A102,ESPNData!$R:$AE,11,0))</f>
        <v>2</v>
      </c>
      <c r="L102" s="33">
        <f>IF(ISERROR(VLOOKUP($A102,ESPNData!$R:$AE,12,0)),"",VLOOKUP($A102,ESPNData!$R:$AE,12,0))</f>
        <v>17</v>
      </c>
      <c r="M102" s="64">
        <f>IF(ISERROR(VLOOKUP($A102,ESPNData!$R:$AE,13,0)),"",VLOOKUP($A102,ESPNData!$R:$AE,13,0))</f>
        <v>0</v>
      </c>
      <c r="N102" s="115">
        <f>IF(OR(($A102=Settings!$A$30),ISERROR(VLOOKUP($B102,SportslineData!$Q:$AB,4,0))),"",VLOOKUP($B102,SportslineData!$Q:$AB,4,0))</f>
        <v>234.5</v>
      </c>
      <c r="O102" s="82">
        <f>IF(OR(($A102=Settings!$A$30),ISERROR(VLOOKUP($B102,SportslineData!$Q:$AB,6,0))),"",ROUND(VLOOKUP($B102,SportslineData!$Q:$AB,6,0),0))</f>
        <v>2</v>
      </c>
      <c r="P102" s="82">
        <f>IF(OR(($A102=Settings!$A$30),ISERROR(VLOOKUP($B102,SportslineData!$Q:$AB,7,0))),"",ROUND(VLOOKUP($B102,SportslineData!$Q:$AB,7,0),0))</f>
        <v>7</v>
      </c>
      <c r="Q102" s="82">
        <f>IF(OR(($A102=Settings!$A$30),ISERROR(VLOOKUP($B102,SportslineData!$Q:$AB,8,0))),"",VLOOKUP($B102,SportslineData!$Q:$AB,8,0))</f>
        <v>67</v>
      </c>
      <c r="R102" s="82">
        <f>IF(OR(($A102=Settings!$A$30),ISERROR(VLOOKUP($B102,SportslineData!$Q:$AB,10,0))),"",ROUND(VLOOKUP($B102,SportslineData!$Q:$AB,10,0),0))</f>
        <v>0</v>
      </c>
      <c r="S102" s="74">
        <f>IF(OR(($A102=Settings!$A$30),ISERROR(VLOOKUP($B102,SportslineData!$Q:$AB,11,0))),"",ROUND(VLOOKUP($B102,SportslineData!$Q:$AB,11,0),0))</f>
        <v>0</v>
      </c>
      <c r="T102" s="117"/>
      <c r="U102" s="131">
        <f t="shared" si="14"/>
        <v>22.754120505965506</v>
      </c>
      <c r="V102" s="38">
        <f>IF(ISERROR(ROUND((((((ROUNDDOWN((D102/5),0)*Settings!$F$7)+(E102*Settings!$I$7))+(F102*Settings!$I$11))+(ROUNDDOWN((G102/5),0)*Settings!$F$11))+(H102*Settings!$F$12)),1)),0,ROUND((((((ROUNDDOWN((D102/5),0)*Settings!$F$7)+(E102*Settings!$I$7))+(F102*Settings!$I$11))+(ROUNDDOWN((G102/5),0)*Settings!$F$11))+(H102*Settings!$F$12)),1))</f>
        <v>0</v>
      </c>
      <c r="W102" s="38">
        <f>IF(ISERROR(ROUND((((((ROUNDDOWN((I102/5),0)*Settings!$F$7)+(J102*Settings!$I$7))+(K102*Settings!$I$11))+(ROUNDDOWN((L102/5),0)*Settings!$F$11))+(M102*Settings!$F$12)),1)),0,ROUND((((((ROUNDDOWN((I102/5),0)*Settings!$F$7)+(J102*Settings!$I$7))+(K102*Settings!$I$11))+(ROUNDDOWN((L102/5),0)*Settings!$F$11))+(M102*Settings!$F$12)),1))</f>
        <v>23.5</v>
      </c>
      <c r="X102" s="38">
        <f>IF(AND((N102=""),(P102="")),0,((((((ROUND((N102/5),0)*Settings!$F$7)+(O102*Settings!$I$7))+(P102*Settings!$I$11))+(ROUND((Q102/5),0)*Settings!$F$11))+(R102*Settings!$F$12))+(S102*Settings!$F$15)))</f>
        <v>45.5</v>
      </c>
      <c r="Y102" s="66">
        <f>ROUND((((V102*Settings!$B$21)+(W102*Settings!$B$22))+(X102*Settings!$B$23)),1)</f>
        <v>23.2</v>
      </c>
      <c r="Z102" s="66">
        <f>IF(ISERROR(VLOOKUP(RANK(Y102,$Y$4:$Y$182),Z$4:Z101,1,0)),RANK(Y102,$Y$4:$Y$182),IF(ISERROR(VLOOKUP((RANK(Y102,$Y$4:$Y$182)+1),Z$4:Z101,1,0)),(RANK(Y102,$Y$4:$Y$182)+1),IF(ISERROR(VLOOKUP((RANK(Y102,$Y$4:$Y$182)+2),Z$4:Z101,1,0)),(RANK(Y102,$Y$4:$Y$182)+2),(RANK(Y102,$Y$4:$Y$182)+3))))</f>
        <v>94</v>
      </c>
      <c r="AA102" t="str">
        <f t="shared" si="15"/>
        <v>Lache Seastrunk</v>
      </c>
    </row>
    <row r="103" spans="1:27" ht="12.75" customHeight="1">
      <c r="A103" s="33" t="str">
        <f>ESPNData!R106</f>
        <v>Edwin Baker, Cle RB</v>
      </c>
      <c r="B103" s="33" t="str">
        <f t="shared" si="12"/>
        <v>Edwin Baker</v>
      </c>
      <c r="C103" s="64" t="str">
        <f t="shared" si="13"/>
        <v>CLE</v>
      </c>
      <c r="D103" s="117" t="str">
        <f>IF(OR(($A103=Settings!$A$30),ISERROR(VLOOKUP($B103,FFTodayData!$P:$Y,5,0))),"",VLOOKUP($B103,FFTodayData!$P:$Y,5,0))</f>
        <v/>
      </c>
      <c r="E103" s="33" t="str">
        <f>IF(OR(($A103=Settings!$A$30),ISERROR(VLOOKUP($B103,FFTodayData!$P:$Y,6,0))),"",VLOOKUP($B103,FFTodayData!$P:$Y,6,0))</f>
        <v/>
      </c>
      <c r="F103" s="33" t="str">
        <f>IF(OR(($A103=Settings!$A$30),ISERROR(VLOOKUP($B103,FFTodayData!$P:$Y,7,0))),"",VLOOKUP($B103,FFTodayData!$P:$Y,7,0))</f>
        <v/>
      </c>
      <c r="G103" s="33" t="str">
        <f>IF(OR(($A103=Settings!$A$30),ISERROR(VLOOKUP($B103,FFTodayData!$P:$Y,8,0))),"",VLOOKUP($B103,FFTodayData!$P:$Y,8,0))</f>
        <v/>
      </c>
      <c r="H103" s="64" t="str">
        <f>IF(OR(($A103=Settings!$A$30),ISERROR(VLOOKUP($B103,FFTodayData!$P:$Y,9,0))),"",VLOOKUP($B103,FFTodayData!$P:$Y,9,0))</f>
        <v/>
      </c>
      <c r="I103" s="117">
        <f>IF(ISERROR(VLOOKUP($A103,ESPNData!$R:$AE,9,0)),"",VLOOKUP($A103,ESPNData!$R:$AE,9,0))</f>
        <v>75</v>
      </c>
      <c r="J103" s="33">
        <f>IF(ISERROR(VLOOKUP($A103,ESPNData!$R:$AE,10,0)),"",VLOOKUP($A103,ESPNData!$R:$AE,10,0))</f>
        <v>1</v>
      </c>
      <c r="K103" s="33">
        <f>IF(ISERROR(VLOOKUP($A103,ESPNData!$R:$AE,11,0)),"",VLOOKUP($A103,ESPNData!$R:$AE,11,0))</f>
        <v>6</v>
      </c>
      <c r="L103" s="33">
        <f>IF(ISERROR(VLOOKUP($A103,ESPNData!$R:$AE,12,0)),"",VLOOKUP($A103,ESPNData!$R:$AE,12,0))</f>
        <v>46</v>
      </c>
      <c r="M103" s="64">
        <f>IF(ISERROR(VLOOKUP($A103,ESPNData!$R:$AE,13,0)),"",VLOOKUP($A103,ESPNData!$R:$AE,13,0))</f>
        <v>0</v>
      </c>
      <c r="N103" s="115">
        <f>IF(OR(($A103=Settings!$A$30),ISERROR(VLOOKUP($B103,SportslineData!$Q:$AB,4,0))),"",VLOOKUP($B103,SportslineData!$Q:$AB,4,0))</f>
        <v>60.5</v>
      </c>
      <c r="O103" s="82">
        <f>IF(OR(($A103=Settings!$A$30),ISERROR(VLOOKUP($B103,SportslineData!$Q:$AB,6,0))),"",ROUND(VLOOKUP($B103,SportslineData!$Q:$AB,6,0),0))</f>
        <v>0</v>
      </c>
      <c r="P103" s="82">
        <f>IF(OR(($A103=Settings!$A$30),ISERROR(VLOOKUP($B103,SportslineData!$Q:$AB,7,0))),"",ROUND(VLOOKUP($B103,SportslineData!$Q:$AB,7,0),0))</f>
        <v>3</v>
      </c>
      <c r="Q103" s="82">
        <f>IF(OR(($A103=Settings!$A$30),ISERROR(VLOOKUP($B103,SportslineData!$Q:$AB,8,0))),"",VLOOKUP($B103,SportslineData!$Q:$AB,8,0))</f>
        <v>15.5</v>
      </c>
      <c r="R103" s="82">
        <f>IF(OR(($A103=Settings!$A$30),ISERROR(VLOOKUP($B103,SportslineData!$Q:$AB,10,0))),"",ROUND(VLOOKUP($B103,SportslineData!$Q:$AB,10,0),0))</f>
        <v>0</v>
      </c>
      <c r="S103" s="74">
        <f>IF(OR(($A103=Settings!$A$30),ISERROR(VLOOKUP($B103,SportslineData!$Q:$AB,11,0))),"",ROUND(VLOOKUP($B103,SportslineData!$Q:$AB,11,0),0))</f>
        <v>0</v>
      </c>
      <c r="T103" s="117"/>
      <c r="U103" s="131">
        <f t="shared" si="14"/>
        <v>10.535653752852738</v>
      </c>
      <c r="V103" s="38">
        <f>IF(ISERROR(ROUND((((((ROUNDDOWN((D103/5),0)*Settings!$F$7)+(E103*Settings!$I$7))+(F103*Settings!$I$11))+(ROUNDDOWN((G103/5),0)*Settings!$F$11))+(H103*Settings!$F$12)),1)),0,ROUND((((((ROUNDDOWN((D103/5),0)*Settings!$F$7)+(E103*Settings!$I$7))+(F103*Settings!$I$11))+(ROUNDDOWN((G103/5),0)*Settings!$F$11))+(H103*Settings!$F$12)),1))</f>
        <v>0</v>
      </c>
      <c r="W103" s="38">
        <f>IF(ISERROR(ROUND((((((ROUNDDOWN((I103/5),0)*Settings!$F$7)+(J103*Settings!$I$7))+(K103*Settings!$I$11))+(ROUNDDOWN((L103/5),0)*Settings!$F$11))+(M103*Settings!$F$12)),1)),0,ROUND((((((ROUNDDOWN((I103/5),0)*Settings!$F$7)+(J103*Settings!$I$7))+(K103*Settings!$I$11))+(ROUNDDOWN((L103/5),0)*Settings!$F$11))+(M103*Settings!$F$12)),1))</f>
        <v>21</v>
      </c>
      <c r="X103" s="38">
        <f>IF(AND((N103=""),(P103="")),0,((((((ROUND((N103/5),0)*Settings!$F$7)+(O103*Settings!$I$7))+(P103*Settings!$I$11))+(ROUND((Q103/5),0)*Settings!$F$11))+(R103*Settings!$F$12))+(S103*Settings!$F$15)))</f>
        <v>9</v>
      </c>
      <c r="Y103" s="66">
        <f>ROUND((((V103*Settings!$B$21)+(W103*Settings!$B$22))+(X103*Settings!$B$23)),1)</f>
        <v>10</v>
      </c>
      <c r="Z103" s="66">
        <f>IF(ISERROR(VLOOKUP(RANK(Y103,$Y$4:$Y$182),Z$4:Z102,1,0)),RANK(Y103,$Y$4:$Y$182),IF(ISERROR(VLOOKUP((RANK(Y103,$Y$4:$Y$182)+1),Z$4:Z102,1,0)),(RANK(Y103,$Y$4:$Y$182)+1),IF(ISERROR(VLOOKUP((RANK(Y103,$Y$4:$Y$182)+2),Z$4:Z102,1,0)),(RANK(Y103,$Y$4:$Y$182)+2),(RANK(Y103,$Y$4:$Y$182)+3))))</f>
        <v>111</v>
      </c>
      <c r="AA103" t="str">
        <f t="shared" si="15"/>
        <v>Edwin Baker</v>
      </c>
    </row>
    <row r="104" spans="1:27" ht="12.75" customHeight="1">
      <c r="A104" s="33" t="str">
        <f>ESPNData!R107</f>
        <v>Kenjon Barner, Car RB</v>
      </c>
      <c r="B104" s="33" t="str">
        <f t="shared" si="12"/>
        <v>Kenjon Barner</v>
      </c>
      <c r="C104" s="64" t="str">
        <f t="shared" si="13"/>
        <v>CAR</v>
      </c>
      <c r="D104" s="117" t="str">
        <f>IF(OR(($A104=Settings!$A$30),ISERROR(VLOOKUP($B104,FFTodayData!$P:$Y,5,0))),"",VLOOKUP($B104,FFTodayData!$P:$Y,5,0))</f>
        <v/>
      </c>
      <c r="E104" s="33" t="str">
        <f>IF(OR(($A104=Settings!$A$30),ISERROR(VLOOKUP($B104,FFTodayData!$P:$Y,6,0))),"",VLOOKUP($B104,FFTodayData!$P:$Y,6,0))</f>
        <v/>
      </c>
      <c r="F104" s="33" t="str">
        <f>IF(OR(($A104=Settings!$A$30),ISERROR(VLOOKUP($B104,FFTodayData!$P:$Y,7,0))),"",VLOOKUP($B104,FFTodayData!$P:$Y,7,0))</f>
        <v/>
      </c>
      <c r="G104" s="33" t="str">
        <f>IF(OR(($A104=Settings!$A$30),ISERROR(VLOOKUP($B104,FFTodayData!$P:$Y,8,0))),"",VLOOKUP($B104,FFTodayData!$P:$Y,8,0))</f>
        <v/>
      </c>
      <c r="H104" s="64" t="str">
        <f>IF(OR(($A104=Settings!$A$30),ISERROR(VLOOKUP($B104,FFTodayData!$P:$Y,9,0))),"",VLOOKUP($B104,FFTodayData!$P:$Y,9,0))</f>
        <v/>
      </c>
      <c r="I104" s="117">
        <f>IF(ISERROR(VLOOKUP($A104,ESPNData!$R:$AE,9,0)),"",VLOOKUP($A104,ESPNData!$R:$AE,9,0))</f>
        <v>108</v>
      </c>
      <c r="J104" s="33">
        <f>IF(ISERROR(VLOOKUP($A104,ESPNData!$R:$AE,10,0)),"",VLOOKUP($A104,ESPNData!$R:$AE,10,0))</f>
        <v>0</v>
      </c>
      <c r="K104" s="33">
        <f>IF(ISERROR(VLOOKUP($A104,ESPNData!$R:$AE,11,0)),"",VLOOKUP($A104,ESPNData!$R:$AE,11,0))</f>
        <v>11</v>
      </c>
      <c r="L104" s="33">
        <f>IF(ISERROR(VLOOKUP($A104,ESPNData!$R:$AE,12,0)),"",VLOOKUP($A104,ESPNData!$R:$AE,12,0))</f>
        <v>71</v>
      </c>
      <c r="M104" s="64">
        <f>IF(ISERROR(VLOOKUP($A104,ESPNData!$R:$AE,13,0)),"",VLOOKUP($A104,ESPNData!$R:$AE,13,0))</f>
        <v>0</v>
      </c>
      <c r="N104" s="115">
        <f>IF(OR(($A104=Settings!$A$30),ISERROR(VLOOKUP($B104,SportslineData!$Q:$AB,4,0))),"",VLOOKUP($B104,SportslineData!$Q:$AB,4,0))</f>
        <v>113.5</v>
      </c>
      <c r="O104" s="82">
        <f>IF(OR(($A104=Settings!$A$30),ISERROR(VLOOKUP($B104,SportslineData!$Q:$AB,6,0))),"",ROUND(VLOOKUP($B104,SportslineData!$Q:$AB,6,0),0))</f>
        <v>0</v>
      </c>
      <c r="P104" s="82">
        <f>IF(OR(($A104=Settings!$A$30),ISERROR(VLOOKUP($B104,SportslineData!$Q:$AB,7,0))),"",ROUND(VLOOKUP($B104,SportslineData!$Q:$AB,7,0),0))</f>
        <v>4</v>
      </c>
      <c r="Q104" s="82">
        <f>IF(OR(($A104=Settings!$A$30),ISERROR(VLOOKUP($B104,SportslineData!$Q:$AB,8,0))),"",VLOOKUP($B104,SportslineData!$Q:$AB,8,0))</f>
        <v>16.5</v>
      </c>
      <c r="R104" s="82">
        <f>IF(OR(($A104=Settings!$A$30),ISERROR(VLOOKUP($B104,SportslineData!$Q:$AB,10,0))),"",ROUND(VLOOKUP($B104,SportslineData!$Q:$AB,10,0),0))</f>
        <v>0</v>
      </c>
      <c r="S104" s="74">
        <f>IF(OR(($A104=Settings!$A$30),ISERROR(VLOOKUP($B104,SportslineData!$Q:$AB,11,0))),"",ROUND(VLOOKUP($B104,SportslineData!$Q:$AB,11,0),0))</f>
        <v>1</v>
      </c>
      <c r="T104" s="117"/>
      <c r="U104" s="131">
        <f t="shared" si="14"/>
        <v>11.590225767142474</v>
      </c>
      <c r="V104" s="38">
        <f>IF(ISERROR(ROUND((((((ROUNDDOWN((D104/5),0)*Settings!$F$7)+(E104*Settings!$I$7))+(F104*Settings!$I$11))+(ROUNDDOWN((G104/5),0)*Settings!$F$11))+(H104*Settings!$F$12)),1)),0,ROUND((((((ROUNDDOWN((D104/5),0)*Settings!$F$7)+(E104*Settings!$I$7))+(F104*Settings!$I$11))+(ROUNDDOWN((G104/5),0)*Settings!$F$11))+(H104*Settings!$F$12)),1))</f>
        <v>0</v>
      </c>
      <c r="W104" s="38">
        <f>IF(ISERROR(ROUND((((((ROUNDDOWN((I104/5),0)*Settings!$F$7)+(J104*Settings!$I$7))+(K104*Settings!$I$11))+(ROUNDDOWN((L104/5),0)*Settings!$F$11))+(M104*Settings!$F$12)),1)),0,ROUND((((((ROUNDDOWN((I104/5),0)*Settings!$F$7)+(J104*Settings!$I$7))+(K104*Settings!$I$11))+(ROUNDDOWN((L104/5),0)*Settings!$F$11))+(M104*Settings!$F$12)),1))</f>
        <v>23</v>
      </c>
      <c r="X104" s="38">
        <f>IF(AND((N104=""),(P104="")),0,((((((ROUND((N104/5),0)*Settings!$F$7)+(O104*Settings!$I$7))+(P104*Settings!$I$11))+(ROUND((Q104/5),0)*Settings!$F$11))+(R104*Settings!$F$12))+(S104*Settings!$F$15)))</f>
        <v>14</v>
      </c>
      <c r="Y104" s="66">
        <f>ROUND((((V104*Settings!$B$21)+(W104*Settings!$B$22))+(X104*Settings!$B$23)),1)</f>
        <v>12.4</v>
      </c>
      <c r="Z104" s="66">
        <f>IF(ISERROR(VLOOKUP(RANK(Y104,$Y$4:$Y$182),Z$4:Z103,1,0)),RANK(Y104,$Y$4:$Y$182),IF(ISERROR(VLOOKUP((RANK(Y104,$Y$4:$Y$182)+1),Z$4:Z103,1,0)),(RANK(Y104,$Y$4:$Y$182)+1),IF(ISERROR(VLOOKUP((RANK(Y104,$Y$4:$Y$182)+2),Z$4:Z103,1,0)),(RANK(Y104,$Y$4:$Y$182)+2),(RANK(Y104,$Y$4:$Y$182)+3))))</f>
        <v>108</v>
      </c>
      <c r="AA104" t="str">
        <f t="shared" si="15"/>
        <v>Kenjon Barner</v>
      </c>
    </row>
    <row r="105" spans="1:27" ht="12.75" customHeight="1">
      <c r="A105" s="33" t="str">
        <f>ESPNData!R108</f>
        <v>Dan Herron, Ind RB</v>
      </c>
      <c r="B105" s="33" t="str">
        <f t="shared" si="12"/>
        <v>Dan Herron</v>
      </c>
      <c r="C105" s="64" t="str">
        <f t="shared" si="13"/>
        <v>IND</v>
      </c>
      <c r="D105" s="117" t="str">
        <f>IF(OR(($A105=Settings!$A$30),ISERROR(VLOOKUP($B105,FFTodayData!$P:$Y,5,0))),"",VLOOKUP($B105,FFTodayData!$P:$Y,5,0))</f>
        <v/>
      </c>
      <c r="E105" s="33" t="str">
        <f>IF(OR(($A105=Settings!$A$30),ISERROR(VLOOKUP($B105,FFTodayData!$P:$Y,6,0))),"",VLOOKUP($B105,FFTodayData!$P:$Y,6,0))</f>
        <v/>
      </c>
      <c r="F105" s="33" t="str">
        <f>IF(OR(($A105=Settings!$A$30),ISERROR(VLOOKUP($B105,FFTodayData!$P:$Y,7,0))),"",VLOOKUP($B105,FFTodayData!$P:$Y,7,0))</f>
        <v/>
      </c>
      <c r="G105" s="33" t="str">
        <f>IF(OR(($A105=Settings!$A$30),ISERROR(VLOOKUP($B105,FFTodayData!$P:$Y,8,0))),"",VLOOKUP($B105,FFTodayData!$P:$Y,8,0))</f>
        <v/>
      </c>
      <c r="H105" s="64" t="str">
        <f>IF(OR(($A105=Settings!$A$30),ISERROR(VLOOKUP($B105,FFTodayData!$P:$Y,9,0))),"",VLOOKUP($B105,FFTodayData!$P:$Y,9,0))</f>
        <v/>
      </c>
      <c r="I105" s="117">
        <f>IF(ISERROR(VLOOKUP($A105,ESPNData!$R:$AE,9,0)),"",VLOOKUP($A105,ESPNData!$R:$AE,9,0))</f>
        <v>0</v>
      </c>
      <c r="J105" s="33">
        <f>IF(ISERROR(VLOOKUP($A105,ESPNData!$R:$AE,10,0)),"",VLOOKUP($A105,ESPNData!$R:$AE,10,0))</f>
        <v>0</v>
      </c>
      <c r="K105" s="33">
        <f>IF(ISERROR(VLOOKUP($A105,ESPNData!$R:$AE,11,0)),"",VLOOKUP($A105,ESPNData!$R:$AE,11,0))</f>
        <v>0</v>
      </c>
      <c r="L105" s="33">
        <f>IF(ISERROR(VLOOKUP($A105,ESPNData!$R:$AE,12,0)),"",VLOOKUP($A105,ESPNData!$R:$AE,12,0))</f>
        <v>0</v>
      </c>
      <c r="M105" s="64">
        <f>IF(ISERROR(VLOOKUP($A105,ESPNData!$R:$AE,13,0)),"",VLOOKUP($A105,ESPNData!$R:$AE,13,0))</f>
        <v>0</v>
      </c>
      <c r="N105" s="115">
        <f>IF(OR(($A105=Settings!$A$30),ISERROR(VLOOKUP($B105,SportslineData!$Q:$AB,4,0))),"",VLOOKUP($B105,SportslineData!$Q:$AB,4,0))</f>
        <v>147.5</v>
      </c>
      <c r="O105" s="82">
        <f>IF(OR(($A105=Settings!$A$30),ISERROR(VLOOKUP($B105,SportslineData!$Q:$AB,6,0))),"",ROUND(VLOOKUP($B105,SportslineData!$Q:$AB,6,0),0))</f>
        <v>1</v>
      </c>
      <c r="P105" s="82">
        <f>IF(OR(($A105=Settings!$A$30),ISERROR(VLOOKUP($B105,SportslineData!$Q:$AB,7,0))),"",ROUND(VLOOKUP($B105,SportslineData!$Q:$AB,7,0),0))</f>
        <v>2</v>
      </c>
      <c r="Q105" s="82">
        <f>IF(OR(($A105=Settings!$A$30),ISERROR(VLOOKUP($B105,SportslineData!$Q:$AB,8,0))),"",VLOOKUP($B105,SportslineData!$Q:$AB,8,0))</f>
        <v>12.5</v>
      </c>
      <c r="R105" s="82">
        <f>IF(OR(($A105=Settings!$A$30),ISERROR(VLOOKUP($B105,SportslineData!$Q:$AB,10,0))),"",ROUND(VLOOKUP($B105,SportslineData!$Q:$AB,10,0),0))</f>
        <v>0</v>
      </c>
      <c r="S105" s="74">
        <f>IF(OR(($A105=Settings!$A$30),ISERROR(VLOOKUP($B105,SportslineData!$Q:$AB,11,0))),"",ROUND(VLOOKUP($B105,SportslineData!$Q:$AB,11,0),0))</f>
        <v>1</v>
      </c>
      <c r="T105" s="117"/>
      <c r="U105" s="131">
        <f t="shared" si="14"/>
        <v>12.99038105676658</v>
      </c>
      <c r="V105" s="38">
        <f>IF(ISERROR(ROUND((((((ROUNDDOWN((D105/5),0)*Settings!$F$7)+(E105*Settings!$I$7))+(F105*Settings!$I$11))+(ROUNDDOWN((G105/5),0)*Settings!$F$11))+(H105*Settings!$F$12)),1)),0,ROUND((((((ROUNDDOWN((D105/5),0)*Settings!$F$7)+(E105*Settings!$I$7))+(F105*Settings!$I$11))+(ROUNDDOWN((G105/5),0)*Settings!$F$11))+(H105*Settings!$F$12)),1))</f>
        <v>0</v>
      </c>
      <c r="W105" s="38">
        <f>IF(ISERROR(ROUND((((((ROUNDDOWN((I105/5),0)*Settings!$F$7)+(J105*Settings!$I$7))+(K105*Settings!$I$11))+(ROUNDDOWN((L105/5),0)*Settings!$F$11))+(M105*Settings!$F$12)),1)),0,ROUND((((((ROUNDDOWN((I105/5),0)*Settings!$F$7)+(J105*Settings!$I$7))+(K105*Settings!$I$11))+(ROUNDDOWN((L105/5),0)*Settings!$F$11))+(M105*Settings!$F$12)),1))</f>
        <v>0</v>
      </c>
      <c r="X105" s="38">
        <f>IF(AND((N105=""),(P105="")),0,((((((ROUND((N105/5),0)*Settings!$F$7)+(O105*Settings!$I$7))+(P105*Settings!$I$11))+(ROUND((Q105/5),0)*Settings!$F$11))+(R105*Settings!$F$12))+(S105*Settings!$F$15)))</f>
        <v>22.5</v>
      </c>
      <c r="Y105" s="66">
        <f>ROUND((((V105*Settings!$B$21)+(W105*Settings!$B$22))+(X105*Settings!$B$23)),1)</f>
        <v>7.7</v>
      </c>
      <c r="Z105" s="66">
        <f>IF(ISERROR(VLOOKUP(RANK(Y105,$Y$4:$Y$182),Z$4:Z104,1,0)),RANK(Y105,$Y$4:$Y$182),IF(ISERROR(VLOOKUP((RANK(Y105,$Y$4:$Y$182)+1),Z$4:Z104,1,0)),(RANK(Y105,$Y$4:$Y$182)+1),IF(ISERROR(VLOOKUP((RANK(Y105,$Y$4:$Y$182)+2),Z$4:Z104,1,0)),(RANK(Y105,$Y$4:$Y$182)+2),(RANK(Y105,$Y$4:$Y$182)+3))))</f>
        <v>113</v>
      </c>
      <c r="AA105" t="str">
        <f t="shared" si="15"/>
        <v>Dan Herron</v>
      </c>
    </row>
    <row r="106" spans="1:27" ht="12.75" customHeight="1">
      <c r="A106" s="33" t="str">
        <f>ESPNData!R109</f>
        <v>Justin Forsett, Bal RB</v>
      </c>
      <c r="B106" s="33" t="str">
        <f t="shared" si="12"/>
        <v>Justin Forsett</v>
      </c>
      <c r="C106" s="64" t="str">
        <f t="shared" si="13"/>
        <v>BAL</v>
      </c>
      <c r="D106" s="117">
        <f>IF(OR(($A106=Settings!$A$30),ISERROR(VLOOKUP($B106,FFTodayData!$P:$Y,5,0))),"",VLOOKUP($B106,FFTodayData!$P:$Y,5,0))</f>
        <v>65</v>
      </c>
      <c r="E106" s="33">
        <f>IF(OR(($A106=Settings!$A$30),ISERROR(VLOOKUP($B106,FFTodayData!$P:$Y,6,0))),"",VLOOKUP($B106,FFTodayData!$P:$Y,6,0))</f>
        <v>0</v>
      </c>
      <c r="F106" s="33">
        <f>IF(OR(($A106=Settings!$A$30),ISERROR(VLOOKUP($B106,FFTodayData!$P:$Y,7,0))),"",VLOOKUP($B106,FFTodayData!$P:$Y,7,0))</f>
        <v>11</v>
      </c>
      <c r="G106" s="33">
        <f>IF(OR(($A106=Settings!$A$30),ISERROR(VLOOKUP($B106,FFTodayData!$P:$Y,8,0))),"",VLOOKUP($B106,FFTodayData!$P:$Y,8,0))</f>
        <v>84</v>
      </c>
      <c r="H106" s="64">
        <f>IF(OR(($A106=Settings!$A$30),ISERROR(VLOOKUP($B106,FFTodayData!$P:$Y,9,0))),"",VLOOKUP($B106,FFTodayData!$P:$Y,9,0))</f>
        <v>0</v>
      </c>
      <c r="I106" s="117">
        <f>IF(ISERROR(VLOOKUP($A106,ESPNData!$R:$AE,9,0)),"",VLOOKUP($A106,ESPNData!$R:$AE,9,0))</f>
        <v>0</v>
      </c>
      <c r="J106" s="33">
        <f>IF(ISERROR(VLOOKUP($A106,ESPNData!$R:$AE,10,0)),"",VLOOKUP($A106,ESPNData!$R:$AE,10,0))</f>
        <v>0</v>
      </c>
      <c r="K106" s="33">
        <f>IF(ISERROR(VLOOKUP($A106,ESPNData!$R:$AE,11,0)),"",VLOOKUP($A106,ESPNData!$R:$AE,11,0))</f>
        <v>0</v>
      </c>
      <c r="L106" s="33">
        <f>IF(ISERROR(VLOOKUP($A106,ESPNData!$R:$AE,12,0)),"",VLOOKUP($A106,ESPNData!$R:$AE,12,0))</f>
        <v>0</v>
      </c>
      <c r="M106" s="64">
        <f>IF(ISERROR(VLOOKUP($A106,ESPNData!$R:$AE,13,0)),"",VLOOKUP($A106,ESPNData!$R:$AE,13,0))</f>
        <v>0</v>
      </c>
      <c r="N106" s="115">
        <f>IF(OR(($A106=Settings!$A$30),ISERROR(VLOOKUP($B106,SportslineData!$Q:$AB,4,0))),"",VLOOKUP($B106,SportslineData!$Q:$AB,4,0))</f>
        <v>283.5</v>
      </c>
      <c r="O106" s="82">
        <f>IF(OR(($A106=Settings!$A$30),ISERROR(VLOOKUP($B106,SportslineData!$Q:$AB,6,0))),"",ROUND(VLOOKUP($B106,SportslineData!$Q:$AB,6,0),0))</f>
        <v>1</v>
      </c>
      <c r="P106" s="82">
        <f>IF(OR(($A106=Settings!$A$30),ISERROR(VLOOKUP($B106,SportslineData!$Q:$AB,7,0))),"",ROUND(VLOOKUP($B106,SportslineData!$Q:$AB,7,0),0))</f>
        <v>7</v>
      </c>
      <c r="Q106" s="82">
        <f>IF(OR(($A106=Settings!$A$30),ISERROR(VLOOKUP($B106,SportslineData!$Q:$AB,8,0))),"",VLOOKUP($B106,SportslineData!$Q:$AB,8,0))</f>
        <v>40</v>
      </c>
      <c r="R106" s="82">
        <f>IF(OR(($A106=Settings!$A$30),ISERROR(VLOOKUP($B106,SportslineData!$Q:$AB,10,0))),"",ROUND(VLOOKUP($B106,SportslineData!$Q:$AB,10,0),0))</f>
        <v>0</v>
      </c>
      <c r="S106" s="74">
        <f>IF(OR(($A106=Settings!$A$30),ISERROR(VLOOKUP($B106,SportslineData!$Q:$AB,11,0))),"",ROUND(VLOOKUP($B106,SportslineData!$Q:$AB,11,0),0))</f>
        <v>0</v>
      </c>
      <c r="T106" s="117"/>
      <c r="U106" s="131">
        <f t="shared" si="14"/>
        <v>21.007935008784976</v>
      </c>
      <c r="V106" s="38">
        <f>IF(ISERROR(ROUND((((((ROUNDDOWN((D106/5),0)*Settings!$F$7)+(E106*Settings!$I$7))+(F106*Settings!$I$11))+(ROUNDDOWN((G106/5),0)*Settings!$F$11))+(H106*Settings!$F$12)),1)),0,ROUND((((((ROUNDDOWN((D106/5),0)*Settings!$F$7)+(E106*Settings!$I$7))+(F106*Settings!$I$11))+(ROUNDDOWN((G106/5),0)*Settings!$F$11))+(H106*Settings!$F$12)),1))</f>
        <v>20</v>
      </c>
      <c r="W106" s="38">
        <f>IF(ISERROR(ROUND((((((ROUNDDOWN((I106/5),0)*Settings!$F$7)+(J106*Settings!$I$7))+(K106*Settings!$I$11))+(ROUNDDOWN((L106/5),0)*Settings!$F$11))+(M106*Settings!$F$12)),1)),0,ROUND((((((ROUNDDOWN((I106/5),0)*Settings!$F$7)+(J106*Settings!$I$7))+(K106*Settings!$I$11))+(ROUNDDOWN((L106/5),0)*Settings!$F$11))+(M106*Settings!$F$12)),1))</f>
        <v>0</v>
      </c>
      <c r="X106" s="38">
        <f>IF(AND((N106=""),(P106="")),0,((((((ROUND((N106/5),0)*Settings!$F$7)+(O106*Settings!$I$7))+(P106*Settings!$I$11))+(ROUND((Q106/5),0)*Settings!$F$11))+(R106*Settings!$F$12))+(S106*Settings!$F$15)))</f>
        <v>42</v>
      </c>
      <c r="Y106" s="66">
        <f>ROUND((((V106*Settings!$B$21)+(W106*Settings!$B$22))+(X106*Settings!$B$23)),1)</f>
        <v>20.9</v>
      </c>
      <c r="Z106" s="66">
        <f>IF(ISERROR(VLOOKUP(RANK(Y106,$Y$4:$Y$182),Z$4:Z105,1,0)),RANK(Y106,$Y$4:$Y$182),IF(ISERROR(VLOOKUP((RANK(Y106,$Y$4:$Y$182)+1),Z$4:Z105,1,0)),(RANK(Y106,$Y$4:$Y$182)+1),IF(ISERROR(VLOOKUP((RANK(Y106,$Y$4:$Y$182)+2),Z$4:Z105,1,0)),(RANK(Y106,$Y$4:$Y$182)+2),(RANK(Y106,$Y$4:$Y$182)+3))))</f>
        <v>99</v>
      </c>
      <c r="AA106" t="str">
        <f t="shared" si="15"/>
        <v>Justin Forsett</v>
      </c>
    </row>
    <row r="107" spans="1:27" ht="12.75" customHeight="1">
      <c r="A107" s="33" t="str">
        <f>ESPNData!R110</f>
        <v>Dion Lewis, Cle RB</v>
      </c>
      <c r="B107" s="33" t="str">
        <f t="shared" si="12"/>
        <v>Dion Lewis</v>
      </c>
      <c r="C107" s="64" t="str">
        <f t="shared" si="13"/>
        <v>CLE</v>
      </c>
      <c r="D107" s="117">
        <f>IF(OR(($A107=Settings!$A$30),ISERROR(VLOOKUP($B107,FFTodayData!$P:$Y,5,0))),"",VLOOKUP($B107,FFTodayData!$P:$Y,5,0))</f>
        <v>245</v>
      </c>
      <c r="E107" s="33">
        <f>IF(OR(($A107=Settings!$A$30),ISERROR(VLOOKUP($B107,FFTodayData!$P:$Y,6,0))),"",VLOOKUP($B107,FFTodayData!$P:$Y,6,0))</f>
        <v>2</v>
      </c>
      <c r="F107" s="33">
        <f>IF(OR(($A107=Settings!$A$30),ISERROR(VLOOKUP($B107,FFTodayData!$P:$Y,7,0))),"",VLOOKUP($B107,FFTodayData!$P:$Y,7,0))</f>
        <v>8</v>
      </c>
      <c r="G107" s="33">
        <f>IF(OR(($A107=Settings!$A$30),ISERROR(VLOOKUP($B107,FFTodayData!$P:$Y,8,0))),"",VLOOKUP($B107,FFTodayData!$P:$Y,8,0))</f>
        <v>64</v>
      </c>
      <c r="H107" s="64">
        <f>IF(OR(($A107=Settings!$A$30),ISERROR(VLOOKUP($B107,FFTodayData!$P:$Y,9,0))),"",VLOOKUP($B107,FFTodayData!$P:$Y,9,0))</f>
        <v>0</v>
      </c>
      <c r="I107" s="117">
        <f>IF(ISERROR(VLOOKUP($A107,ESPNData!$R:$AE,9,0)),"",VLOOKUP($A107,ESPNData!$R:$AE,9,0))</f>
        <v>0</v>
      </c>
      <c r="J107" s="33">
        <f>IF(ISERROR(VLOOKUP($A107,ESPNData!$R:$AE,10,0)),"",VLOOKUP($A107,ESPNData!$R:$AE,10,0))</f>
        <v>0</v>
      </c>
      <c r="K107" s="33">
        <f>IF(ISERROR(VLOOKUP($A107,ESPNData!$R:$AE,11,0)),"",VLOOKUP($A107,ESPNData!$R:$AE,11,0))</f>
        <v>0</v>
      </c>
      <c r="L107" s="33">
        <f>IF(ISERROR(VLOOKUP($A107,ESPNData!$R:$AE,12,0)),"",VLOOKUP($A107,ESPNData!$R:$AE,12,0))</f>
        <v>0</v>
      </c>
      <c r="M107" s="64">
        <f>IF(ISERROR(VLOOKUP($A107,ESPNData!$R:$AE,13,0)),"",VLOOKUP($A107,ESPNData!$R:$AE,13,0))</f>
        <v>0</v>
      </c>
      <c r="N107" s="115">
        <f>IF(OR(($A107=Settings!$A$30),ISERROR(VLOOKUP($B107,SportslineData!$Q:$AB,4,0))),"",VLOOKUP($B107,SportslineData!$Q:$AB,4,0))</f>
        <v>77.5</v>
      </c>
      <c r="O107" s="82">
        <f>IF(OR(($A107=Settings!$A$30),ISERROR(VLOOKUP($B107,SportslineData!$Q:$AB,6,0))),"",ROUND(VLOOKUP($B107,SportslineData!$Q:$AB,6,0),0))</f>
        <v>1</v>
      </c>
      <c r="P107" s="82">
        <f>IF(OR(($A107=Settings!$A$30),ISERROR(VLOOKUP($B107,SportslineData!$Q:$AB,7,0))),"",ROUND(VLOOKUP($B107,SportslineData!$Q:$AB,7,0),0))</f>
        <v>2</v>
      </c>
      <c r="Q107" s="82">
        <f>IF(OR(($A107=Settings!$A$30),ISERROR(VLOOKUP($B107,SportslineData!$Q:$AB,8,0))),"",VLOOKUP($B107,SportslineData!$Q:$AB,8,0))</f>
        <v>17</v>
      </c>
      <c r="R107" s="82">
        <f>IF(OR(($A107=Settings!$A$30),ISERROR(VLOOKUP($B107,SportslineData!$Q:$AB,10,0))),"",ROUND(VLOOKUP($B107,SportslineData!$Q:$AB,10,0),0))</f>
        <v>0</v>
      </c>
      <c r="S107" s="74">
        <f>IF(OR(($A107=Settings!$A$30),ISERROR(VLOOKUP($B107,SportslineData!$Q:$AB,11,0))),"",ROUND(VLOOKUP($B107,SportslineData!$Q:$AB,11,0),0))</f>
        <v>0</v>
      </c>
      <c r="T107" s="117"/>
      <c r="U107" s="131">
        <f t="shared" si="14"/>
        <v>23.574350468252568</v>
      </c>
      <c r="V107" s="38">
        <f>IF(ISERROR(ROUND((((((ROUNDDOWN((D107/5),0)*Settings!$F$7)+(E107*Settings!$I$7))+(F107*Settings!$I$11))+(ROUNDDOWN((G107/5),0)*Settings!$F$11))+(H107*Settings!$F$12)),1)),0,ROUND((((((ROUNDDOWN((D107/5),0)*Settings!$F$7)+(E107*Settings!$I$7))+(F107*Settings!$I$11))+(ROUNDDOWN((G107/5),0)*Settings!$F$11))+(H107*Settings!$F$12)),1))</f>
        <v>46.5</v>
      </c>
      <c r="W107" s="38">
        <f>IF(ISERROR(ROUND((((((ROUNDDOWN((I107/5),0)*Settings!$F$7)+(J107*Settings!$I$7))+(K107*Settings!$I$11))+(ROUNDDOWN((L107/5),0)*Settings!$F$11))+(M107*Settings!$F$12)),1)),0,ROUND((((((ROUNDDOWN((I107/5),0)*Settings!$F$7)+(J107*Settings!$I$7))+(K107*Settings!$I$11))+(ROUNDDOWN((L107/5),0)*Settings!$F$11))+(M107*Settings!$F$12)),1))</f>
        <v>0</v>
      </c>
      <c r="X107" s="38">
        <f>IF(AND((N107=""),(P107="")),0,((((((ROUND((N107/5),0)*Settings!$F$7)+(O107*Settings!$I$7))+(P107*Settings!$I$11))+(ROUND((Q107/5),0)*Settings!$F$11))+(R107*Settings!$F$12))+(S107*Settings!$F$15)))</f>
        <v>16.5</v>
      </c>
      <c r="Y107" s="66">
        <f>ROUND((((V107*Settings!$B$21)+(W107*Settings!$B$22))+(X107*Settings!$B$23)),1)</f>
        <v>21</v>
      </c>
      <c r="Z107" s="66">
        <f>IF(ISERROR(VLOOKUP(RANK(Y107,$Y$4:$Y$182),Z$4:Z106,1,0)),RANK(Y107,$Y$4:$Y$182),IF(ISERROR(VLOOKUP((RANK(Y107,$Y$4:$Y$182)+1),Z$4:Z106,1,0)),(RANK(Y107,$Y$4:$Y$182)+1),IF(ISERROR(VLOOKUP((RANK(Y107,$Y$4:$Y$182)+2),Z$4:Z106,1,0)),(RANK(Y107,$Y$4:$Y$182)+2),(RANK(Y107,$Y$4:$Y$182)+3))))</f>
        <v>98</v>
      </c>
      <c r="AA107" t="str">
        <f t="shared" si="15"/>
        <v>Dion Lewis</v>
      </c>
    </row>
    <row r="108" spans="1:27" ht="12.75" customHeight="1">
      <c r="A108" s="33" t="str">
        <f>ESPNData!R111</f>
        <v>DuJuan Harris, GB RB</v>
      </c>
      <c r="B108" s="33" t="str">
        <f t="shared" si="12"/>
        <v>DuJuan Harris</v>
      </c>
      <c r="C108" s="64" t="str">
        <f t="shared" si="13"/>
        <v>GB</v>
      </c>
      <c r="D108" s="117" t="str">
        <f>IF(OR(($A108=Settings!$A$30),ISERROR(VLOOKUP($B108,FFTodayData!$P:$Y,5,0))),"",VLOOKUP($B108,FFTodayData!$P:$Y,5,0))</f>
        <v/>
      </c>
      <c r="E108" s="33" t="str">
        <f>IF(OR(($A108=Settings!$A$30),ISERROR(VLOOKUP($B108,FFTodayData!$P:$Y,6,0))),"",VLOOKUP($B108,FFTodayData!$P:$Y,6,0))</f>
        <v/>
      </c>
      <c r="F108" s="33" t="str">
        <f>IF(OR(($A108=Settings!$A$30),ISERROR(VLOOKUP($B108,FFTodayData!$P:$Y,7,0))),"",VLOOKUP($B108,FFTodayData!$P:$Y,7,0))</f>
        <v/>
      </c>
      <c r="G108" s="33" t="str">
        <f>IF(OR(($A108=Settings!$A$30),ISERROR(VLOOKUP($B108,FFTodayData!$P:$Y,8,0))),"",VLOOKUP($B108,FFTodayData!$P:$Y,8,0))</f>
        <v/>
      </c>
      <c r="H108" s="64" t="str">
        <f>IF(OR(($A108=Settings!$A$30),ISERROR(VLOOKUP($B108,FFTodayData!$P:$Y,9,0))),"",VLOOKUP($B108,FFTodayData!$P:$Y,9,0))</f>
        <v/>
      </c>
      <c r="I108" s="117">
        <f>IF(ISERROR(VLOOKUP($A108,ESPNData!$R:$AE,9,0)),"",VLOOKUP($A108,ESPNData!$R:$AE,9,0))</f>
        <v>0</v>
      </c>
      <c r="J108" s="33">
        <f>IF(ISERROR(VLOOKUP($A108,ESPNData!$R:$AE,10,0)),"",VLOOKUP($A108,ESPNData!$R:$AE,10,0))</f>
        <v>0</v>
      </c>
      <c r="K108" s="33">
        <f>IF(ISERROR(VLOOKUP($A108,ESPNData!$R:$AE,11,0)),"",VLOOKUP($A108,ESPNData!$R:$AE,11,0))</f>
        <v>0</v>
      </c>
      <c r="L108" s="33">
        <f>IF(ISERROR(VLOOKUP($A108,ESPNData!$R:$AE,12,0)),"",VLOOKUP($A108,ESPNData!$R:$AE,12,0))</f>
        <v>0</v>
      </c>
      <c r="M108" s="64">
        <f>IF(ISERROR(VLOOKUP($A108,ESPNData!$R:$AE,13,0)),"",VLOOKUP($A108,ESPNData!$R:$AE,13,0))</f>
        <v>0</v>
      </c>
      <c r="N108" s="115">
        <f>IF(OR(($A108=Settings!$A$30),ISERROR(VLOOKUP($B108,SportslineData!$Q:$AB,4,0))),"",VLOOKUP($B108,SportslineData!$Q:$AB,4,0))</f>
        <v>250</v>
      </c>
      <c r="O108" s="82">
        <f>IF(OR(($A108=Settings!$A$30),ISERROR(VLOOKUP($B108,SportslineData!$Q:$AB,6,0))),"",ROUND(VLOOKUP($B108,SportslineData!$Q:$AB,6,0),0))</f>
        <v>1</v>
      </c>
      <c r="P108" s="82">
        <f>IF(OR(($A108=Settings!$A$30),ISERROR(VLOOKUP($B108,SportslineData!$Q:$AB,7,0))),"",ROUND(VLOOKUP($B108,SportslineData!$Q:$AB,7,0),0))</f>
        <v>8</v>
      </c>
      <c r="Q108" s="82">
        <f>IF(OR(($A108=Settings!$A$30),ISERROR(VLOOKUP($B108,SportslineData!$Q:$AB,8,0))),"",VLOOKUP($B108,SportslineData!$Q:$AB,8,0))</f>
        <v>54.5</v>
      </c>
      <c r="R108" s="82">
        <f>IF(OR(($A108=Settings!$A$30),ISERROR(VLOOKUP($B108,SportslineData!$Q:$AB,10,0))),"",ROUND(VLOOKUP($B108,SportslineData!$Q:$AB,10,0),0))</f>
        <v>0</v>
      </c>
      <c r="S108" s="74">
        <f>IF(OR(($A108=Settings!$A$30),ISERROR(VLOOKUP($B108,SportslineData!$Q:$AB,11,0))),"",ROUND(VLOOKUP($B108,SportslineData!$Q:$AB,11,0),0))</f>
        <v>0</v>
      </c>
      <c r="T108" s="117"/>
      <c r="U108" s="131">
        <f t="shared" si="14"/>
        <v>23.382685902179844</v>
      </c>
      <c r="V108" s="38">
        <f>IF(ISERROR(ROUND((((((ROUNDDOWN((D108/5),0)*Settings!$F$7)+(E108*Settings!$I$7))+(F108*Settings!$I$11))+(ROUNDDOWN((G108/5),0)*Settings!$F$11))+(H108*Settings!$F$12)),1)),0,ROUND((((((ROUNDDOWN((D108/5),0)*Settings!$F$7)+(E108*Settings!$I$7))+(F108*Settings!$I$11))+(ROUNDDOWN((G108/5),0)*Settings!$F$11))+(H108*Settings!$F$12)),1))</f>
        <v>0</v>
      </c>
      <c r="W108" s="38">
        <f>IF(ISERROR(ROUND((((((ROUNDDOWN((I108/5),0)*Settings!$F$7)+(J108*Settings!$I$7))+(K108*Settings!$I$11))+(ROUNDDOWN((L108/5),0)*Settings!$F$11))+(M108*Settings!$F$12)),1)),0,ROUND((((((ROUNDDOWN((I108/5),0)*Settings!$F$7)+(J108*Settings!$I$7))+(K108*Settings!$I$11))+(ROUNDDOWN((L108/5),0)*Settings!$F$11))+(M108*Settings!$F$12)),1))</f>
        <v>0</v>
      </c>
      <c r="X108" s="38">
        <f>IF(AND((N108=""),(P108="")),0,((((((ROUND((N108/5),0)*Settings!$F$7)+(O108*Settings!$I$7))+(P108*Settings!$I$11))+(ROUND((Q108/5),0)*Settings!$F$11))+(R108*Settings!$F$12))+(S108*Settings!$F$15)))</f>
        <v>40.5</v>
      </c>
      <c r="Y108" s="66">
        <f>ROUND((((V108*Settings!$B$21)+(W108*Settings!$B$22))+(X108*Settings!$B$23)),1)</f>
        <v>13.8</v>
      </c>
      <c r="Z108" s="66">
        <f>IF(ISERROR(VLOOKUP(RANK(Y108,$Y$4:$Y$182),Z$4:Z107,1,0)),RANK(Y108,$Y$4:$Y$182),IF(ISERROR(VLOOKUP((RANK(Y108,$Y$4:$Y$182)+1),Z$4:Z107,1,0)),(RANK(Y108,$Y$4:$Y$182)+1),IF(ISERROR(VLOOKUP((RANK(Y108,$Y$4:$Y$182)+2),Z$4:Z107,1,0)),(RANK(Y108,$Y$4:$Y$182)+2),(RANK(Y108,$Y$4:$Y$182)+3))))</f>
        <v>106</v>
      </c>
      <c r="AA108" t="str">
        <f t="shared" si="15"/>
        <v>DuJuan Harris</v>
      </c>
    </row>
    <row r="109" spans="1:27" ht="12.75" customHeight="1">
      <c r="A109" s="33" t="str">
        <f>ESPNData!R112</f>
        <v>Mike Gillislee, Mia RB  P</v>
      </c>
      <c r="B109" s="33" t="str">
        <f t="shared" si="12"/>
        <v>Mike Gillislee</v>
      </c>
      <c r="C109" s="64" t="str">
        <f t="shared" si="13"/>
        <v>MIA</v>
      </c>
      <c r="D109" s="117" t="str">
        <f>IF(OR(($A109=Settings!$A$30),ISERROR(VLOOKUP($B109,FFTodayData!$P:$Y,5,0))),"",VLOOKUP($B109,FFTodayData!$P:$Y,5,0))</f>
        <v/>
      </c>
      <c r="E109" s="33" t="str">
        <f>IF(OR(($A109=Settings!$A$30),ISERROR(VLOOKUP($B109,FFTodayData!$P:$Y,6,0))),"",VLOOKUP($B109,FFTodayData!$P:$Y,6,0))</f>
        <v/>
      </c>
      <c r="F109" s="33" t="str">
        <f>IF(OR(($A109=Settings!$A$30),ISERROR(VLOOKUP($B109,FFTodayData!$P:$Y,7,0))),"",VLOOKUP($B109,FFTodayData!$P:$Y,7,0))</f>
        <v/>
      </c>
      <c r="G109" s="33" t="str">
        <f>IF(OR(($A109=Settings!$A$30),ISERROR(VLOOKUP($B109,FFTodayData!$P:$Y,8,0))),"",VLOOKUP($B109,FFTodayData!$P:$Y,8,0))</f>
        <v/>
      </c>
      <c r="H109" s="64" t="str">
        <f>IF(OR(($A109=Settings!$A$30),ISERROR(VLOOKUP($B109,FFTodayData!$P:$Y,9,0))),"",VLOOKUP($B109,FFTodayData!$P:$Y,9,0))</f>
        <v/>
      </c>
      <c r="I109" s="117">
        <f>IF(ISERROR(VLOOKUP($A109,ESPNData!$R:$AE,9,0)),"",VLOOKUP($A109,ESPNData!$R:$AE,9,0))</f>
        <v>0</v>
      </c>
      <c r="J109" s="33">
        <f>IF(ISERROR(VLOOKUP($A109,ESPNData!$R:$AE,10,0)),"",VLOOKUP($A109,ESPNData!$R:$AE,10,0))</f>
        <v>0</v>
      </c>
      <c r="K109" s="33">
        <f>IF(ISERROR(VLOOKUP($A109,ESPNData!$R:$AE,11,0)),"",VLOOKUP($A109,ESPNData!$R:$AE,11,0))</f>
        <v>0</v>
      </c>
      <c r="L109" s="33">
        <f>IF(ISERROR(VLOOKUP($A109,ESPNData!$R:$AE,12,0)),"",VLOOKUP($A109,ESPNData!$R:$AE,12,0))</f>
        <v>0</v>
      </c>
      <c r="M109" s="64">
        <f>IF(ISERROR(VLOOKUP($A109,ESPNData!$R:$AE,13,0)),"",VLOOKUP($A109,ESPNData!$R:$AE,13,0))</f>
        <v>0</v>
      </c>
      <c r="N109" s="115">
        <f>IF(OR(($A109=Settings!$A$30),ISERROR(VLOOKUP($B109,SportslineData!$Q:$AB,4,0))),"",VLOOKUP($B109,SportslineData!$Q:$AB,4,0))</f>
        <v>130</v>
      </c>
      <c r="O109" s="82">
        <f>IF(OR(($A109=Settings!$A$30),ISERROR(VLOOKUP($B109,SportslineData!$Q:$AB,6,0))),"",ROUND(VLOOKUP($B109,SportslineData!$Q:$AB,6,0),0))</f>
        <v>0</v>
      </c>
      <c r="P109" s="82">
        <f>IF(OR(($A109=Settings!$A$30),ISERROR(VLOOKUP($B109,SportslineData!$Q:$AB,7,0))),"",ROUND(VLOOKUP($B109,SportslineData!$Q:$AB,7,0),0))</f>
        <v>3</v>
      </c>
      <c r="Q109" s="82">
        <f>IF(OR(($A109=Settings!$A$30),ISERROR(VLOOKUP($B109,SportslineData!$Q:$AB,8,0))),"",VLOOKUP($B109,SportslineData!$Q:$AB,8,0))</f>
        <v>20.5</v>
      </c>
      <c r="R109" s="82">
        <f>IF(OR(($A109=Settings!$A$30),ISERROR(VLOOKUP($B109,SportslineData!$Q:$AB,10,0))),"",ROUND(VLOOKUP($B109,SportslineData!$Q:$AB,10,0),0))</f>
        <v>0</v>
      </c>
      <c r="S109" s="74">
        <f>IF(OR(($A109=Settings!$A$30),ISERROR(VLOOKUP($B109,SportslineData!$Q:$AB,11,0))),"",ROUND(VLOOKUP($B109,SportslineData!$Q:$AB,11,0),0))</f>
        <v>0</v>
      </c>
      <c r="T109" s="117"/>
      <c r="U109" s="131">
        <f t="shared" si="14"/>
        <v>9.5262794416288248</v>
      </c>
      <c r="V109" s="38">
        <f>IF(ISERROR(ROUND((((((ROUNDDOWN((D109/5),0)*Settings!$F$7)+(E109*Settings!$I$7))+(F109*Settings!$I$11))+(ROUNDDOWN((G109/5),0)*Settings!$F$11))+(H109*Settings!$F$12)),1)),0,ROUND((((((ROUNDDOWN((D109/5),0)*Settings!$F$7)+(E109*Settings!$I$7))+(F109*Settings!$I$11))+(ROUNDDOWN((G109/5),0)*Settings!$F$11))+(H109*Settings!$F$12)),1))</f>
        <v>0</v>
      </c>
      <c r="W109" s="38">
        <f>IF(ISERROR(ROUND((((((ROUNDDOWN((I109/5),0)*Settings!$F$7)+(J109*Settings!$I$7))+(K109*Settings!$I$11))+(ROUNDDOWN((L109/5),0)*Settings!$F$11))+(M109*Settings!$F$12)),1)),0,ROUND((((((ROUNDDOWN((I109/5),0)*Settings!$F$7)+(J109*Settings!$I$7))+(K109*Settings!$I$11))+(ROUNDDOWN((L109/5),0)*Settings!$F$11))+(M109*Settings!$F$12)),1))</f>
        <v>0</v>
      </c>
      <c r="X109" s="38">
        <f>IF(AND((N109=""),(P109="")),0,((((((ROUND((N109/5),0)*Settings!$F$7)+(O109*Settings!$I$7))+(P109*Settings!$I$11))+(ROUND((Q109/5),0)*Settings!$F$11))+(R109*Settings!$F$12))+(S109*Settings!$F$15)))</f>
        <v>16.5</v>
      </c>
      <c r="Y109" s="66">
        <f>ROUND((((V109*Settings!$B$21)+(W109*Settings!$B$22))+(X109*Settings!$B$23)),1)</f>
        <v>5.6</v>
      </c>
      <c r="Z109" s="66">
        <f>IF(ISERROR(VLOOKUP(RANK(Y109,$Y$4:$Y$182),Z$4:Z108,1,0)),RANK(Y109,$Y$4:$Y$182),IF(ISERROR(VLOOKUP((RANK(Y109,$Y$4:$Y$182)+1),Z$4:Z108,1,0)),(RANK(Y109,$Y$4:$Y$182)+1),IF(ISERROR(VLOOKUP((RANK(Y109,$Y$4:$Y$182)+2),Z$4:Z108,1,0)),(RANK(Y109,$Y$4:$Y$182)+2),(RANK(Y109,$Y$4:$Y$182)+3))))</f>
        <v>115</v>
      </c>
      <c r="AA109" t="str">
        <f t="shared" si="15"/>
        <v>Mike Gillislee</v>
      </c>
    </row>
    <row r="110" spans="1:27" ht="12.75" customHeight="1">
      <c r="A110" s="33" t="str">
        <f>ESPNData!R113</f>
        <v>Cierre Wood, Bal RB</v>
      </c>
      <c r="B110" s="33" t="str">
        <f t="shared" si="12"/>
        <v>Cierre Wood</v>
      </c>
      <c r="C110" s="64" t="str">
        <f t="shared" si="13"/>
        <v>BAL</v>
      </c>
      <c r="D110" s="117" t="str">
        <f>IF(OR(($A110=Settings!$A$30),ISERROR(VLOOKUP($B110,FFTodayData!$P:$Y,5,0))),"",VLOOKUP($B110,FFTodayData!$P:$Y,5,0))</f>
        <v/>
      </c>
      <c r="E110" s="33" t="str">
        <f>IF(OR(($A110=Settings!$A$30),ISERROR(VLOOKUP($B110,FFTodayData!$P:$Y,6,0))),"",VLOOKUP($B110,FFTodayData!$P:$Y,6,0))</f>
        <v/>
      </c>
      <c r="F110" s="33" t="str">
        <f>IF(OR(($A110=Settings!$A$30),ISERROR(VLOOKUP($B110,FFTodayData!$P:$Y,7,0))),"",VLOOKUP($B110,FFTodayData!$P:$Y,7,0))</f>
        <v/>
      </c>
      <c r="G110" s="33" t="str">
        <f>IF(OR(($A110=Settings!$A$30),ISERROR(VLOOKUP($B110,FFTodayData!$P:$Y,8,0))),"",VLOOKUP($B110,FFTodayData!$P:$Y,8,0))</f>
        <v/>
      </c>
      <c r="H110" s="64" t="str">
        <f>IF(OR(($A110=Settings!$A$30),ISERROR(VLOOKUP($B110,FFTodayData!$P:$Y,9,0))),"",VLOOKUP($B110,FFTodayData!$P:$Y,9,0))</f>
        <v/>
      </c>
      <c r="I110" s="117">
        <f>IF(ISERROR(VLOOKUP($A110,ESPNData!$R:$AE,9,0)),"",VLOOKUP($A110,ESPNData!$R:$AE,9,0))</f>
        <v>0</v>
      </c>
      <c r="J110" s="33">
        <f>IF(ISERROR(VLOOKUP($A110,ESPNData!$R:$AE,10,0)),"",VLOOKUP($A110,ESPNData!$R:$AE,10,0))</f>
        <v>0</v>
      </c>
      <c r="K110" s="33">
        <f>IF(ISERROR(VLOOKUP($A110,ESPNData!$R:$AE,11,0)),"",VLOOKUP($A110,ESPNData!$R:$AE,11,0))</f>
        <v>0</v>
      </c>
      <c r="L110" s="33">
        <f>IF(ISERROR(VLOOKUP($A110,ESPNData!$R:$AE,12,0)),"",VLOOKUP($A110,ESPNData!$R:$AE,12,0))</f>
        <v>0</v>
      </c>
      <c r="M110" s="64">
        <f>IF(ISERROR(VLOOKUP($A110,ESPNData!$R:$AE,13,0)),"",VLOOKUP($A110,ESPNData!$R:$AE,13,0))</f>
        <v>0</v>
      </c>
      <c r="N110" s="115" t="str">
        <f>IF(OR(($A110=Settings!$A$30),ISERROR(VLOOKUP($B110,SportslineData!$Q:$AB,4,0))),"",VLOOKUP($B110,SportslineData!$Q:$AB,4,0))</f>
        <v/>
      </c>
      <c r="O110" s="82" t="str">
        <f>IF(OR(($A110=Settings!$A$30),ISERROR(VLOOKUP($B110,SportslineData!$Q:$AB,6,0))),"",ROUND(VLOOKUP($B110,SportslineData!$Q:$AB,6,0),0))</f>
        <v/>
      </c>
      <c r="P110" s="82" t="str">
        <f>IF(OR(($A110=Settings!$A$30),ISERROR(VLOOKUP($B110,SportslineData!$Q:$AB,7,0))),"",ROUND(VLOOKUP($B110,SportslineData!$Q:$AB,7,0),0))</f>
        <v/>
      </c>
      <c r="Q110" s="82" t="str">
        <f>IF(OR(($A110=Settings!$A$30),ISERROR(VLOOKUP($B110,SportslineData!$Q:$AB,8,0))),"",VLOOKUP($B110,SportslineData!$Q:$AB,8,0))</f>
        <v/>
      </c>
      <c r="R110" s="82" t="str">
        <f>IF(OR(($A110=Settings!$A$30),ISERROR(VLOOKUP($B110,SportslineData!$Q:$AB,10,0))),"",ROUND(VLOOKUP($B110,SportslineData!$Q:$AB,10,0),0))</f>
        <v/>
      </c>
      <c r="S110" s="74" t="str">
        <f>IF(OR(($A110=Settings!$A$30),ISERROR(VLOOKUP($B110,SportslineData!$Q:$AB,11,0))),"",ROUND(VLOOKUP($B110,SportslineData!$Q:$AB,11,0),0))</f>
        <v/>
      </c>
      <c r="T110" s="117"/>
      <c r="U110" s="131">
        <f t="shared" si="14"/>
        <v>0</v>
      </c>
      <c r="V110" s="38">
        <f>IF(ISERROR(ROUND((((((ROUNDDOWN((D110/5),0)*Settings!$F$7)+(E110*Settings!$I$7))+(F110*Settings!$I$11))+(ROUNDDOWN((G110/5),0)*Settings!$F$11))+(H110*Settings!$F$12)),1)),0,ROUND((((((ROUNDDOWN((D110/5),0)*Settings!$F$7)+(E110*Settings!$I$7))+(F110*Settings!$I$11))+(ROUNDDOWN((G110/5),0)*Settings!$F$11))+(H110*Settings!$F$12)),1))</f>
        <v>0</v>
      </c>
      <c r="W110" s="38">
        <f>IF(ISERROR(ROUND((((((ROUNDDOWN((I110/5),0)*Settings!$F$7)+(J110*Settings!$I$7))+(K110*Settings!$I$11))+(ROUNDDOWN((L110/5),0)*Settings!$F$11))+(M110*Settings!$F$12)),1)),0,ROUND((((((ROUNDDOWN((I110/5),0)*Settings!$F$7)+(J110*Settings!$I$7))+(K110*Settings!$I$11))+(ROUNDDOWN((L110/5),0)*Settings!$F$11))+(M110*Settings!$F$12)),1))</f>
        <v>0</v>
      </c>
      <c r="X110" s="38">
        <f>IF(AND((N110=""),(P110="")),0,((((((ROUND((N110/5),0)*Settings!$F$7)+(O110*Settings!$I$7))+(P110*Settings!$I$11))+(ROUND((Q110/5),0)*Settings!$F$11))+(R110*Settings!$F$12))+(S110*Settings!$F$15)))</f>
        <v>0</v>
      </c>
      <c r="Y110" s="66">
        <f>ROUND((((V110*Settings!$B$21)+(W110*Settings!$B$22))+(X110*Settings!$B$23)),1)</f>
        <v>0</v>
      </c>
      <c r="Z110" s="66">
        <f>IF(ISERROR(VLOOKUP(RANK(Y110,$Y$4:$Y$182),Z$4:Z109,1,0)),RANK(Y110,$Y$4:$Y$182),IF(ISERROR(VLOOKUP((RANK(Y110,$Y$4:$Y$182)+1),Z$4:Z109,1,0)),(RANK(Y110,$Y$4:$Y$182)+1),IF(ISERROR(VLOOKUP((RANK(Y110,$Y$4:$Y$182)+2),Z$4:Z109,1,0)),(RANK(Y110,$Y$4:$Y$182)+2),(RANK(Y110,$Y$4:$Y$182)+3))))</f>
        <v>123</v>
      </c>
      <c r="AA110" t="str">
        <f t="shared" si="15"/>
        <v>Cierre Wood</v>
      </c>
    </row>
    <row r="111" spans="1:27" ht="12.75" customHeight="1">
      <c r="A111" s="33" t="str">
        <f>ESPNData!R114</f>
        <v>Dri Archer, Pit RB</v>
      </c>
      <c r="B111" s="33" t="str">
        <f t="shared" si="12"/>
        <v>Dri Archer</v>
      </c>
      <c r="C111" s="64" t="str">
        <f t="shared" si="13"/>
        <v>PIT</v>
      </c>
      <c r="D111" s="117" t="str">
        <f>IF(OR(($A111=Settings!$A$30),ISERROR(VLOOKUP($B111,FFTodayData!$P:$Y,5,0))),"",VLOOKUP($B111,FFTodayData!$P:$Y,5,0))</f>
        <v/>
      </c>
      <c r="E111" s="33" t="str">
        <f>IF(OR(($A111=Settings!$A$30),ISERROR(VLOOKUP($B111,FFTodayData!$P:$Y,6,0))),"",VLOOKUP($B111,FFTodayData!$P:$Y,6,0))</f>
        <v/>
      </c>
      <c r="F111" s="33" t="str">
        <f>IF(OR(($A111=Settings!$A$30),ISERROR(VLOOKUP($B111,FFTodayData!$P:$Y,7,0))),"",VLOOKUP($B111,FFTodayData!$P:$Y,7,0))</f>
        <v/>
      </c>
      <c r="G111" s="33" t="str">
        <f>IF(OR(($A111=Settings!$A$30),ISERROR(VLOOKUP($B111,FFTodayData!$P:$Y,8,0))),"",VLOOKUP($B111,FFTodayData!$P:$Y,8,0))</f>
        <v/>
      </c>
      <c r="H111" s="64" t="str">
        <f>IF(OR(($A111=Settings!$A$30),ISERROR(VLOOKUP($B111,FFTodayData!$P:$Y,9,0))),"",VLOOKUP($B111,FFTodayData!$P:$Y,9,0))</f>
        <v/>
      </c>
      <c r="I111" s="117">
        <f>IF(ISERROR(VLOOKUP($A111,ESPNData!$R:$AE,9,0)),"",VLOOKUP($A111,ESPNData!$R:$AE,9,0))</f>
        <v>0</v>
      </c>
      <c r="J111" s="33">
        <f>IF(ISERROR(VLOOKUP($A111,ESPNData!$R:$AE,10,0)),"",VLOOKUP($A111,ESPNData!$R:$AE,10,0))</f>
        <v>0</v>
      </c>
      <c r="K111" s="33">
        <f>IF(ISERROR(VLOOKUP($A111,ESPNData!$R:$AE,11,0)),"",VLOOKUP($A111,ESPNData!$R:$AE,11,0))</f>
        <v>0</v>
      </c>
      <c r="L111" s="33">
        <f>IF(ISERROR(VLOOKUP($A111,ESPNData!$R:$AE,12,0)),"",VLOOKUP($A111,ESPNData!$R:$AE,12,0))</f>
        <v>0</v>
      </c>
      <c r="M111" s="64">
        <f>IF(ISERROR(VLOOKUP($A111,ESPNData!$R:$AE,13,0)),"",VLOOKUP($A111,ESPNData!$R:$AE,13,0))</f>
        <v>0</v>
      </c>
      <c r="N111" s="115">
        <f>IF(OR(($A111=Settings!$A$30),ISERROR(VLOOKUP($B111,SportslineData!$Q:$AB,4,0))),"",VLOOKUP($B111,SportslineData!$Q:$AB,4,0))</f>
        <v>162.5</v>
      </c>
      <c r="O111" s="82">
        <f>IF(OR(($A111=Settings!$A$30),ISERROR(VLOOKUP($B111,SportslineData!$Q:$AB,6,0))),"",ROUND(VLOOKUP($B111,SportslineData!$Q:$AB,6,0),0))</f>
        <v>1</v>
      </c>
      <c r="P111" s="82">
        <f>IF(OR(($A111=Settings!$A$30),ISERROR(VLOOKUP($B111,SportslineData!$Q:$AB,7,0))),"",ROUND(VLOOKUP($B111,SportslineData!$Q:$AB,7,0),0))</f>
        <v>26</v>
      </c>
      <c r="Q111" s="82">
        <f>IF(OR(($A111=Settings!$A$30),ISERROR(VLOOKUP($B111,SportslineData!$Q:$AB,8,0))),"",VLOOKUP($B111,SportslineData!$Q:$AB,8,0))</f>
        <v>261</v>
      </c>
      <c r="R111" s="82">
        <f>IF(OR(($A111=Settings!$A$30),ISERROR(VLOOKUP($B111,SportslineData!$Q:$AB,10,0))),"",ROUND(VLOOKUP($B111,SportslineData!$Q:$AB,10,0),0))</f>
        <v>2</v>
      </c>
      <c r="S111" s="74">
        <f>IF(OR(($A111=Settings!$A$30),ISERROR(VLOOKUP($B111,SportslineData!$Q:$AB,11,0))),"",ROUND(VLOOKUP($B111,SportslineData!$Q:$AB,11,0),0))</f>
        <v>1</v>
      </c>
      <c r="T111" s="117"/>
      <c r="U111" s="131">
        <f t="shared" si="14"/>
        <v>41.857894516247868</v>
      </c>
      <c r="V111" s="38">
        <f>IF(ISERROR(ROUND((((((ROUNDDOWN((D111/5),0)*Settings!$F$7)+(E111*Settings!$I$7))+(F111*Settings!$I$11))+(ROUNDDOWN((G111/5),0)*Settings!$F$11))+(H111*Settings!$F$12)),1)),0,ROUND((((((ROUNDDOWN((D111/5),0)*Settings!$F$7)+(E111*Settings!$I$7))+(F111*Settings!$I$11))+(ROUNDDOWN((G111/5),0)*Settings!$F$11))+(H111*Settings!$F$12)),1))</f>
        <v>0</v>
      </c>
      <c r="W111" s="38">
        <f>IF(ISERROR(ROUND((((((ROUNDDOWN((I111/5),0)*Settings!$F$7)+(J111*Settings!$I$7))+(K111*Settings!$I$11))+(ROUNDDOWN((L111/5),0)*Settings!$F$11))+(M111*Settings!$F$12)),1)),0,ROUND((((((ROUNDDOWN((I111/5),0)*Settings!$F$7)+(J111*Settings!$I$7))+(K111*Settings!$I$11))+(ROUNDDOWN((L111/5),0)*Settings!$F$11))+(M111*Settings!$F$12)),1))</f>
        <v>0</v>
      </c>
      <c r="X111" s="38">
        <f>IF(AND((N111=""),(P111="")),0,((((((ROUND((N111/5),0)*Settings!$F$7)+(O111*Settings!$I$7))+(P111*Settings!$I$11))+(ROUND((Q111/5),0)*Settings!$F$11))+(R111*Settings!$F$12))+(S111*Settings!$F$15)))</f>
        <v>72.5</v>
      </c>
      <c r="Y111" s="66">
        <f>ROUND((((V111*Settings!$B$21)+(W111*Settings!$B$22))+(X111*Settings!$B$23)),1)</f>
        <v>24.7</v>
      </c>
      <c r="Z111" s="66">
        <f>IF(ISERROR(VLOOKUP(RANK(Y111,$Y$4:$Y$182),Z$4:Z110,1,0)),RANK(Y111,$Y$4:$Y$182),IF(ISERROR(VLOOKUP((RANK(Y111,$Y$4:$Y$182)+1),Z$4:Z110,1,0)),(RANK(Y111,$Y$4:$Y$182)+1),IF(ISERROR(VLOOKUP((RANK(Y111,$Y$4:$Y$182)+2),Z$4:Z110,1,0)),(RANK(Y111,$Y$4:$Y$182)+2),(RANK(Y111,$Y$4:$Y$182)+3))))</f>
        <v>93</v>
      </c>
      <c r="AA111" t="str">
        <f t="shared" si="15"/>
        <v>Dri Archer</v>
      </c>
    </row>
    <row r="112" spans="1:27" ht="12.75" customHeight="1">
      <c r="A112" s="33" t="str">
        <f>ESPNData!R115</f>
        <v>Chris Thompson, Wsh RB  P</v>
      </c>
      <c r="B112" s="33" t="str">
        <f t="shared" si="12"/>
        <v>Chris Thompson</v>
      </c>
      <c r="C112" s="64" t="str">
        <f t="shared" si="13"/>
        <v>WSH</v>
      </c>
      <c r="D112" s="117" t="str">
        <f>IF(OR(($A112=Settings!$A$30),ISERROR(VLOOKUP($B112,FFTodayData!$P:$Y,5,0))),"",VLOOKUP($B112,FFTodayData!$P:$Y,5,0))</f>
        <v/>
      </c>
      <c r="E112" s="33" t="str">
        <f>IF(OR(($A112=Settings!$A$30),ISERROR(VLOOKUP($B112,FFTodayData!$P:$Y,6,0))),"",VLOOKUP($B112,FFTodayData!$P:$Y,6,0))</f>
        <v/>
      </c>
      <c r="F112" s="33" t="str">
        <f>IF(OR(($A112=Settings!$A$30),ISERROR(VLOOKUP($B112,FFTodayData!$P:$Y,7,0))),"",VLOOKUP($B112,FFTodayData!$P:$Y,7,0))</f>
        <v/>
      </c>
      <c r="G112" s="33" t="str">
        <f>IF(OR(($A112=Settings!$A$30),ISERROR(VLOOKUP($B112,FFTodayData!$P:$Y,8,0))),"",VLOOKUP($B112,FFTodayData!$P:$Y,8,0))</f>
        <v/>
      </c>
      <c r="H112" s="64" t="str">
        <f>IF(OR(($A112=Settings!$A$30),ISERROR(VLOOKUP($B112,FFTodayData!$P:$Y,9,0))),"",VLOOKUP($B112,FFTodayData!$P:$Y,9,0))</f>
        <v/>
      </c>
      <c r="I112" s="117">
        <f>IF(ISERROR(VLOOKUP($A112,ESPNData!$R:$AE,9,0)),"",VLOOKUP($A112,ESPNData!$R:$AE,9,0))</f>
        <v>0</v>
      </c>
      <c r="J112" s="33">
        <f>IF(ISERROR(VLOOKUP($A112,ESPNData!$R:$AE,10,0)),"",VLOOKUP($A112,ESPNData!$R:$AE,10,0))</f>
        <v>0</v>
      </c>
      <c r="K112" s="33">
        <f>IF(ISERROR(VLOOKUP($A112,ESPNData!$R:$AE,11,0)),"",VLOOKUP($A112,ESPNData!$R:$AE,11,0))</f>
        <v>0</v>
      </c>
      <c r="L112" s="33">
        <f>IF(ISERROR(VLOOKUP($A112,ESPNData!$R:$AE,12,0)),"",VLOOKUP($A112,ESPNData!$R:$AE,12,0))</f>
        <v>0</v>
      </c>
      <c r="M112" s="64">
        <f>IF(ISERROR(VLOOKUP($A112,ESPNData!$R:$AE,13,0)),"",VLOOKUP($A112,ESPNData!$R:$AE,13,0))</f>
        <v>0</v>
      </c>
      <c r="N112" s="115">
        <f>IF(OR(($A112=Settings!$A$30),ISERROR(VLOOKUP($B112,SportslineData!$Q:$AB,4,0))),"",VLOOKUP($B112,SportslineData!$Q:$AB,4,0))</f>
        <v>43.5</v>
      </c>
      <c r="O112" s="82">
        <f>IF(OR(($A112=Settings!$A$30),ISERROR(VLOOKUP($B112,SportslineData!$Q:$AB,6,0))),"",ROUND(VLOOKUP($B112,SportslineData!$Q:$AB,6,0),0))</f>
        <v>0</v>
      </c>
      <c r="P112" s="82">
        <f>IF(OR(($A112=Settings!$A$30),ISERROR(VLOOKUP($B112,SportslineData!$Q:$AB,7,0))),"",ROUND(VLOOKUP($B112,SportslineData!$Q:$AB,7,0),0))</f>
        <v>4</v>
      </c>
      <c r="Q112" s="82">
        <f>IF(OR(($A112=Settings!$A$30),ISERROR(VLOOKUP($B112,SportslineData!$Q:$AB,8,0))),"",VLOOKUP($B112,SportslineData!$Q:$AB,8,0))</f>
        <v>38.5</v>
      </c>
      <c r="R112" s="82">
        <f>IF(OR(($A112=Settings!$A$30),ISERROR(VLOOKUP($B112,SportslineData!$Q:$AB,10,0))),"",ROUND(VLOOKUP($B112,SportslineData!$Q:$AB,10,0),0))</f>
        <v>0</v>
      </c>
      <c r="S112" s="74">
        <f>IF(OR(($A112=Settings!$A$30),ISERROR(VLOOKUP($B112,SportslineData!$Q:$AB,11,0))),"",ROUND(VLOOKUP($B112,SportslineData!$Q:$AB,11,0),0))</f>
        <v>0</v>
      </c>
      <c r="T112" s="117"/>
      <c r="U112" s="131">
        <f t="shared" si="14"/>
        <v>6.0621778264910704</v>
      </c>
      <c r="V112" s="38">
        <f>IF(ISERROR(ROUND((((((ROUNDDOWN((D112/5),0)*Settings!$F$7)+(E112*Settings!$I$7))+(F112*Settings!$I$11))+(ROUNDDOWN((G112/5),0)*Settings!$F$11))+(H112*Settings!$F$12)),1)),0,ROUND((((((ROUNDDOWN((D112/5),0)*Settings!$F$7)+(E112*Settings!$I$7))+(F112*Settings!$I$11))+(ROUNDDOWN((G112/5),0)*Settings!$F$11))+(H112*Settings!$F$12)),1))</f>
        <v>0</v>
      </c>
      <c r="W112" s="38">
        <f>IF(ISERROR(ROUND((((((ROUNDDOWN((I112/5),0)*Settings!$F$7)+(J112*Settings!$I$7))+(K112*Settings!$I$11))+(ROUNDDOWN((L112/5),0)*Settings!$F$11))+(M112*Settings!$F$12)),1)),0,ROUND((((((ROUNDDOWN((I112/5),0)*Settings!$F$7)+(J112*Settings!$I$7))+(K112*Settings!$I$11))+(ROUNDDOWN((L112/5),0)*Settings!$F$11))+(M112*Settings!$F$12)),1))</f>
        <v>0</v>
      </c>
      <c r="X112" s="38">
        <f>IF(AND((N112=""),(P112="")),0,((((((ROUND((N112/5),0)*Settings!$F$7)+(O112*Settings!$I$7))+(P112*Settings!$I$11))+(ROUND((Q112/5),0)*Settings!$F$11))+(R112*Settings!$F$12))+(S112*Settings!$F$15)))</f>
        <v>10.5</v>
      </c>
      <c r="Y112" s="66">
        <f>ROUND((((V112*Settings!$B$21)+(W112*Settings!$B$22))+(X112*Settings!$B$23)),1)</f>
        <v>3.6</v>
      </c>
      <c r="Z112" s="66">
        <f>IF(ISERROR(VLOOKUP(RANK(Y112,$Y$4:$Y$182),Z$4:Z111,1,0)),RANK(Y112,$Y$4:$Y$182),IF(ISERROR(VLOOKUP((RANK(Y112,$Y$4:$Y$182)+1),Z$4:Z111,1,0)),(RANK(Y112,$Y$4:$Y$182)+1),IF(ISERROR(VLOOKUP((RANK(Y112,$Y$4:$Y$182)+2),Z$4:Z111,1,0)),(RANK(Y112,$Y$4:$Y$182)+2),(RANK(Y112,$Y$4:$Y$182)+3))))</f>
        <v>119</v>
      </c>
      <c r="AA112" t="str">
        <f t="shared" si="15"/>
        <v>Chris Thompson</v>
      </c>
    </row>
    <row r="113" spans="1:27" ht="12.75" customHeight="1">
      <c r="A113" s="33" t="str">
        <f>ESPNData!R116</f>
        <v>Daryl Richardson, NYJ RB</v>
      </c>
      <c r="B113" s="33" t="str">
        <f t="shared" si="12"/>
        <v>Daryl Richardson</v>
      </c>
      <c r="C113" s="64" t="str">
        <f t="shared" si="13"/>
        <v>NYJ</v>
      </c>
      <c r="D113" s="117">
        <f>IF(OR(($A113=Settings!$A$30),ISERROR(VLOOKUP($B113,FFTodayData!$P:$Y,5,0))),"",VLOOKUP($B113,FFTodayData!$P:$Y,5,0))</f>
        <v>92</v>
      </c>
      <c r="E113" s="33">
        <f>IF(OR(($A113=Settings!$A$30),ISERROR(VLOOKUP($B113,FFTodayData!$P:$Y,6,0))),"",VLOOKUP($B113,FFTodayData!$P:$Y,6,0))</f>
        <v>0</v>
      </c>
      <c r="F113" s="33">
        <f>IF(OR(($A113=Settings!$A$30),ISERROR(VLOOKUP($B113,FFTodayData!$P:$Y,7,0))),"",VLOOKUP($B113,FFTodayData!$P:$Y,7,0))</f>
        <v>2</v>
      </c>
      <c r="G113" s="33">
        <f>IF(OR(($A113=Settings!$A$30),ISERROR(VLOOKUP($B113,FFTodayData!$P:$Y,8,0))),"",VLOOKUP($B113,FFTodayData!$P:$Y,8,0))</f>
        <v>14</v>
      </c>
      <c r="H113" s="64">
        <f>IF(OR(($A113=Settings!$A$30),ISERROR(VLOOKUP($B113,FFTodayData!$P:$Y,9,0))),"",VLOOKUP($B113,FFTodayData!$P:$Y,9,0))</f>
        <v>0</v>
      </c>
      <c r="I113" s="117">
        <f>IF(ISERROR(VLOOKUP($A113,ESPNData!$R:$AE,9,0)),"",VLOOKUP($A113,ESPNData!$R:$AE,9,0))</f>
        <v>0</v>
      </c>
      <c r="J113" s="33">
        <f>IF(ISERROR(VLOOKUP($A113,ESPNData!$R:$AE,10,0)),"",VLOOKUP($A113,ESPNData!$R:$AE,10,0))</f>
        <v>0</v>
      </c>
      <c r="K113" s="33">
        <f>IF(ISERROR(VLOOKUP($A113,ESPNData!$R:$AE,11,0)),"",VLOOKUP($A113,ESPNData!$R:$AE,11,0))</f>
        <v>0</v>
      </c>
      <c r="L113" s="33">
        <f>IF(ISERROR(VLOOKUP($A113,ESPNData!$R:$AE,12,0)),"",VLOOKUP($A113,ESPNData!$R:$AE,12,0))</f>
        <v>0</v>
      </c>
      <c r="M113" s="64">
        <f>IF(ISERROR(VLOOKUP($A113,ESPNData!$R:$AE,13,0)),"",VLOOKUP($A113,ESPNData!$R:$AE,13,0))</f>
        <v>0</v>
      </c>
      <c r="N113" s="115">
        <f>IF(OR(($A113=Settings!$A$30),ISERROR(VLOOKUP($B113,SportslineData!$Q:$AB,4,0))),"",VLOOKUP($B113,SportslineData!$Q:$AB,4,0))</f>
        <v>90</v>
      </c>
      <c r="O113" s="82">
        <f>IF(OR(($A113=Settings!$A$30),ISERROR(VLOOKUP($B113,SportslineData!$Q:$AB,6,0))),"",ROUND(VLOOKUP($B113,SportslineData!$Q:$AB,6,0),0))</f>
        <v>0</v>
      </c>
      <c r="P113" s="82">
        <f>IF(OR(($A113=Settings!$A$30),ISERROR(VLOOKUP($B113,SportslineData!$Q:$AB,7,0))),"",ROUND(VLOOKUP($B113,SportslineData!$Q:$AB,7,0),0))</f>
        <v>13</v>
      </c>
      <c r="Q113" s="82">
        <f>IF(OR(($A113=Settings!$A$30),ISERROR(VLOOKUP($B113,SportslineData!$Q:$AB,8,0))),"",VLOOKUP($B113,SportslineData!$Q:$AB,8,0))</f>
        <v>104.5</v>
      </c>
      <c r="R113" s="82">
        <f>IF(OR(($A113=Settings!$A$30),ISERROR(VLOOKUP($B113,SportslineData!$Q:$AB,10,0))),"",ROUND(VLOOKUP($B113,SportslineData!$Q:$AB,10,0),0))</f>
        <v>0</v>
      </c>
      <c r="S113" s="74">
        <f>IF(OR(($A113=Settings!$A$30),ISERROR(VLOOKUP($B113,SportslineData!$Q:$AB,11,0))),"",ROUND(VLOOKUP($B113,SportslineData!$Q:$AB,11,0),0))</f>
        <v>1</v>
      </c>
      <c r="T113" s="117"/>
      <c r="U113" s="131">
        <f t="shared" si="14"/>
        <v>12.529964086141668</v>
      </c>
      <c r="V113" s="38">
        <f>IF(ISERROR(ROUND((((((ROUNDDOWN((D113/5),0)*Settings!$F$7)+(E113*Settings!$I$7))+(F113*Settings!$I$11))+(ROUNDDOWN((G113/5),0)*Settings!$F$11))+(H113*Settings!$F$12)),1)),0,ROUND((((((ROUNDDOWN((D113/5),0)*Settings!$F$7)+(E113*Settings!$I$7))+(F113*Settings!$I$11))+(ROUNDDOWN((G113/5),0)*Settings!$F$11))+(H113*Settings!$F$12)),1))</f>
        <v>11</v>
      </c>
      <c r="W113" s="38">
        <f>IF(ISERROR(ROUND((((((ROUNDDOWN((I113/5),0)*Settings!$F$7)+(J113*Settings!$I$7))+(K113*Settings!$I$11))+(ROUNDDOWN((L113/5),0)*Settings!$F$11))+(M113*Settings!$F$12)),1)),0,ROUND((((((ROUNDDOWN((I113/5),0)*Settings!$F$7)+(J113*Settings!$I$7))+(K113*Settings!$I$11))+(ROUNDDOWN((L113/5),0)*Settings!$F$11))+(M113*Settings!$F$12)),1))</f>
        <v>0</v>
      </c>
      <c r="X113" s="38">
        <f>IF(AND((N113=""),(P113="")),0,((((((ROUND((N113/5),0)*Settings!$F$7)+(O113*Settings!$I$7))+(P113*Settings!$I$11))+(ROUND((Q113/5),0)*Settings!$F$11))+(R113*Settings!$F$12))+(S113*Settings!$F$15)))</f>
        <v>25</v>
      </c>
      <c r="Y113" s="66">
        <f>ROUND((((V113*Settings!$B$21)+(W113*Settings!$B$22))+(X113*Settings!$B$23)),1)</f>
        <v>12.1</v>
      </c>
      <c r="Z113" s="66">
        <f>IF(ISERROR(VLOOKUP(RANK(Y113,$Y$4:$Y$182),Z$4:Z112,1,0)),RANK(Y113,$Y$4:$Y$182),IF(ISERROR(VLOOKUP((RANK(Y113,$Y$4:$Y$182)+1),Z$4:Z112,1,0)),(RANK(Y113,$Y$4:$Y$182)+1),IF(ISERROR(VLOOKUP((RANK(Y113,$Y$4:$Y$182)+2),Z$4:Z112,1,0)),(RANK(Y113,$Y$4:$Y$182)+2),(RANK(Y113,$Y$4:$Y$182)+3))))</f>
        <v>109</v>
      </c>
      <c r="AA113" t="str">
        <f t="shared" si="15"/>
        <v>Daryl Richardson</v>
      </c>
    </row>
    <row r="114" spans="1:27" ht="12.75" customHeight="1">
      <c r="A114" s="33" t="str">
        <f>ESPNData!R117</f>
        <v>Mikel Leshoure, Det RB</v>
      </c>
      <c r="B114" s="33" t="str">
        <f t="shared" si="12"/>
        <v>Mikel Leshoure</v>
      </c>
      <c r="C114" s="64" t="str">
        <f t="shared" si="13"/>
        <v>DET</v>
      </c>
      <c r="D114" s="117">
        <f>IF(OR(($A114=Settings!$A$30),ISERROR(VLOOKUP($B114,FFTodayData!$P:$Y,5,0))),"",VLOOKUP($B114,FFTodayData!$P:$Y,5,0))</f>
        <v>510</v>
      </c>
      <c r="E114" s="33">
        <f>IF(OR(($A114=Settings!$A$30),ISERROR(VLOOKUP($B114,FFTodayData!$P:$Y,6,0))),"",VLOOKUP($B114,FFTodayData!$P:$Y,6,0))</f>
        <v>3</v>
      </c>
      <c r="F114" s="33">
        <f>IF(OR(($A114=Settings!$A$30),ISERROR(VLOOKUP($B114,FFTodayData!$P:$Y,7,0))),"",VLOOKUP($B114,FFTodayData!$P:$Y,7,0))</f>
        <v>6</v>
      </c>
      <c r="G114" s="33">
        <f>IF(OR(($A114=Settings!$A$30),ISERROR(VLOOKUP($B114,FFTodayData!$P:$Y,8,0))),"",VLOOKUP($B114,FFTodayData!$P:$Y,8,0))</f>
        <v>45</v>
      </c>
      <c r="H114" s="64">
        <f>IF(OR(($A114=Settings!$A$30),ISERROR(VLOOKUP($B114,FFTodayData!$P:$Y,9,0))),"",VLOOKUP($B114,FFTodayData!$P:$Y,9,0))</f>
        <v>0</v>
      </c>
      <c r="I114" s="117">
        <f>IF(ISERROR(VLOOKUP($A114,ESPNData!$R:$AE,9,0)),"",VLOOKUP($A114,ESPNData!$R:$AE,9,0))</f>
        <v>0</v>
      </c>
      <c r="J114" s="33">
        <f>IF(ISERROR(VLOOKUP($A114,ESPNData!$R:$AE,10,0)),"",VLOOKUP($A114,ESPNData!$R:$AE,10,0))</f>
        <v>0</v>
      </c>
      <c r="K114" s="33">
        <f>IF(ISERROR(VLOOKUP($A114,ESPNData!$R:$AE,11,0)),"",VLOOKUP($A114,ESPNData!$R:$AE,11,0))</f>
        <v>0</v>
      </c>
      <c r="L114" s="33">
        <f>IF(ISERROR(VLOOKUP($A114,ESPNData!$R:$AE,12,0)),"",VLOOKUP($A114,ESPNData!$R:$AE,12,0))</f>
        <v>0</v>
      </c>
      <c r="M114" s="64">
        <f>IF(ISERROR(VLOOKUP($A114,ESPNData!$R:$AE,13,0)),"",VLOOKUP($A114,ESPNData!$R:$AE,13,0))</f>
        <v>0</v>
      </c>
      <c r="N114" s="115">
        <f>IF(OR(($A114=Settings!$A$30),ISERROR(VLOOKUP($B114,SportslineData!$Q:$AB,4,0))),"",VLOOKUP($B114,SportslineData!$Q:$AB,4,0))</f>
        <v>99</v>
      </c>
      <c r="O114" s="82">
        <f>IF(OR(($A114=Settings!$A$30),ISERROR(VLOOKUP($B114,SportslineData!$Q:$AB,6,0))),"",ROUND(VLOOKUP($B114,SportslineData!$Q:$AB,6,0),0))</f>
        <v>1</v>
      </c>
      <c r="P114" s="82">
        <f>IF(OR(($A114=Settings!$A$30),ISERROR(VLOOKUP($B114,SportslineData!$Q:$AB,7,0))),"",ROUND(VLOOKUP($B114,SportslineData!$Q:$AB,7,0),0))</f>
        <v>8</v>
      </c>
      <c r="Q114" s="82">
        <f>IF(OR(($A114=Settings!$A$30),ISERROR(VLOOKUP($B114,SportslineData!$Q:$AB,8,0))),"",VLOOKUP($B114,SportslineData!$Q:$AB,8,0))</f>
        <v>57</v>
      </c>
      <c r="R114" s="82">
        <f>IF(OR(($A114=Settings!$A$30),ISERROR(VLOOKUP($B114,SportslineData!$Q:$AB,10,0))),"",ROUND(VLOOKUP($B114,SportslineData!$Q:$AB,10,0),0))</f>
        <v>0</v>
      </c>
      <c r="S114" s="74">
        <f>IF(OR(($A114=Settings!$A$30),ISERROR(VLOOKUP($B114,SportslineData!$Q:$AB,11,0))),"",ROUND(VLOOKUP($B114,SportslineData!$Q:$AB,11,0),0))</f>
        <v>1</v>
      </c>
      <c r="T114" s="117"/>
      <c r="U114" s="131">
        <f t="shared" si="14"/>
        <v>39.065116579031645</v>
      </c>
      <c r="V114" s="38">
        <f>IF(ISERROR(ROUND((((((ROUNDDOWN((D114/5),0)*Settings!$F$7)+(E114*Settings!$I$7))+(F114*Settings!$I$11))+(ROUNDDOWN((G114/5),0)*Settings!$F$11))+(H114*Settings!$F$12)),1)),0,ROUND((((((ROUNDDOWN((D114/5),0)*Settings!$F$7)+(E114*Settings!$I$7))+(F114*Settings!$I$11))+(ROUNDDOWN((G114/5),0)*Settings!$F$11))+(H114*Settings!$F$12)),1))</f>
        <v>76.5</v>
      </c>
      <c r="W114" s="38">
        <f>IF(ISERROR(ROUND((((((ROUNDDOWN((I114/5),0)*Settings!$F$7)+(J114*Settings!$I$7))+(K114*Settings!$I$11))+(ROUNDDOWN((L114/5),0)*Settings!$F$11))+(M114*Settings!$F$12)),1)),0,ROUND((((((ROUNDDOWN((I114/5),0)*Settings!$F$7)+(J114*Settings!$I$7))+(K114*Settings!$I$11))+(ROUNDDOWN((L114/5),0)*Settings!$F$11))+(M114*Settings!$F$12)),1))</f>
        <v>0</v>
      </c>
      <c r="X114" s="38">
        <f>IF(AND((N114=""),(P114="")),0,((((((ROUND((N114/5),0)*Settings!$F$7)+(O114*Settings!$I$7))+(P114*Settings!$I$11))+(ROUND((Q114/5),0)*Settings!$F$11))+(R114*Settings!$F$12))+(S114*Settings!$F$15)))</f>
        <v>24.5</v>
      </c>
      <c r="Y114" s="66">
        <f>ROUND((((V114*Settings!$B$21)+(W114*Settings!$B$22))+(X114*Settings!$B$23)),1)</f>
        <v>33.6</v>
      </c>
      <c r="Z114" s="66">
        <f>IF(ISERROR(VLOOKUP(RANK(Y114,$Y$4:$Y$182),Z$4:Z113,1,0)),RANK(Y114,$Y$4:$Y$182),IF(ISERROR(VLOOKUP((RANK(Y114,$Y$4:$Y$182)+1),Z$4:Z113,1,0)),(RANK(Y114,$Y$4:$Y$182)+1),IF(ISERROR(VLOOKUP((RANK(Y114,$Y$4:$Y$182)+2),Z$4:Z113,1,0)),(RANK(Y114,$Y$4:$Y$182)+2),(RANK(Y114,$Y$4:$Y$182)+3))))</f>
        <v>79</v>
      </c>
      <c r="AA114" t="str">
        <f t="shared" si="15"/>
        <v>Mikel Leshoure</v>
      </c>
    </row>
    <row r="115" spans="1:27" ht="12.75" customHeight="1">
      <c r="A115" s="33" t="str">
        <f>ESPNData!R118</f>
        <v>LaMichael James, SF RB  Q</v>
      </c>
      <c r="B115" s="33" t="str">
        <f t="shared" si="12"/>
        <v>LaMichael James</v>
      </c>
      <c r="C115" s="64" t="str">
        <f t="shared" si="13"/>
        <v>SF</v>
      </c>
      <c r="D115" s="117">
        <f>IF(OR(($A115=Settings!$A$30),ISERROR(VLOOKUP($B115,FFTodayData!$P:$Y,5,0))),"",VLOOKUP($B115,FFTodayData!$P:$Y,5,0))</f>
        <v>135</v>
      </c>
      <c r="E115" s="33">
        <f>IF(OR(($A115=Settings!$A$30),ISERROR(VLOOKUP($B115,FFTodayData!$P:$Y,6,0))),"",VLOOKUP($B115,FFTodayData!$P:$Y,6,0))</f>
        <v>1</v>
      </c>
      <c r="F115" s="33">
        <f>IF(OR(($A115=Settings!$A$30),ISERROR(VLOOKUP($B115,FFTodayData!$P:$Y,7,0))),"",VLOOKUP($B115,FFTodayData!$P:$Y,7,0))</f>
        <v>5</v>
      </c>
      <c r="G115" s="33">
        <f>IF(OR(($A115=Settings!$A$30),ISERROR(VLOOKUP($B115,FFTodayData!$P:$Y,8,0))),"",VLOOKUP($B115,FFTodayData!$P:$Y,8,0))</f>
        <v>31</v>
      </c>
      <c r="H115" s="64">
        <f>IF(OR(($A115=Settings!$A$30),ISERROR(VLOOKUP($B115,FFTodayData!$P:$Y,9,0))),"",VLOOKUP($B115,FFTodayData!$P:$Y,9,0))</f>
        <v>0</v>
      </c>
      <c r="I115" s="117">
        <f>IF(ISERROR(VLOOKUP($A115,ESPNData!$R:$AE,9,0)),"",VLOOKUP($A115,ESPNData!$R:$AE,9,0))</f>
        <v>0</v>
      </c>
      <c r="J115" s="33">
        <f>IF(ISERROR(VLOOKUP($A115,ESPNData!$R:$AE,10,0)),"",VLOOKUP($A115,ESPNData!$R:$AE,10,0))</f>
        <v>0</v>
      </c>
      <c r="K115" s="33">
        <f>IF(ISERROR(VLOOKUP($A115,ESPNData!$R:$AE,11,0)),"",VLOOKUP($A115,ESPNData!$R:$AE,11,0))</f>
        <v>0</v>
      </c>
      <c r="L115" s="33">
        <f>IF(ISERROR(VLOOKUP($A115,ESPNData!$R:$AE,12,0)),"",VLOOKUP($A115,ESPNData!$R:$AE,12,0))</f>
        <v>0</v>
      </c>
      <c r="M115" s="64">
        <f>IF(ISERROR(VLOOKUP($A115,ESPNData!$R:$AE,13,0)),"",VLOOKUP($A115,ESPNData!$R:$AE,13,0))</f>
        <v>0</v>
      </c>
      <c r="N115" s="115">
        <f>IF(OR(($A115=Settings!$A$30),ISERROR(VLOOKUP($B115,SportslineData!$Q:$AB,4,0))),"",VLOOKUP($B115,SportslineData!$Q:$AB,4,0))</f>
        <v>48</v>
      </c>
      <c r="O115" s="82">
        <f>IF(OR(($A115=Settings!$A$30),ISERROR(VLOOKUP($B115,SportslineData!$Q:$AB,6,0))),"",ROUND(VLOOKUP($B115,SportslineData!$Q:$AB,6,0),0))</f>
        <v>0</v>
      </c>
      <c r="P115" s="82">
        <f>IF(OR(($A115=Settings!$A$30),ISERROR(VLOOKUP($B115,SportslineData!$Q:$AB,7,0))),"",ROUND(VLOOKUP($B115,SportslineData!$Q:$AB,7,0),0))</f>
        <v>5</v>
      </c>
      <c r="Q115" s="82">
        <f>IF(OR(($A115=Settings!$A$30),ISERROR(VLOOKUP($B115,SportslineData!$Q:$AB,8,0))),"",VLOOKUP($B115,SportslineData!$Q:$AB,8,0))</f>
        <v>35</v>
      </c>
      <c r="R115" s="82">
        <f>IF(OR(($A115=Settings!$A$30),ISERROR(VLOOKUP($B115,SportslineData!$Q:$AB,10,0))),"",ROUND(VLOOKUP($B115,SportslineData!$Q:$AB,10,0),0))</f>
        <v>0</v>
      </c>
      <c r="S115" s="74">
        <f>IF(OR(($A115=Settings!$A$30),ISERROR(VLOOKUP($B115,SportslineData!$Q:$AB,11,0))),"",ROUND(VLOOKUP($B115,SportslineData!$Q:$AB,11,0),0))</f>
        <v>0</v>
      </c>
      <c r="T115" s="117"/>
      <c r="U115" s="131">
        <f t="shared" si="14"/>
        <v>12.529964086141668</v>
      </c>
      <c r="V115" s="38">
        <f>IF(ISERROR(ROUND((((((ROUNDDOWN((D115/5),0)*Settings!$F$7)+(E115*Settings!$I$7))+(F115*Settings!$I$11))+(ROUNDDOWN((G115/5),0)*Settings!$F$11))+(H115*Settings!$F$12)),1)),0,ROUND((((((ROUNDDOWN((D115/5),0)*Settings!$F$7)+(E115*Settings!$I$7))+(F115*Settings!$I$11))+(ROUNDDOWN((G115/5),0)*Settings!$F$11))+(H115*Settings!$F$12)),1))</f>
        <v>25</v>
      </c>
      <c r="W115" s="38">
        <f>IF(ISERROR(ROUND((((((ROUNDDOWN((I115/5),0)*Settings!$F$7)+(J115*Settings!$I$7))+(K115*Settings!$I$11))+(ROUNDDOWN((L115/5),0)*Settings!$F$11))+(M115*Settings!$F$12)),1)),0,ROUND((((((ROUNDDOWN((I115/5),0)*Settings!$F$7)+(J115*Settings!$I$7))+(K115*Settings!$I$11))+(ROUNDDOWN((L115/5),0)*Settings!$F$11))+(M115*Settings!$F$12)),1))</f>
        <v>0</v>
      </c>
      <c r="X115" s="38">
        <f>IF(AND((N115=""),(P115="")),0,((((((ROUND((N115/5),0)*Settings!$F$7)+(O115*Settings!$I$7))+(P115*Settings!$I$11))+(ROUND((Q115/5),0)*Settings!$F$11))+(R115*Settings!$F$12))+(S115*Settings!$F$15)))</f>
        <v>11</v>
      </c>
      <c r="Y115" s="66">
        <f>ROUND((((V115*Settings!$B$21)+(W115*Settings!$B$22))+(X115*Settings!$B$23)),1)</f>
        <v>12</v>
      </c>
      <c r="Z115" s="66">
        <f>IF(ISERROR(VLOOKUP(RANK(Y115,$Y$4:$Y$182),Z$4:Z114,1,0)),RANK(Y115,$Y$4:$Y$182),IF(ISERROR(VLOOKUP((RANK(Y115,$Y$4:$Y$182)+1),Z$4:Z114,1,0)),(RANK(Y115,$Y$4:$Y$182)+1),IF(ISERROR(VLOOKUP((RANK(Y115,$Y$4:$Y$182)+2),Z$4:Z114,1,0)),(RANK(Y115,$Y$4:$Y$182)+2),(RANK(Y115,$Y$4:$Y$182)+3))))</f>
        <v>110</v>
      </c>
      <c r="AA115" t="str">
        <f t="shared" si="15"/>
        <v>LaMichael James</v>
      </c>
    </row>
    <row r="116" spans="1:27" ht="12.75" customHeight="1">
      <c r="A116" s="33" t="str">
        <f>ESPNData!R119</f>
        <v>Isaiah Pead*, StL RB  O</v>
      </c>
      <c r="B116" s="33" t="str">
        <f t="shared" si="12"/>
        <v>Isaiah Pead</v>
      </c>
      <c r="C116" s="64" t="str">
        <f t="shared" si="13"/>
        <v>STL</v>
      </c>
      <c r="D116" s="117" t="str">
        <f>IF(OR(($A116=Settings!$A$30),ISERROR(VLOOKUP($B116,FFTodayData!$P:$Y,5,0))),"",VLOOKUP($B116,FFTodayData!$P:$Y,5,0))</f>
        <v/>
      </c>
      <c r="E116" s="33" t="str">
        <f>IF(OR(($A116=Settings!$A$30),ISERROR(VLOOKUP($B116,FFTodayData!$P:$Y,6,0))),"",VLOOKUP($B116,FFTodayData!$P:$Y,6,0))</f>
        <v/>
      </c>
      <c r="F116" s="33" t="str">
        <f>IF(OR(($A116=Settings!$A$30),ISERROR(VLOOKUP($B116,FFTodayData!$P:$Y,7,0))),"",VLOOKUP($B116,FFTodayData!$P:$Y,7,0))</f>
        <v/>
      </c>
      <c r="G116" s="33" t="str">
        <f>IF(OR(($A116=Settings!$A$30),ISERROR(VLOOKUP($B116,FFTodayData!$P:$Y,8,0))),"",VLOOKUP($B116,FFTodayData!$P:$Y,8,0))</f>
        <v/>
      </c>
      <c r="H116" s="64" t="str">
        <f>IF(OR(($A116=Settings!$A$30),ISERROR(VLOOKUP($B116,FFTodayData!$P:$Y,9,0))),"",VLOOKUP($B116,FFTodayData!$P:$Y,9,0))</f>
        <v/>
      </c>
      <c r="I116" s="117">
        <f>IF(ISERROR(VLOOKUP($A116,ESPNData!$R:$AE,9,0)),"",VLOOKUP($A116,ESPNData!$R:$AE,9,0))</f>
        <v>0</v>
      </c>
      <c r="J116" s="33">
        <f>IF(ISERROR(VLOOKUP($A116,ESPNData!$R:$AE,10,0)),"",VLOOKUP($A116,ESPNData!$R:$AE,10,0))</f>
        <v>0</v>
      </c>
      <c r="K116" s="33">
        <f>IF(ISERROR(VLOOKUP($A116,ESPNData!$R:$AE,11,0)),"",VLOOKUP($A116,ESPNData!$R:$AE,11,0))</f>
        <v>0</v>
      </c>
      <c r="L116" s="33">
        <f>IF(ISERROR(VLOOKUP($A116,ESPNData!$R:$AE,12,0)),"",VLOOKUP($A116,ESPNData!$R:$AE,12,0))</f>
        <v>0</v>
      </c>
      <c r="M116" s="64">
        <f>IF(ISERROR(VLOOKUP($A116,ESPNData!$R:$AE,13,0)),"",VLOOKUP($A116,ESPNData!$R:$AE,13,0))</f>
        <v>0</v>
      </c>
      <c r="N116" s="115">
        <f>IF(OR(($A116=Settings!$A$30),ISERROR(VLOOKUP($B116,SportslineData!$Q:$AB,4,0))),"",VLOOKUP($B116,SportslineData!$Q:$AB,4,0))</f>
        <v>33.5</v>
      </c>
      <c r="O116" s="82">
        <f>IF(OR(($A116=Settings!$A$30),ISERROR(VLOOKUP($B116,SportslineData!$Q:$AB,6,0))),"",ROUND(VLOOKUP($B116,SportslineData!$Q:$AB,6,0),0))</f>
        <v>0</v>
      </c>
      <c r="P116" s="82">
        <f>IF(OR(($A116=Settings!$A$30),ISERROR(VLOOKUP($B116,SportslineData!$Q:$AB,7,0))),"",ROUND(VLOOKUP($B116,SportslineData!$Q:$AB,7,0),0))</f>
        <v>3</v>
      </c>
      <c r="Q116" s="82">
        <f>IF(OR(($A116=Settings!$A$30),ISERROR(VLOOKUP($B116,SportslineData!$Q:$AB,8,0))),"",VLOOKUP($B116,SportslineData!$Q:$AB,8,0))</f>
        <v>18</v>
      </c>
      <c r="R116" s="82">
        <f>IF(OR(($A116=Settings!$A$30),ISERROR(VLOOKUP($B116,SportslineData!$Q:$AB,10,0))),"",ROUND(VLOOKUP($B116,SportslineData!$Q:$AB,10,0),0))</f>
        <v>0</v>
      </c>
      <c r="S116" s="74">
        <f>IF(OR(($A116=Settings!$A$30),ISERROR(VLOOKUP($B116,SportslineData!$Q:$AB,11,0))),"",ROUND(VLOOKUP($B116,SportslineData!$Q:$AB,11,0),0))</f>
        <v>0</v>
      </c>
      <c r="T116" s="117"/>
      <c r="U116" s="131">
        <f t="shared" si="14"/>
        <v>4.0414518843273806</v>
      </c>
      <c r="V116" s="38">
        <f>IF(ISERROR(ROUND((((((ROUNDDOWN((D116/5),0)*Settings!$F$7)+(E116*Settings!$I$7))+(F116*Settings!$I$11))+(ROUNDDOWN((G116/5),0)*Settings!$F$11))+(H116*Settings!$F$12)),1)),0,ROUND((((((ROUNDDOWN((D116/5),0)*Settings!$F$7)+(E116*Settings!$I$7))+(F116*Settings!$I$11))+(ROUNDDOWN((G116/5),0)*Settings!$F$11))+(H116*Settings!$F$12)),1))</f>
        <v>0</v>
      </c>
      <c r="W116" s="38">
        <f>IF(ISERROR(ROUND((((((ROUNDDOWN((I116/5),0)*Settings!$F$7)+(J116*Settings!$I$7))+(K116*Settings!$I$11))+(ROUNDDOWN((L116/5),0)*Settings!$F$11))+(M116*Settings!$F$12)),1)),0,ROUND((((((ROUNDDOWN((I116/5),0)*Settings!$F$7)+(J116*Settings!$I$7))+(K116*Settings!$I$11))+(ROUNDDOWN((L116/5),0)*Settings!$F$11))+(M116*Settings!$F$12)),1))</f>
        <v>0</v>
      </c>
      <c r="X116" s="38">
        <f>IF(AND((N116=""),(P116="")),0,((((((ROUND((N116/5),0)*Settings!$F$7)+(O116*Settings!$I$7))+(P116*Settings!$I$11))+(ROUND((Q116/5),0)*Settings!$F$11))+(R116*Settings!$F$12))+(S116*Settings!$F$15)))</f>
        <v>7</v>
      </c>
      <c r="Y116" s="66">
        <f>ROUND((((V116*Settings!$B$21)+(W116*Settings!$B$22))+(X116*Settings!$B$23)),1)</f>
        <v>2.4</v>
      </c>
      <c r="Z116" s="66">
        <f>IF(ISERROR(VLOOKUP(RANK(Y116,$Y$4:$Y$182),Z$4:Z115,1,0)),RANK(Y116,$Y$4:$Y$182),IF(ISERROR(VLOOKUP((RANK(Y116,$Y$4:$Y$182)+1),Z$4:Z115,1,0)),(RANK(Y116,$Y$4:$Y$182)+1),IF(ISERROR(VLOOKUP((RANK(Y116,$Y$4:$Y$182)+2),Z$4:Z115,1,0)),(RANK(Y116,$Y$4:$Y$182)+2),(RANK(Y116,$Y$4:$Y$182)+3))))</f>
        <v>121</v>
      </c>
      <c r="AA116" t="str">
        <f t="shared" si="15"/>
        <v>Isaiah Pead</v>
      </c>
    </row>
    <row r="117" spans="1:27" ht="12.75" customHeight="1">
      <c r="A117" s="33" t="str">
        <f>ESPNData!R120</f>
        <v>Michael Cox, NYG RB</v>
      </c>
      <c r="B117" s="33" t="str">
        <f t="shared" si="12"/>
        <v>Michael Cox</v>
      </c>
      <c r="C117" s="64" t="str">
        <f t="shared" si="13"/>
        <v>NYG</v>
      </c>
      <c r="D117" s="117" t="str">
        <f>IF(OR(($A117=Settings!$A$30),ISERROR(VLOOKUP($B117,FFTodayData!$P:$Y,5,0))),"",VLOOKUP($B117,FFTodayData!$P:$Y,5,0))</f>
        <v/>
      </c>
      <c r="E117" s="33" t="str">
        <f>IF(OR(($A117=Settings!$A$30),ISERROR(VLOOKUP($B117,FFTodayData!$P:$Y,6,0))),"",VLOOKUP($B117,FFTodayData!$P:$Y,6,0))</f>
        <v/>
      </c>
      <c r="F117" s="33" t="str">
        <f>IF(OR(($A117=Settings!$A$30),ISERROR(VLOOKUP($B117,FFTodayData!$P:$Y,7,0))),"",VLOOKUP($B117,FFTodayData!$P:$Y,7,0))</f>
        <v/>
      </c>
      <c r="G117" s="33" t="str">
        <f>IF(OR(($A117=Settings!$A$30),ISERROR(VLOOKUP($B117,FFTodayData!$P:$Y,8,0))),"",VLOOKUP($B117,FFTodayData!$P:$Y,8,0))</f>
        <v/>
      </c>
      <c r="H117" s="64" t="str">
        <f>IF(OR(($A117=Settings!$A$30),ISERROR(VLOOKUP($B117,FFTodayData!$P:$Y,9,0))),"",VLOOKUP($B117,FFTodayData!$P:$Y,9,0))</f>
        <v/>
      </c>
      <c r="I117" s="117">
        <f>IF(ISERROR(VLOOKUP($A117,ESPNData!$R:$AE,9,0)),"",VLOOKUP($A117,ESPNData!$R:$AE,9,0))</f>
        <v>0</v>
      </c>
      <c r="J117" s="33">
        <f>IF(ISERROR(VLOOKUP($A117,ESPNData!$R:$AE,10,0)),"",VLOOKUP($A117,ESPNData!$R:$AE,10,0))</f>
        <v>0</v>
      </c>
      <c r="K117" s="33">
        <f>IF(ISERROR(VLOOKUP($A117,ESPNData!$R:$AE,11,0)),"",VLOOKUP($A117,ESPNData!$R:$AE,11,0))</f>
        <v>0</v>
      </c>
      <c r="L117" s="33">
        <f>IF(ISERROR(VLOOKUP($A117,ESPNData!$R:$AE,12,0)),"",VLOOKUP($A117,ESPNData!$R:$AE,12,0))</f>
        <v>0</v>
      </c>
      <c r="M117" s="64">
        <f>IF(ISERROR(VLOOKUP($A117,ESPNData!$R:$AE,13,0)),"",VLOOKUP($A117,ESPNData!$R:$AE,13,0))</f>
        <v>0</v>
      </c>
      <c r="N117" s="115">
        <f>IF(OR(($A117=Settings!$A$30),ISERROR(VLOOKUP($B117,SportslineData!$Q:$AB,4,0))),"",VLOOKUP($B117,SportslineData!$Q:$AB,4,0))</f>
        <v>33</v>
      </c>
      <c r="O117" s="82">
        <f>IF(OR(($A117=Settings!$A$30),ISERROR(VLOOKUP($B117,SportslineData!$Q:$AB,6,0))),"",ROUND(VLOOKUP($B117,SportslineData!$Q:$AB,6,0),0))</f>
        <v>0</v>
      </c>
      <c r="P117" s="82">
        <f>IF(OR(($A117=Settings!$A$30),ISERROR(VLOOKUP($B117,SportslineData!$Q:$AB,7,0))),"",ROUND(VLOOKUP($B117,SportslineData!$Q:$AB,7,0),0))</f>
        <v>3</v>
      </c>
      <c r="Q117" s="82">
        <f>IF(OR(($A117=Settings!$A$30),ISERROR(VLOOKUP($B117,SportslineData!$Q:$AB,8,0))),"",VLOOKUP($B117,SportslineData!$Q:$AB,8,0))</f>
        <v>19.5</v>
      </c>
      <c r="R117" s="82">
        <f>IF(OR(($A117=Settings!$A$30),ISERROR(VLOOKUP($B117,SportslineData!$Q:$AB,10,0))),"",ROUND(VLOOKUP($B117,SportslineData!$Q:$AB,10,0),0))</f>
        <v>0</v>
      </c>
      <c r="S117" s="74">
        <f>IF(OR(($A117=Settings!$A$30),ISERROR(VLOOKUP($B117,SportslineData!$Q:$AB,11,0))),"",ROUND(VLOOKUP($B117,SportslineData!$Q:$AB,11,0),0))</f>
        <v>0</v>
      </c>
      <c r="T117" s="117"/>
      <c r="U117" s="131">
        <f t="shared" si="14"/>
        <v>4.0414518843273806</v>
      </c>
      <c r="V117" s="38">
        <f>IF(ISERROR(ROUND((((((ROUNDDOWN((D117/5),0)*Settings!$F$7)+(E117*Settings!$I$7))+(F117*Settings!$I$11))+(ROUNDDOWN((G117/5),0)*Settings!$F$11))+(H117*Settings!$F$12)),1)),0,ROUND((((((ROUNDDOWN((D117/5),0)*Settings!$F$7)+(E117*Settings!$I$7))+(F117*Settings!$I$11))+(ROUNDDOWN((G117/5),0)*Settings!$F$11))+(H117*Settings!$F$12)),1))</f>
        <v>0</v>
      </c>
      <c r="W117" s="38">
        <f>IF(ISERROR(ROUND((((((ROUNDDOWN((I117/5),0)*Settings!$F$7)+(J117*Settings!$I$7))+(K117*Settings!$I$11))+(ROUNDDOWN((L117/5),0)*Settings!$F$11))+(M117*Settings!$F$12)),1)),0,ROUND((((((ROUNDDOWN((I117/5),0)*Settings!$F$7)+(J117*Settings!$I$7))+(K117*Settings!$I$11))+(ROUNDDOWN((L117/5),0)*Settings!$F$11))+(M117*Settings!$F$12)),1))</f>
        <v>0</v>
      </c>
      <c r="X117" s="38">
        <f>IF(AND((N117=""),(P117="")),0,((((((ROUND((N117/5),0)*Settings!$F$7)+(O117*Settings!$I$7))+(P117*Settings!$I$11))+(ROUND((Q117/5),0)*Settings!$F$11))+(R117*Settings!$F$12))+(S117*Settings!$F$15)))</f>
        <v>7</v>
      </c>
      <c r="Y117" s="66">
        <f>ROUND((((V117*Settings!$B$21)+(W117*Settings!$B$22))+(X117*Settings!$B$23)),1)</f>
        <v>2.4</v>
      </c>
      <c r="Z117" s="66">
        <f>IF(ISERROR(VLOOKUP(RANK(Y117,$Y$4:$Y$182),Z$4:Z116,1,0)),RANK(Y117,$Y$4:$Y$182),IF(ISERROR(VLOOKUP((RANK(Y117,$Y$4:$Y$182)+1),Z$4:Z116,1,0)),(RANK(Y117,$Y$4:$Y$182)+1),IF(ISERROR(VLOOKUP((RANK(Y117,$Y$4:$Y$182)+2),Z$4:Z116,1,0)),(RANK(Y117,$Y$4:$Y$182)+2),(RANK(Y117,$Y$4:$Y$182)+3))))</f>
        <v>122</v>
      </c>
      <c r="AA117" t="str">
        <f t="shared" si="15"/>
        <v>Michael Cox</v>
      </c>
    </row>
    <row r="118" spans="1:27" ht="12.75" customHeight="1">
      <c r="A118" s="33" t="str">
        <f>ESPNData!R121</f>
        <v>Chris Ogbonnaya, Cle RB</v>
      </c>
      <c r="B118" s="33" t="str">
        <f t="shared" si="12"/>
        <v>Chris Ogbonnaya</v>
      </c>
      <c r="C118" s="64" t="str">
        <f t="shared" si="13"/>
        <v>CLE</v>
      </c>
      <c r="D118" s="117" t="str">
        <f>IF(OR(($A118=Settings!$A$30),ISERROR(VLOOKUP($B118,FFTodayData!$P:$Y,5,0))),"",VLOOKUP($B118,FFTodayData!$P:$Y,5,0))</f>
        <v/>
      </c>
      <c r="E118" s="33" t="str">
        <f>IF(OR(($A118=Settings!$A$30),ISERROR(VLOOKUP($B118,FFTodayData!$P:$Y,6,0))),"",VLOOKUP($B118,FFTodayData!$P:$Y,6,0))</f>
        <v/>
      </c>
      <c r="F118" s="33" t="str">
        <f>IF(OR(($A118=Settings!$A$30),ISERROR(VLOOKUP($B118,FFTodayData!$P:$Y,7,0))),"",VLOOKUP($B118,FFTodayData!$P:$Y,7,0))</f>
        <v/>
      </c>
      <c r="G118" s="33" t="str">
        <f>IF(OR(($A118=Settings!$A$30),ISERROR(VLOOKUP($B118,FFTodayData!$P:$Y,8,0))),"",VLOOKUP($B118,FFTodayData!$P:$Y,8,0))</f>
        <v/>
      </c>
      <c r="H118" s="64" t="str">
        <f>IF(OR(($A118=Settings!$A$30),ISERROR(VLOOKUP($B118,FFTodayData!$P:$Y,9,0))),"",VLOOKUP($B118,FFTodayData!$P:$Y,9,0))</f>
        <v/>
      </c>
      <c r="I118" s="117">
        <f>IF(ISERROR(VLOOKUP($A118,ESPNData!$R:$AE,9,0)),"",VLOOKUP($A118,ESPNData!$R:$AE,9,0))</f>
        <v>0</v>
      </c>
      <c r="J118" s="33">
        <f>IF(ISERROR(VLOOKUP($A118,ESPNData!$R:$AE,10,0)),"",VLOOKUP($A118,ESPNData!$R:$AE,10,0))</f>
        <v>0</v>
      </c>
      <c r="K118" s="33">
        <f>IF(ISERROR(VLOOKUP($A118,ESPNData!$R:$AE,11,0)),"",VLOOKUP($A118,ESPNData!$R:$AE,11,0))</f>
        <v>0</v>
      </c>
      <c r="L118" s="33">
        <f>IF(ISERROR(VLOOKUP($A118,ESPNData!$R:$AE,12,0)),"",VLOOKUP($A118,ESPNData!$R:$AE,12,0))</f>
        <v>0</v>
      </c>
      <c r="M118" s="64">
        <f>IF(ISERROR(VLOOKUP($A118,ESPNData!$R:$AE,13,0)),"",VLOOKUP($A118,ESPNData!$R:$AE,13,0))</f>
        <v>0</v>
      </c>
      <c r="N118" s="115">
        <f>IF(OR(($A118=Settings!$A$30),ISERROR(VLOOKUP($B118,SportslineData!$Q:$AB,4,0))),"",VLOOKUP($B118,SportslineData!$Q:$AB,4,0))</f>
        <v>131.5</v>
      </c>
      <c r="O118" s="82">
        <f>IF(OR(($A118=Settings!$A$30),ISERROR(VLOOKUP($B118,SportslineData!$Q:$AB,6,0))),"",ROUND(VLOOKUP($B118,SportslineData!$Q:$AB,6,0),0))</f>
        <v>0</v>
      </c>
      <c r="P118" s="82">
        <f>IF(OR(($A118=Settings!$A$30),ISERROR(VLOOKUP($B118,SportslineData!$Q:$AB,7,0))),"",ROUND(VLOOKUP($B118,SportslineData!$Q:$AB,7,0),0))</f>
        <v>23</v>
      </c>
      <c r="Q118" s="82">
        <f>IF(OR(($A118=Settings!$A$30),ISERROR(VLOOKUP($B118,SportslineData!$Q:$AB,8,0))),"",VLOOKUP($B118,SportslineData!$Q:$AB,8,0))</f>
        <v>162.5</v>
      </c>
      <c r="R118" s="82">
        <f>IF(OR(($A118=Settings!$A$30),ISERROR(VLOOKUP($B118,SportslineData!$Q:$AB,10,0))),"",ROUND(VLOOKUP($B118,SportslineData!$Q:$AB,10,0),0))</f>
        <v>1</v>
      </c>
      <c r="S118" s="74">
        <f>IF(OR(($A118=Settings!$A$30),ISERROR(VLOOKUP($B118,SportslineData!$Q:$AB,11,0))),"",ROUND(VLOOKUP($B118,SportslineData!$Q:$AB,11,0),0))</f>
        <v>1</v>
      </c>
      <c r="T118" s="117"/>
      <c r="U118" s="131">
        <f t="shared" si="14"/>
        <v>26.558112382722783</v>
      </c>
      <c r="V118" s="38">
        <f>IF(ISERROR(ROUND((((((ROUNDDOWN((D118/5),0)*Settings!$F$7)+(E118*Settings!$I$7))+(F118*Settings!$I$11))+(ROUNDDOWN((G118/5),0)*Settings!$F$11))+(H118*Settings!$F$12)),1)),0,ROUND((((((ROUNDDOWN((D118/5),0)*Settings!$F$7)+(E118*Settings!$I$7))+(F118*Settings!$I$11))+(ROUNDDOWN((G118/5),0)*Settings!$F$11))+(H118*Settings!$F$12)),1))</f>
        <v>0</v>
      </c>
      <c r="W118" s="38">
        <f>IF(ISERROR(ROUND((((((ROUNDDOWN((I118/5),0)*Settings!$F$7)+(J118*Settings!$I$7))+(K118*Settings!$I$11))+(ROUNDDOWN((L118/5),0)*Settings!$F$11))+(M118*Settings!$F$12)),1)),0,ROUND((((((ROUNDDOWN((I118/5),0)*Settings!$F$7)+(J118*Settings!$I$7))+(K118*Settings!$I$11))+(ROUNDDOWN((L118/5),0)*Settings!$F$11))+(M118*Settings!$F$12)),1))</f>
        <v>0</v>
      </c>
      <c r="X118" s="38">
        <f>IF(AND((N118=""),(P118="")),0,((((((ROUND((N118/5),0)*Settings!$F$7)+(O118*Settings!$I$7))+(P118*Settings!$I$11))+(ROUND((Q118/5),0)*Settings!$F$11))+(R118*Settings!$F$12))+(S118*Settings!$F$15)))</f>
        <v>46</v>
      </c>
      <c r="Y118" s="66">
        <f>ROUND((((V118*Settings!$B$21)+(W118*Settings!$B$22))+(X118*Settings!$B$23)),1)</f>
        <v>15.6</v>
      </c>
      <c r="Z118" s="66">
        <f>IF(ISERROR(VLOOKUP(RANK(Y118,$Y$4:$Y$182),Z$4:Z117,1,0)),RANK(Y118,$Y$4:$Y$182),IF(ISERROR(VLOOKUP((RANK(Y118,$Y$4:$Y$182)+1),Z$4:Z117,1,0)),(RANK(Y118,$Y$4:$Y$182)+1),IF(ISERROR(VLOOKUP((RANK(Y118,$Y$4:$Y$182)+2),Z$4:Z117,1,0)),(RANK(Y118,$Y$4:$Y$182)+2),(RANK(Y118,$Y$4:$Y$182)+3))))</f>
        <v>104</v>
      </c>
      <c r="AA118" t="str">
        <f t="shared" si="15"/>
        <v>Chris Ogbonnaya</v>
      </c>
    </row>
    <row r="119" spans="1:27" ht="12.75" customHeight="1">
      <c r="A119" s="33" t="str">
        <f>ESPNData!R122</f>
        <v>Antone Smith, Atl RB</v>
      </c>
      <c r="B119" s="33" t="str">
        <f t="shared" si="12"/>
        <v>Antone Smith</v>
      </c>
      <c r="C119" s="64" t="str">
        <f t="shared" si="13"/>
        <v>ATL</v>
      </c>
      <c r="D119" s="117" t="str">
        <f>IF(OR(($A119=Settings!$A$30),ISERROR(VLOOKUP($B119,FFTodayData!$P:$Y,5,0))),"",VLOOKUP($B119,FFTodayData!$P:$Y,5,0))</f>
        <v/>
      </c>
      <c r="E119" s="33" t="str">
        <f>IF(OR(($A119=Settings!$A$30),ISERROR(VLOOKUP($B119,FFTodayData!$P:$Y,6,0))),"",VLOOKUP($B119,FFTodayData!$P:$Y,6,0))</f>
        <v/>
      </c>
      <c r="F119" s="33" t="str">
        <f>IF(OR(($A119=Settings!$A$30),ISERROR(VLOOKUP($B119,FFTodayData!$P:$Y,7,0))),"",VLOOKUP($B119,FFTodayData!$P:$Y,7,0))</f>
        <v/>
      </c>
      <c r="G119" s="33" t="str">
        <f>IF(OR(($A119=Settings!$A$30),ISERROR(VLOOKUP($B119,FFTodayData!$P:$Y,8,0))),"",VLOOKUP($B119,FFTodayData!$P:$Y,8,0))</f>
        <v/>
      </c>
      <c r="H119" s="64" t="str">
        <f>IF(OR(($A119=Settings!$A$30),ISERROR(VLOOKUP($B119,FFTodayData!$P:$Y,9,0))),"",VLOOKUP($B119,FFTodayData!$P:$Y,9,0))</f>
        <v/>
      </c>
      <c r="I119" s="117">
        <f>IF(ISERROR(VLOOKUP($A119,ESPNData!$R:$AE,9,0)),"",VLOOKUP($A119,ESPNData!$R:$AE,9,0))</f>
        <v>0</v>
      </c>
      <c r="J119" s="33">
        <f>IF(ISERROR(VLOOKUP($A119,ESPNData!$R:$AE,10,0)),"",VLOOKUP($A119,ESPNData!$R:$AE,10,0))</f>
        <v>0</v>
      </c>
      <c r="K119" s="33">
        <f>IF(ISERROR(VLOOKUP($A119,ESPNData!$R:$AE,11,0)),"",VLOOKUP($A119,ESPNData!$R:$AE,11,0))</f>
        <v>0</v>
      </c>
      <c r="L119" s="33">
        <f>IF(ISERROR(VLOOKUP($A119,ESPNData!$R:$AE,12,0)),"",VLOOKUP($A119,ESPNData!$R:$AE,12,0))</f>
        <v>0</v>
      </c>
      <c r="M119" s="64">
        <f>IF(ISERROR(VLOOKUP($A119,ESPNData!$R:$AE,13,0)),"",VLOOKUP($A119,ESPNData!$R:$AE,13,0))</f>
        <v>0</v>
      </c>
      <c r="N119" s="115">
        <f>IF(OR(($A119=Settings!$A$30),ISERROR(VLOOKUP($B119,SportslineData!$Q:$AB,4,0))),"",VLOOKUP($B119,SportslineData!$Q:$AB,4,0))</f>
        <v>57.5</v>
      </c>
      <c r="O119" s="82">
        <f>IF(OR(($A119=Settings!$A$30),ISERROR(VLOOKUP($B119,SportslineData!$Q:$AB,6,0))),"",ROUND(VLOOKUP($B119,SportslineData!$Q:$AB,6,0),0))</f>
        <v>1</v>
      </c>
      <c r="P119" s="82">
        <f>IF(OR(($A119=Settings!$A$30),ISERROR(VLOOKUP($B119,SportslineData!$Q:$AB,7,0))),"",ROUND(VLOOKUP($B119,SportslineData!$Q:$AB,7,0),0))</f>
        <v>1</v>
      </c>
      <c r="Q119" s="82">
        <f>IF(OR(($A119=Settings!$A$30),ISERROR(VLOOKUP($B119,SportslineData!$Q:$AB,8,0))),"",VLOOKUP($B119,SportslineData!$Q:$AB,8,0))</f>
        <v>8.5</v>
      </c>
      <c r="R119" s="82">
        <f>IF(OR(($A119=Settings!$A$30),ISERROR(VLOOKUP($B119,SportslineData!$Q:$AB,10,0))),"",ROUND(VLOOKUP($B119,SportslineData!$Q:$AB,10,0),0))</f>
        <v>0</v>
      </c>
      <c r="S119" s="74">
        <f>IF(OR(($A119=Settings!$A$30),ISERROR(VLOOKUP($B119,SportslineData!$Q:$AB,11,0))),"",ROUND(VLOOKUP($B119,SportslineData!$Q:$AB,11,0),0))</f>
        <v>0</v>
      </c>
      <c r="T119" s="117"/>
      <c r="U119" s="131">
        <f t="shared" si="14"/>
        <v>7.794228634059948</v>
      </c>
      <c r="V119" s="38">
        <f>IF(ISERROR(ROUND((((((ROUNDDOWN((D119/5),0)*Settings!$F$7)+(E119*Settings!$I$7))+(F119*Settings!$I$11))+(ROUNDDOWN((G119/5),0)*Settings!$F$11))+(H119*Settings!$F$12)),1)),0,ROUND((((((ROUNDDOWN((D119/5),0)*Settings!$F$7)+(E119*Settings!$I$7))+(F119*Settings!$I$11))+(ROUNDDOWN((G119/5),0)*Settings!$F$11))+(H119*Settings!$F$12)),1))</f>
        <v>0</v>
      </c>
      <c r="W119" s="38">
        <f>IF(ISERROR(ROUND((((((ROUNDDOWN((I119/5),0)*Settings!$F$7)+(J119*Settings!$I$7))+(K119*Settings!$I$11))+(ROUNDDOWN((L119/5),0)*Settings!$F$11))+(M119*Settings!$F$12)),1)),0,ROUND((((((ROUNDDOWN((I119/5),0)*Settings!$F$7)+(J119*Settings!$I$7))+(K119*Settings!$I$11))+(ROUNDDOWN((L119/5),0)*Settings!$F$11))+(M119*Settings!$F$12)),1))</f>
        <v>0</v>
      </c>
      <c r="X119" s="38">
        <f>IF(AND((N119=""),(P119="")),0,((((((ROUND((N119/5),0)*Settings!$F$7)+(O119*Settings!$I$7))+(P119*Settings!$I$11))+(ROUND((Q119/5),0)*Settings!$F$11))+(R119*Settings!$F$12))+(S119*Settings!$F$15)))</f>
        <v>13.5</v>
      </c>
      <c r="Y119" s="66">
        <f>ROUND((((V119*Settings!$B$21)+(W119*Settings!$B$22))+(X119*Settings!$B$23)),1)</f>
        <v>4.5999999999999996</v>
      </c>
      <c r="Z119" s="66">
        <f>IF(ISERROR(VLOOKUP(RANK(Y119,$Y$4:$Y$182),Z$4:Z118,1,0)),RANK(Y119,$Y$4:$Y$182),IF(ISERROR(VLOOKUP((RANK(Y119,$Y$4:$Y$182)+1),Z$4:Z118,1,0)),(RANK(Y119,$Y$4:$Y$182)+1),IF(ISERROR(VLOOKUP((RANK(Y119,$Y$4:$Y$182)+2),Z$4:Z118,1,0)),(RANK(Y119,$Y$4:$Y$182)+2),(RANK(Y119,$Y$4:$Y$182)+3))))</f>
        <v>118</v>
      </c>
      <c r="AA119" t="str">
        <f t="shared" si="15"/>
        <v>Antone Smith</v>
      </c>
    </row>
    <row r="120" spans="1:27" ht="12.75" customHeight="1">
      <c r="A120" s="33" t="str">
        <f>ESPNData!R123</f>
        <v>Charles Sims*, TB RB  O</v>
      </c>
      <c r="B120" s="33" t="str">
        <f t="shared" si="12"/>
        <v>Charles Sims</v>
      </c>
      <c r="C120" s="64" t="str">
        <f t="shared" si="13"/>
        <v>TB</v>
      </c>
      <c r="D120" s="117" t="str">
        <f>IF(OR(($A120=Settings!$A$30),ISERROR(VLOOKUP($B120,FFTodayData!$P:$Y,5,0))),"",VLOOKUP($B120,FFTodayData!$P:$Y,5,0))</f>
        <v/>
      </c>
      <c r="E120" s="33" t="str">
        <f>IF(OR(($A120=Settings!$A$30),ISERROR(VLOOKUP($B120,FFTodayData!$P:$Y,6,0))),"",VLOOKUP($B120,FFTodayData!$P:$Y,6,0))</f>
        <v/>
      </c>
      <c r="F120" s="33" t="str">
        <f>IF(OR(($A120=Settings!$A$30),ISERROR(VLOOKUP($B120,FFTodayData!$P:$Y,7,0))),"",VLOOKUP($B120,FFTodayData!$P:$Y,7,0))</f>
        <v/>
      </c>
      <c r="G120" s="33" t="str">
        <f>IF(OR(($A120=Settings!$A$30),ISERROR(VLOOKUP($B120,FFTodayData!$P:$Y,8,0))),"",VLOOKUP($B120,FFTodayData!$P:$Y,8,0))</f>
        <v/>
      </c>
      <c r="H120" s="64" t="str">
        <f>IF(OR(($A120=Settings!$A$30),ISERROR(VLOOKUP($B120,FFTodayData!$P:$Y,9,0))),"",VLOOKUP($B120,FFTodayData!$P:$Y,9,0))</f>
        <v/>
      </c>
      <c r="I120" s="117">
        <f>IF(ISERROR(VLOOKUP($A120,ESPNData!$R:$AE,9,0)),"",VLOOKUP($A120,ESPNData!$R:$AE,9,0))</f>
        <v>25</v>
      </c>
      <c r="J120" s="33">
        <f>IF(ISERROR(VLOOKUP($A120,ESPNData!$R:$AE,10,0)),"",VLOOKUP($A120,ESPNData!$R:$AE,10,0))</f>
        <v>0</v>
      </c>
      <c r="K120" s="33">
        <f>IF(ISERROR(VLOOKUP($A120,ESPNData!$R:$AE,11,0)),"",VLOOKUP($A120,ESPNData!$R:$AE,11,0))</f>
        <v>6</v>
      </c>
      <c r="L120" s="33">
        <f>IF(ISERROR(VLOOKUP($A120,ESPNData!$R:$AE,12,0)),"",VLOOKUP($A120,ESPNData!$R:$AE,12,0))</f>
        <v>44</v>
      </c>
      <c r="M120" s="64">
        <f>IF(ISERROR(VLOOKUP($A120,ESPNData!$R:$AE,13,0)),"",VLOOKUP($A120,ESPNData!$R:$AE,13,0))</f>
        <v>1</v>
      </c>
      <c r="N120" s="115">
        <f>IF(OR(($A120=Settings!$A$30),ISERROR(VLOOKUP($B120,SportslineData!$Q:$AB,4,0))),"",VLOOKUP($B120,SportslineData!$Q:$AB,4,0))</f>
        <v>141</v>
      </c>
      <c r="O120" s="82">
        <f>IF(OR(($A120=Settings!$A$30),ISERROR(VLOOKUP($B120,SportslineData!$Q:$AB,6,0))),"",ROUND(VLOOKUP($B120,SportslineData!$Q:$AB,6,0),0))</f>
        <v>1</v>
      </c>
      <c r="P120" s="82">
        <f>IF(OR(($A120=Settings!$A$30),ISERROR(VLOOKUP($B120,SportslineData!$Q:$AB,7,0))),"",ROUND(VLOOKUP($B120,SportslineData!$Q:$AB,7,0),0))</f>
        <v>14</v>
      </c>
      <c r="Q120" s="82">
        <f>IF(OR(($A120=Settings!$A$30),ISERROR(VLOOKUP($B120,SportslineData!$Q:$AB,8,0))),"",VLOOKUP($B120,SportslineData!$Q:$AB,8,0))</f>
        <v>119.5</v>
      </c>
      <c r="R120" s="82">
        <f>IF(OR(($A120=Settings!$A$30),ISERROR(VLOOKUP($B120,SportslineData!$Q:$AB,10,0))),"",ROUND(VLOOKUP($B120,SportslineData!$Q:$AB,10,0),0))</f>
        <v>1</v>
      </c>
      <c r="S120" s="74">
        <f>IF(OR(($A120=Settings!$A$30),ISERROR(VLOOKUP($B120,SportslineData!$Q:$AB,11,0))),"",ROUND(VLOOKUP($B120,SportslineData!$Q:$AB,11,0),0))</f>
        <v>1</v>
      </c>
      <c r="T120" s="117"/>
      <c r="U120" s="131">
        <f t="shared" si="14"/>
        <v>22.317780654297447</v>
      </c>
      <c r="V120" s="38">
        <f>IF(ISERROR(ROUND((((((ROUNDDOWN((D120/5),0)*Settings!$F$7)+(E120*Settings!$I$7))+(F120*Settings!$I$11))+(ROUNDDOWN((G120/5),0)*Settings!$F$11))+(H120*Settings!$F$12)),1)),0,ROUND((((((ROUNDDOWN((D120/5),0)*Settings!$F$7)+(E120*Settings!$I$7))+(F120*Settings!$I$11))+(ROUNDDOWN((G120/5),0)*Settings!$F$11))+(H120*Settings!$F$12)),1))</f>
        <v>0</v>
      </c>
      <c r="W120" s="38">
        <f>IF(ISERROR(ROUND((((((ROUNDDOWN((I120/5),0)*Settings!$F$7)+(J120*Settings!$I$7))+(K120*Settings!$I$11))+(ROUNDDOWN((L120/5),0)*Settings!$F$11))+(M120*Settings!$F$12)),1)),0,ROUND((((((ROUNDDOWN((I120/5),0)*Settings!$F$7)+(J120*Settings!$I$7))+(K120*Settings!$I$11))+(ROUNDDOWN((L120/5),0)*Settings!$F$11))+(M120*Settings!$F$12)),1))</f>
        <v>15.5</v>
      </c>
      <c r="X120" s="38">
        <f>IF(AND((N120=""),(P120="")),0,((((((ROUND((N120/5),0)*Settings!$F$7)+(O120*Settings!$I$7))+(P120*Settings!$I$11))+(ROUND((Q120/5),0)*Settings!$F$11))+(R120*Settings!$F$12))+(S120*Settings!$F$15)))</f>
        <v>44</v>
      </c>
      <c r="Y120" s="66">
        <f>ROUND((((V120*Settings!$B$21)+(W120*Settings!$B$22))+(X120*Settings!$B$23)),1)</f>
        <v>20.100000000000001</v>
      </c>
      <c r="Z120" s="66">
        <f>IF(ISERROR(VLOOKUP(RANK(Y120,$Y$4:$Y$182),Z$4:Z119,1,0)),RANK(Y120,$Y$4:$Y$182),IF(ISERROR(VLOOKUP((RANK(Y120,$Y$4:$Y$182)+1),Z$4:Z119,1,0)),(RANK(Y120,$Y$4:$Y$182)+1),IF(ISERROR(VLOOKUP((RANK(Y120,$Y$4:$Y$182)+2),Z$4:Z119,1,0)),(RANK(Y120,$Y$4:$Y$182)+2),(RANK(Y120,$Y$4:$Y$182)+3))))</f>
        <v>102</v>
      </c>
      <c r="AA120" t="str">
        <f t="shared" si="15"/>
        <v>Charles Sims</v>
      </c>
    </row>
    <row r="121" spans="1:27" ht="12.75" customHeight="1">
      <c r="A121" s="33" t="str">
        <f>ESPNData!R124</f>
        <v>Marion Grice, SD RB</v>
      </c>
      <c r="B121" s="33" t="str">
        <f t="shared" si="12"/>
        <v>Marion Grice</v>
      </c>
      <c r="C121" s="64" t="str">
        <f t="shared" si="13"/>
        <v>SD</v>
      </c>
      <c r="D121" s="117" t="str">
        <f>IF(OR(($A121=Settings!$A$30),ISERROR(VLOOKUP($B121,FFTodayData!$P:$Y,5,0))),"",VLOOKUP($B121,FFTodayData!$P:$Y,5,0))</f>
        <v/>
      </c>
      <c r="E121" s="33" t="str">
        <f>IF(OR(($A121=Settings!$A$30),ISERROR(VLOOKUP($B121,FFTodayData!$P:$Y,6,0))),"",VLOOKUP($B121,FFTodayData!$P:$Y,6,0))</f>
        <v/>
      </c>
      <c r="F121" s="33" t="str">
        <f>IF(OR(($A121=Settings!$A$30),ISERROR(VLOOKUP($B121,FFTodayData!$P:$Y,7,0))),"",VLOOKUP($B121,FFTodayData!$P:$Y,7,0))</f>
        <v/>
      </c>
      <c r="G121" s="33" t="str">
        <f>IF(OR(($A121=Settings!$A$30),ISERROR(VLOOKUP($B121,FFTodayData!$P:$Y,8,0))),"",VLOOKUP($B121,FFTodayData!$P:$Y,8,0))</f>
        <v/>
      </c>
      <c r="H121" s="64" t="str">
        <f>IF(OR(($A121=Settings!$A$30),ISERROR(VLOOKUP($B121,FFTodayData!$P:$Y,9,0))),"",VLOOKUP($B121,FFTodayData!$P:$Y,9,0))</f>
        <v/>
      </c>
      <c r="I121" s="117">
        <f>IF(ISERROR(VLOOKUP($A121,ESPNData!$R:$AE,9,0)),"",VLOOKUP($A121,ESPNData!$R:$AE,9,0))</f>
        <v>0</v>
      </c>
      <c r="J121" s="33">
        <f>IF(ISERROR(VLOOKUP($A121,ESPNData!$R:$AE,10,0)),"",VLOOKUP($A121,ESPNData!$R:$AE,10,0))</f>
        <v>0</v>
      </c>
      <c r="K121" s="33">
        <f>IF(ISERROR(VLOOKUP($A121,ESPNData!$R:$AE,11,0)),"",VLOOKUP($A121,ESPNData!$R:$AE,11,0))</f>
        <v>0</v>
      </c>
      <c r="L121" s="33">
        <f>IF(ISERROR(VLOOKUP($A121,ESPNData!$R:$AE,12,0)),"",VLOOKUP($A121,ESPNData!$R:$AE,12,0))</f>
        <v>0</v>
      </c>
      <c r="M121" s="64">
        <f>IF(ISERROR(VLOOKUP($A121,ESPNData!$R:$AE,13,0)),"",VLOOKUP($A121,ESPNData!$R:$AE,13,0))</f>
        <v>0</v>
      </c>
      <c r="N121" s="115">
        <f>IF(OR(($A121=Settings!$A$30),ISERROR(VLOOKUP($B121,SportslineData!$Q:$AB,4,0))),"",VLOOKUP($B121,SportslineData!$Q:$AB,4,0))</f>
        <v>51</v>
      </c>
      <c r="O121" s="82">
        <f>IF(OR(($A121=Settings!$A$30),ISERROR(VLOOKUP($B121,SportslineData!$Q:$AB,6,0))),"",ROUND(VLOOKUP($B121,SportslineData!$Q:$AB,6,0),0))</f>
        <v>1</v>
      </c>
      <c r="P121" s="82">
        <f>IF(OR(($A121=Settings!$A$30),ISERROR(VLOOKUP($B121,SportslineData!$Q:$AB,7,0))),"",ROUND(VLOOKUP($B121,SportslineData!$Q:$AB,7,0),0))</f>
        <v>3</v>
      </c>
      <c r="Q121" s="82">
        <f>IF(OR(($A121=Settings!$A$30),ISERROR(VLOOKUP($B121,SportslineData!$Q:$AB,8,0))),"",VLOOKUP($B121,SportslineData!$Q:$AB,8,0))</f>
        <v>22</v>
      </c>
      <c r="R121" s="82">
        <f>IF(OR(($A121=Settings!$A$30),ISERROR(VLOOKUP($B121,SportslineData!$Q:$AB,10,0))),"",ROUND(VLOOKUP($B121,SportslineData!$Q:$AB,10,0),0))</f>
        <v>0</v>
      </c>
      <c r="S121" s="74">
        <f>IF(OR(($A121=Settings!$A$30),ISERROR(VLOOKUP($B121,SportslineData!$Q:$AB,11,0))),"",ROUND(VLOOKUP($B121,SportslineData!$Q:$AB,11,0),0))</f>
        <v>0</v>
      </c>
      <c r="T121" s="117"/>
      <c r="U121" s="131">
        <f t="shared" si="14"/>
        <v>8.3715789032495742</v>
      </c>
      <c r="V121" s="38">
        <f>IF(ISERROR(ROUND((((((ROUNDDOWN((D121/5),0)*Settings!$F$7)+(E121*Settings!$I$7))+(F121*Settings!$I$11))+(ROUNDDOWN((G121/5),0)*Settings!$F$11))+(H121*Settings!$F$12)),1)),0,ROUND((((((ROUNDDOWN((D121/5),0)*Settings!$F$7)+(E121*Settings!$I$7))+(F121*Settings!$I$11))+(ROUNDDOWN((G121/5),0)*Settings!$F$11))+(H121*Settings!$F$12)),1))</f>
        <v>0</v>
      </c>
      <c r="W121" s="38">
        <f>IF(ISERROR(ROUND((((((ROUNDDOWN((I121/5),0)*Settings!$F$7)+(J121*Settings!$I$7))+(K121*Settings!$I$11))+(ROUNDDOWN((L121/5),0)*Settings!$F$11))+(M121*Settings!$F$12)),1)),0,ROUND((((((ROUNDDOWN((I121/5),0)*Settings!$F$7)+(J121*Settings!$I$7))+(K121*Settings!$I$11))+(ROUNDDOWN((L121/5),0)*Settings!$F$11))+(M121*Settings!$F$12)),1))</f>
        <v>0</v>
      </c>
      <c r="X121" s="38">
        <f>IF(AND((N121=""),(P121="")),0,((((((ROUND((N121/5),0)*Settings!$F$7)+(O121*Settings!$I$7))+(P121*Settings!$I$11))+(ROUND((Q121/5),0)*Settings!$F$11))+(R121*Settings!$F$12))+(S121*Settings!$F$15)))</f>
        <v>14.5</v>
      </c>
      <c r="Y121" s="66">
        <f>ROUND((((V121*Settings!$B$21)+(W121*Settings!$B$22))+(X121*Settings!$B$23)),1)</f>
        <v>4.9000000000000004</v>
      </c>
      <c r="Z121" s="66">
        <f>IF(ISERROR(VLOOKUP(RANK(Y121,$Y$4:$Y$182),Z$4:Z120,1,0)),RANK(Y121,$Y$4:$Y$182),IF(ISERROR(VLOOKUP((RANK(Y121,$Y$4:$Y$182)+1),Z$4:Z120,1,0)),(RANK(Y121,$Y$4:$Y$182)+1),IF(ISERROR(VLOOKUP((RANK(Y121,$Y$4:$Y$182)+2),Z$4:Z120,1,0)),(RANK(Y121,$Y$4:$Y$182)+2),(RANK(Y121,$Y$4:$Y$182)+3))))</f>
        <v>116</v>
      </c>
      <c r="AA121" t="str">
        <f t="shared" si="15"/>
        <v>Marion Grice</v>
      </c>
    </row>
    <row r="122" spans="1:27" ht="12.75" customHeight="1">
      <c r="A122" s="33" t="str">
        <f>ESPNData!R125</f>
        <v>Dennis Johnson, Hou RB</v>
      </c>
      <c r="B122" s="33" t="str">
        <f t="shared" si="12"/>
        <v>Dennis Johnson</v>
      </c>
      <c r="C122" s="64" t="str">
        <f t="shared" si="13"/>
        <v>HOU</v>
      </c>
      <c r="D122" s="117" t="str">
        <f>IF(OR(($A122=Settings!$A$30),ISERROR(VLOOKUP($B122,FFTodayData!$P:$Y,5,0))),"",VLOOKUP($B122,FFTodayData!$P:$Y,5,0))</f>
        <v/>
      </c>
      <c r="E122" s="33" t="str">
        <f>IF(OR(($A122=Settings!$A$30),ISERROR(VLOOKUP($B122,FFTodayData!$P:$Y,6,0))),"",VLOOKUP($B122,FFTodayData!$P:$Y,6,0))</f>
        <v/>
      </c>
      <c r="F122" s="33" t="str">
        <f>IF(OR(($A122=Settings!$A$30),ISERROR(VLOOKUP($B122,FFTodayData!$P:$Y,7,0))),"",VLOOKUP($B122,FFTodayData!$P:$Y,7,0))</f>
        <v/>
      </c>
      <c r="G122" s="33" t="str">
        <f>IF(OR(($A122=Settings!$A$30),ISERROR(VLOOKUP($B122,FFTodayData!$P:$Y,8,0))),"",VLOOKUP($B122,FFTodayData!$P:$Y,8,0))</f>
        <v/>
      </c>
      <c r="H122" s="64" t="str">
        <f>IF(OR(($A122=Settings!$A$30),ISERROR(VLOOKUP($B122,FFTodayData!$P:$Y,9,0))),"",VLOOKUP($B122,FFTodayData!$P:$Y,9,0))</f>
        <v/>
      </c>
      <c r="I122" s="117">
        <f>IF(ISERROR(VLOOKUP($A122,ESPNData!$R:$AE,9,0)),"",VLOOKUP($A122,ESPNData!$R:$AE,9,0))</f>
        <v>0</v>
      </c>
      <c r="J122" s="33">
        <f>IF(ISERROR(VLOOKUP($A122,ESPNData!$R:$AE,10,0)),"",VLOOKUP($A122,ESPNData!$R:$AE,10,0))</f>
        <v>0</v>
      </c>
      <c r="K122" s="33">
        <f>IF(ISERROR(VLOOKUP($A122,ESPNData!$R:$AE,11,0)),"",VLOOKUP($A122,ESPNData!$R:$AE,11,0))</f>
        <v>0</v>
      </c>
      <c r="L122" s="33">
        <f>IF(ISERROR(VLOOKUP($A122,ESPNData!$R:$AE,12,0)),"",VLOOKUP($A122,ESPNData!$R:$AE,12,0))</f>
        <v>0</v>
      </c>
      <c r="M122" s="64">
        <f>IF(ISERROR(VLOOKUP($A122,ESPNData!$R:$AE,13,0)),"",VLOOKUP($A122,ESPNData!$R:$AE,13,0))</f>
        <v>0</v>
      </c>
      <c r="N122" s="115">
        <f>IF(OR(($A122=Settings!$A$30),ISERROR(VLOOKUP($B122,SportslineData!$Q:$AB,4,0))),"",VLOOKUP($B122,SportslineData!$Q:$AB,4,0))</f>
        <v>72.5</v>
      </c>
      <c r="O122" s="82">
        <f>IF(OR(($A122=Settings!$A$30),ISERROR(VLOOKUP($B122,SportslineData!$Q:$AB,6,0))),"",ROUND(VLOOKUP($B122,SportslineData!$Q:$AB,6,0),0))</f>
        <v>0</v>
      </c>
      <c r="P122" s="82">
        <f>IF(OR(($A122=Settings!$A$30),ISERROR(VLOOKUP($B122,SportslineData!$Q:$AB,7,0))),"",ROUND(VLOOKUP($B122,SportslineData!$Q:$AB,7,0),0))</f>
        <v>6</v>
      </c>
      <c r="Q122" s="82">
        <f>IF(OR(($A122=Settings!$A$30),ISERROR(VLOOKUP($B122,SportslineData!$Q:$AB,8,0))),"",VLOOKUP($B122,SportslineData!$Q:$AB,8,0))</f>
        <v>38.5</v>
      </c>
      <c r="R122" s="82">
        <f>IF(OR(($A122=Settings!$A$30),ISERROR(VLOOKUP($B122,SportslineData!$Q:$AB,10,0))),"",ROUND(VLOOKUP($B122,SportslineData!$Q:$AB,10,0),0))</f>
        <v>0</v>
      </c>
      <c r="S122" s="74">
        <f>IF(OR(($A122=Settings!$A$30),ISERROR(VLOOKUP($B122,SportslineData!$Q:$AB,11,0))),"",ROUND(VLOOKUP($B122,SportslineData!$Q:$AB,11,0),0))</f>
        <v>0</v>
      </c>
      <c r="T122" s="117"/>
      <c r="U122" s="131">
        <f t="shared" si="14"/>
        <v>8.3715789032495742</v>
      </c>
      <c r="V122" s="38">
        <f>IF(ISERROR(ROUND((((((ROUNDDOWN((D122/5),0)*Settings!$F$7)+(E122*Settings!$I$7))+(F122*Settings!$I$11))+(ROUNDDOWN((G122/5),0)*Settings!$F$11))+(H122*Settings!$F$12)),1)),0,ROUND((((((ROUNDDOWN((D122/5),0)*Settings!$F$7)+(E122*Settings!$I$7))+(F122*Settings!$I$11))+(ROUNDDOWN((G122/5),0)*Settings!$F$11))+(H122*Settings!$F$12)),1))</f>
        <v>0</v>
      </c>
      <c r="W122" s="38">
        <f>IF(ISERROR(ROUND((((((ROUNDDOWN((I122/5),0)*Settings!$F$7)+(J122*Settings!$I$7))+(K122*Settings!$I$11))+(ROUNDDOWN((L122/5),0)*Settings!$F$11))+(M122*Settings!$F$12)),1)),0,ROUND((((((ROUNDDOWN((I122/5),0)*Settings!$F$7)+(J122*Settings!$I$7))+(K122*Settings!$I$11))+(ROUNDDOWN((L122/5),0)*Settings!$F$11))+(M122*Settings!$F$12)),1))</f>
        <v>0</v>
      </c>
      <c r="X122" s="38">
        <f>IF(AND((N122=""),(P122="")),0,((((((ROUND((N122/5),0)*Settings!$F$7)+(O122*Settings!$I$7))+(P122*Settings!$I$11))+(ROUND((Q122/5),0)*Settings!$F$11))+(R122*Settings!$F$12))+(S122*Settings!$F$15)))</f>
        <v>14.5</v>
      </c>
      <c r="Y122" s="66">
        <f>ROUND((((V122*Settings!$B$21)+(W122*Settings!$B$22))+(X122*Settings!$B$23)),1)</f>
        <v>4.9000000000000004</v>
      </c>
      <c r="Z122" s="66">
        <f>IF(ISERROR(VLOOKUP(RANK(Y122,$Y$4:$Y$182),Z$4:Z121,1,0)),RANK(Y122,$Y$4:$Y$182),IF(ISERROR(VLOOKUP((RANK(Y122,$Y$4:$Y$182)+1),Z$4:Z121,1,0)),(RANK(Y122,$Y$4:$Y$182)+1),IF(ISERROR(VLOOKUP((RANK(Y122,$Y$4:$Y$182)+2),Z$4:Z121,1,0)),(RANK(Y122,$Y$4:$Y$182)+2),(RANK(Y122,$Y$4:$Y$182)+3))))</f>
        <v>117</v>
      </c>
      <c r="AA122" t="str">
        <f t="shared" si="15"/>
        <v>Dennis Johnson</v>
      </c>
    </row>
    <row r="123" spans="1:27" ht="12.75" customHeight="1">
      <c r="A123" s="33" t="str">
        <f>ESPNData!R126</f>
        <v>David Wilson*, NYG RB  IR</v>
      </c>
      <c r="B123" s="33" t="str">
        <f t="shared" si="12"/>
        <v>David Wilson</v>
      </c>
      <c r="C123" s="64" t="str">
        <f t="shared" si="13"/>
        <v>NYG</v>
      </c>
      <c r="D123" s="117" t="str">
        <f>IF(OR(($A123=Settings!$A$30),ISERROR(VLOOKUP($B123,FFTodayData!$P:$Y,5,0))),"",VLOOKUP($B123,FFTodayData!$P:$Y,5,0))</f>
        <v/>
      </c>
      <c r="E123" s="33" t="str">
        <f>IF(OR(($A123=Settings!$A$30),ISERROR(VLOOKUP($B123,FFTodayData!$P:$Y,6,0))),"",VLOOKUP($B123,FFTodayData!$P:$Y,6,0))</f>
        <v/>
      </c>
      <c r="F123" s="33" t="str">
        <f>IF(OR(($A123=Settings!$A$30),ISERROR(VLOOKUP($B123,FFTodayData!$P:$Y,7,0))),"",VLOOKUP($B123,FFTodayData!$P:$Y,7,0))</f>
        <v/>
      </c>
      <c r="G123" s="33" t="str">
        <f>IF(OR(($A123=Settings!$A$30),ISERROR(VLOOKUP($B123,FFTodayData!$P:$Y,8,0))),"",VLOOKUP($B123,FFTodayData!$P:$Y,8,0))</f>
        <v/>
      </c>
      <c r="H123" s="64" t="str">
        <f>IF(OR(($A123=Settings!$A$30),ISERROR(VLOOKUP($B123,FFTodayData!$P:$Y,9,0))),"",VLOOKUP($B123,FFTodayData!$P:$Y,9,0))</f>
        <v/>
      </c>
      <c r="I123" s="117">
        <f>IF(ISERROR(VLOOKUP($A123,ESPNData!$R:$AE,9,0)),"",VLOOKUP($A123,ESPNData!$R:$AE,9,0))</f>
        <v>0</v>
      </c>
      <c r="J123" s="33">
        <f>IF(ISERROR(VLOOKUP($A123,ESPNData!$R:$AE,10,0)),"",VLOOKUP($A123,ESPNData!$R:$AE,10,0))</f>
        <v>0</v>
      </c>
      <c r="K123" s="33">
        <f>IF(ISERROR(VLOOKUP($A123,ESPNData!$R:$AE,11,0)),"",VLOOKUP($A123,ESPNData!$R:$AE,11,0))</f>
        <v>0</v>
      </c>
      <c r="L123" s="33">
        <f>IF(ISERROR(VLOOKUP($A123,ESPNData!$R:$AE,12,0)),"",VLOOKUP($A123,ESPNData!$R:$AE,12,0))</f>
        <v>0</v>
      </c>
      <c r="M123" s="64">
        <f>IF(ISERROR(VLOOKUP($A123,ESPNData!$R:$AE,13,0)),"",VLOOKUP($A123,ESPNData!$R:$AE,13,0))</f>
        <v>0</v>
      </c>
      <c r="N123" s="115" t="str">
        <f>IF(OR(($A123=Settings!$A$30),ISERROR(VLOOKUP($B123,SportslineData!$Q:$AB,4,0))),"",VLOOKUP($B123,SportslineData!$Q:$AB,4,0))</f>
        <v/>
      </c>
      <c r="O123" s="82" t="str">
        <f>IF(OR(($A123=Settings!$A$30),ISERROR(VLOOKUP($B123,SportslineData!$Q:$AB,6,0))),"",ROUND(VLOOKUP($B123,SportslineData!$Q:$AB,6,0),0))</f>
        <v/>
      </c>
      <c r="P123" s="82" t="str">
        <f>IF(OR(($A123=Settings!$A$30),ISERROR(VLOOKUP($B123,SportslineData!$Q:$AB,7,0))),"",ROUND(VLOOKUP($B123,SportslineData!$Q:$AB,7,0),0))</f>
        <v/>
      </c>
      <c r="Q123" s="82" t="str">
        <f>IF(OR(($A123=Settings!$A$30),ISERROR(VLOOKUP($B123,SportslineData!$Q:$AB,8,0))),"",VLOOKUP($B123,SportslineData!$Q:$AB,8,0))</f>
        <v/>
      </c>
      <c r="R123" s="82" t="str">
        <f>IF(OR(($A123=Settings!$A$30),ISERROR(VLOOKUP($B123,SportslineData!$Q:$AB,10,0))),"",ROUND(VLOOKUP($B123,SportslineData!$Q:$AB,10,0),0))</f>
        <v/>
      </c>
      <c r="S123" s="74" t="str">
        <f>IF(OR(($A123=Settings!$A$30),ISERROR(VLOOKUP($B123,SportslineData!$Q:$AB,11,0))),"",ROUND(VLOOKUP($B123,SportslineData!$Q:$AB,11,0),0))</f>
        <v/>
      </c>
      <c r="T123" s="117"/>
      <c r="U123" s="131">
        <f t="shared" si="14"/>
        <v>0</v>
      </c>
      <c r="V123" s="38">
        <f>IF(ISERROR(ROUND((((((ROUNDDOWN((D123/5),0)*Settings!$F$7)+(E123*Settings!$I$7))+(F123*Settings!$I$11))+(ROUNDDOWN((G123/5),0)*Settings!$F$11))+(H123*Settings!$F$12)),1)),0,ROUND((((((ROUNDDOWN((D123/5),0)*Settings!$F$7)+(E123*Settings!$I$7))+(F123*Settings!$I$11))+(ROUNDDOWN((G123/5),0)*Settings!$F$11))+(H123*Settings!$F$12)),1))</f>
        <v>0</v>
      </c>
      <c r="W123" s="38">
        <f>IF(ISERROR(ROUND((((((ROUNDDOWN((I123/5),0)*Settings!$F$7)+(J123*Settings!$I$7))+(K123*Settings!$I$11))+(ROUNDDOWN((L123/5),0)*Settings!$F$11))+(M123*Settings!$F$12)),1)),0,ROUND((((((ROUNDDOWN((I123/5),0)*Settings!$F$7)+(J123*Settings!$I$7))+(K123*Settings!$I$11))+(ROUNDDOWN((L123/5),0)*Settings!$F$11))+(M123*Settings!$F$12)),1))</f>
        <v>0</v>
      </c>
      <c r="X123" s="38">
        <f>IF(AND((N123=""),(P123="")),0,((((((ROUND((N123/5),0)*Settings!$F$7)+(O123*Settings!$I$7))+(P123*Settings!$I$11))+(ROUND((Q123/5),0)*Settings!$F$11))+(R123*Settings!$F$12))+(S123*Settings!$F$15)))</f>
        <v>0</v>
      </c>
      <c r="Y123" s="66">
        <f>ROUND((((V123*Settings!$B$21)+(W123*Settings!$B$22))+(X123*Settings!$B$23)),1)</f>
        <v>0</v>
      </c>
      <c r="Z123" s="66">
        <f>IF(ISERROR(VLOOKUP(RANK(Y123,$Y$4:$Y$182),Z$4:Z122,1,0)),RANK(Y123,$Y$4:$Y$182),IF(ISERROR(VLOOKUP((RANK(Y123,$Y$4:$Y$182)+1),Z$4:Z122,1,0)),(RANK(Y123,$Y$4:$Y$182)+1),IF(ISERROR(VLOOKUP((RANK(Y123,$Y$4:$Y$182)+2),Z$4:Z122,1,0)),(RANK(Y123,$Y$4:$Y$182)+2),(RANK(Y123,$Y$4:$Y$182)+3))))</f>
        <v>124</v>
      </c>
      <c r="AA123" t="str">
        <f t="shared" si="15"/>
        <v>David Wilson</v>
      </c>
    </row>
    <row r="124" spans="1:27" ht="12.75" customHeight="1">
      <c r="A124" s="33" t="str">
        <f>ESPNData!R129</f>
        <v>Kendall Hunter*, SF RB  IR</v>
      </c>
      <c r="B124" s="33" t="str">
        <f t="shared" si="12"/>
        <v>Kendall Hunter</v>
      </c>
      <c r="C124" s="64" t="str">
        <f t="shared" si="13"/>
        <v>SF</v>
      </c>
      <c r="D124" s="117" t="str">
        <f>IF(OR(($A124=Settings!$A$30),ISERROR(VLOOKUP($B124,FFTodayData!$P:$Y,5,0))),"",VLOOKUP($B124,FFTodayData!$P:$Y,5,0))</f>
        <v/>
      </c>
      <c r="E124" s="33" t="str">
        <f>IF(OR(($A124=Settings!$A$30),ISERROR(VLOOKUP($B124,FFTodayData!$P:$Y,6,0))),"",VLOOKUP($B124,FFTodayData!$P:$Y,6,0))</f>
        <v/>
      </c>
      <c r="F124" s="33" t="str">
        <f>IF(OR(($A124=Settings!$A$30),ISERROR(VLOOKUP($B124,FFTodayData!$P:$Y,7,0))),"",VLOOKUP($B124,FFTodayData!$P:$Y,7,0))</f>
        <v/>
      </c>
      <c r="G124" s="33" t="str">
        <f>IF(OR(($A124=Settings!$A$30),ISERROR(VLOOKUP($B124,FFTodayData!$P:$Y,8,0))),"",VLOOKUP($B124,FFTodayData!$P:$Y,8,0))</f>
        <v/>
      </c>
      <c r="H124" s="64" t="str">
        <f>IF(OR(($A124=Settings!$A$30),ISERROR(VLOOKUP($B124,FFTodayData!$P:$Y,9,0))),"",VLOOKUP($B124,FFTodayData!$P:$Y,9,0))</f>
        <v/>
      </c>
      <c r="I124" s="117">
        <f>IF(ISERROR(VLOOKUP($A124,ESPNData!$R:$AE,9,0)),"",VLOOKUP($A124,ESPNData!$R:$AE,9,0))</f>
        <v>0</v>
      </c>
      <c r="J124" s="33">
        <f>IF(ISERROR(VLOOKUP($A124,ESPNData!$R:$AE,10,0)),"",VLOOKUP($A124,ESPNData!$R:$AE,10,0))</f>
        <v>0</v>
      </c>
      <c r="K124" s="33">
        <f>IF(ISERROR(VLOOKUP($A124,ESPNData!$R:$AE,11,0)),"",VLOOKUP($A124,ESPNData!$R:$AE,11,0))</f>
        <v>0</v>
      </c>
      <c r="L124" s="33">
        <f>IF(ISERROR(VLOOKUP($A124,ESPNData!$R:$AE,12,0)),"",VLOOKUP($A124,ESPNData!$R:$AE,12,0))</f>
        <v>0</v>
      </c>
      <c r="M124" s="64">
        <f>IF(ISERROR(VLOOKUP($A124,ESPNData!$R:$AE,13,0)),"",VLOOKUP($A124,ESPNData!$R:$AE,13,0))</f>
        <v>0</v>
      </c>
      <c r="N124" s="115" t="str">
        <f>IF(OR(($A124=Settings!$A$30),ISERROR(VLOOKUP($B124,SportslineData!$Q:$AB,4,0))),"",VLOOKUP($B124,SportslineData!$Q:$AB,4,0))</f>
        <v/>
      </c>
      <c r="O124" s="82" t="str">
        <f>IF(OR(($A124=Settings!$A$30),ISERROR(VLOOKUP($B124,SportslineData!$Q:$AB,6,0))),"",ROUND(VLOOKUP($B124,SportslineData!$Q:$AB,6,0),0))</f>
        <v/>
      </c>
      <c r="P124" s="82" t="str">
        <f>IF(OR(($A124=Settings!$A$30),ISERROR(VLOOKUP($B124,SportslineData!$Q:$AB,7,0))),"",ROUND(VLOOKUP($B124,SportslineData!$Q:$AB,7,0),0))</f>
        <v/>
      </c>
      <c r="Q124" s="82" t="str">
        <f>IF(OR(($A124=Settings!$A$30),ISERROR(VLOOKUP($B124,SportslineData!$Q:$AB,8,0))),"",VLOOKUP($B124,SportslineData!$Q:$AB,8,0))</f>
        <v/>
      </c>
      <c r="R124" s="82" t="str">
        <f>IF(OR(($A124=Settings!$A$30),ISERROR(VLOOKUP($B124,SportslineData!$Q:$AB,10,0))),"",ROUND(VLOOKUP($B124,SportslineData!$Q:$AB,10,0),0))</f>
        <v/>
      </c>
      <c r="S124" s="74" t="str">
        <f>IF(OR(($A124=Settings!$A$30),ISERROR(VLOOKUP($B124,SportslineData!$Q:$AB,11,0))),"",ROUND(VLOOKUP($B124,SportslineData!$Q:$AB,11,0),0))</f>
        <v/>
      </c>
      <c r="T124" s="117"/>
      <c r="U124" s="131">
        <f t="shared" si="14"/>
        <v>0</v>
      </c>
      <c r="V124" s="38">
        <f>IF(ISERROR(ROUND((((((ROUNDDOWN((D124/5),0)*Settings!$F$7)+(E124*Settings!$I$7))+(F124*Settings!$I$11))+(ROUNDDOWN((G124/5),0)*Settings!$F$11))+(H124*Settings!$F$12)),1)),0,ROUND((((((ROUNDDOWN((D124/5),0)*Settings!$F$7)+(E124*Settings!$I$7))+(F124*Settings!$I$11))+(ROUNDDOWN((G124/5),0)*Settings!$F$11))+(H124*Settings!$F$12)),1))</f>
        <v>0</v>
      </c>
      <c r="W124" s="38">
        <f>IF(ISERROR(ROUND((((((ROUNDDOWN((I124/5),0)*Settings!$F$7)+(J124*Settings!$I$7))+(K124*Settings!$I$11))+(ROUNDDOWN((L124/5),0)*Settings!$F$11))+(M124*Settings!$F$12)),1)),0,ROUND((((((ROUNDDOWN((I124/5),0)*Settings!$F$7)+(J124*Settings!$I$7))+(K124*Settings!$I$11))+(ROUNDDOWN((L124/5),0)*Settings!$F$11))+(M124*Settings!$F$12)),1))</f>
        <v>0</v>
      </c>
      <c r="X124" s="38">
        <f>IF(AND((N124=""),(P124="")),0,((((((ROUND((N124/5),0)*Settings!$F$7)+(O124*Settings!$I$7))+(P124*Settings!$I$11))+(ROUND((Q124/5),0)*Settings!$F$11))+(R124*Settings!$F$12))+(S124*Settings!$F$15)))</f>
        <v>0</v>
      </c>
      <c r="Y124" s="66">
        <f>ROUND((((V124*Settings!$B$21)+(W124*Settings!$B$22))+(X124*Settings!$B$23)),1)</f>
        <v>0</v>
      </c>
      <c r="Z124" s="66">
        <f>IF(ISERROR(VLOOKUP(RANK(Y124,$Y$4:$Y$182),Z$4:Z123,1,0)),RANK(Y124,$Y$4:$Y$182),IF(ISERROR(VLOOKUP((RANK(Y124,$Y$4:$Y$182)+1),Z$4:Z123,1,0)),(RANK(Y124,$Y$4:$Y$182)+1),IF(ISERROR(VLOOKUP((RANK(Y124,$Y$4:$Y$182)+2),Z$4:Z123,1,0)),(RANK(Y124,$Y$4:$Y$182)+2),(RANK(Y124,$Y$4:$Y$182)+3))))</f>
        <v>125</v>
      </c>
      <c r="AA124" t="str">
        <f t="shared" si="15"/>
        <v>Kendall Hunter</v>
      </c>
    </row>
    <row r="125" spans="1:27" ht="12.75" customHeight="1">
      <c r="A125" s="33" t="str">
        <f>ESPNData!R130</f>
        <v>Vick Ballard*, Ind RB  O</v>
      </c>
      <c r="B125" s="33" t="str">
        <f t="shared" si="12"/>
        <v>Vick Ballard</v>
      </c>
      <c r="C125" s="64" t="str">
        <f t="shared" si="13"/>
        <v>IND</v>
      </c>
      <c r="D125" s="117">
        <f>IF(OR(($A125=Settings!$A$30),ISERROR(VLOOKUP($B125,FFTodayData!$P:$Y,5,0))),"",VLOOKUP($B125,FFTodayData!$P:$Y,5,0))</f>
        <v>357</v>
      </c>
      <c r="E125" s="33">
        <f>IF(OR(($A125=Settings!$A$30),ISERROR(VLOOKUP($B125,FFTodayData!$P:$Y,6,0))),"",VLOOKUP($B125,FFTodayData!$P:$Y,6,0))</f>
        <v>2</v>
      </c>
      <c r="F125" s="33">
        <f>IF(OR(($A125=Settings!$A$30),ISERROR(VLOOKUP($B125,FFTodayData!$P:$Y,7,0))),"",VLOOKUP($B125,FFTodayData!$P:$Y,7,0))</f>
        <v>14</v>
      </c>
      <c r="G125" s="33">
        <f>IF(OR(($A125=Settings!$A$30),ISERROR(VLOOKUP($B125,FFTodayData!$P:$Y,8,0))),"",VLOOKUP($B125,FFTodayData!$P:$Y,8,0))</f>
        <v>82</v>
      </c>
      <c r="H125" s="64">
        <f>IF(OR(($A125=Settings!$A$30),ISERROR(VLOOKUP($B125,FFTodayData!$P:$Y,9,0))),"",VLOOKUP($B125,FFTodayData!$P:$Y,9,0))</f>
        <v>0</v>
      </c>
      <c r="I125" s="117">
        <f>IF(ISERROR(VLOOKUP($A125,ESPNData!$R:$AE,9,0)),"",VLOOKUP($A125,ESPNData!$R:$AE,9,0))</f>
        <v>0</v>
      </c>
      <c r="J125" s="33">
        <f>IF(ISERROR(VLOOKUP($A125,ESPNData!$R:$AE,10,0)),"",VLOOKUP($A125,ESPNData!$R:$AE,10,0))</f>
        <v>0</v>
      </c>
      <c r="K125" s="33">
        <f>IF(ISERROR(VLOOKUP($A125,ESPNData!$R:$AE,11,0)),"",VLOOKUP($A125,ESPNData!$R:$AE,11,0))</f>
        <v>0</v>
      </c>
      <c r="L125" s="33">
        <f>IF(ISERROR(VLOOKUP($A125,ESPNData!$R:$AE,12,0)),"",VLOOKUP($A125,ESPNData!$R:$AE,12,0))</f>
        <v>0</v>
      </c>
      <c r="M125" s="64">
        <f>IF(ISERROR(VLOOKUP($A125,ESPNData!$R:$AE,13,0)),"",VLOOKUP($A125,ESPNData!$R:$AE,13,0))</f>
        <v>0</v>
      </c>
      <c r="N125" s="115" t="str">
        <f>IF(OR(($A125=Settings!$A$30),ISERROR(VLOOKUP($B125,SportslineData!$Q:$AB,4,0))),"",VLOOKUP($B125,SportslineData!$Q:$AB,4,0))</f>
        <v/>
      </c>
      <c r="O125" s="82" t="str">
        <f>IF(OR(($A125=Settings!$A$30),ISERROR(VLOOKUP($B125,SportslineData!$Q:$AB,6,0))),"",ROUND(VLOOKUP($B125,SportslineData!$Q:$AB,6,0),0))</f>
        <v/>
      </c>
      <c r="P125" s="82" t="str">
        <f>IF(OR(($A125=Settings!$A$30),ISERROR(VLOOKUP($B125,SportslineData!$Q:$AB,7,0))),"",ROUND(VLOOKUP($B125,SportslineData!$Q:$AB,7,0),0))</f>
        <v/>
      </c>
      <c r="Q125" s="82" t="str">
        <f>IF(OR(($A125=Settings!$A$30),ISERROR(VLOOKUP($B125,SportslineData!$Q:$AB,8,0))),"",VLOOKUP($B125,SportslineData!$Q:$AB,8,0))</f>
        <v/>
      </c>
      <c r="R125" s="82" t="str">
        <f>IF(OR(($A125=Settings!$A$30),ISERROR(VLOOKUP($B125,SportslineData!$Q:$AB,10,0))),"",ROUND(VLOOKUP($B125,SportslineData!$Q:$AB,10,0),0))</f>
        <v/>
      </c>
      <c r="S125" s="74" t="str">
        <f>IF(OR(($A125=Settings!$A$30),ISERROR(VLOOKUP($B125,SportslineData!$Q:$AB,11,0))),"",ROUND(VLOOKUP($B125,SportslineData!$Q:$AB,11,0),0))</f>
        <v/>
      </c>
      <c r="T125" s="117"/>
      <c r="U125" s="131">
        <f t="shared" si="14"/>
        <v>36.084391824351613</v>
      </c>
      <c r="V125" s="38">
        <f>IF(ISERROR(ROUND((((((ROUNDDOWN((D125/5),0)*Settings!$F$7)+(E125*Settings!$I$7))+(F125*Settings!$I$11))+(ROUNDDOWN((G125/5),0)*Settings!$F$11))+(H125*Settings!$F$12)),1)),0,ROUND((((((ROUNDDOWN((D125/5),0)*Settings!$F$7)+(E125*Settings!$I$7))+(F125*Settings!$I$11))+(ROUNDDOWN((G125/5),0)*Settings!$F$11))+(H125*Settings!$F$12)),1))</f>
        <v>62.5</v>
      </c>
      <c r="W125" s="38">
        <f>IF(ISERROR(ROUND((((((ROUNDDOWN((I125/5),0)*Settings!$F$7)+(J125*Settings!$I$7))+(K125*Settings!$I$11))+(ROUNDDOWN((L125/5),0)*Settings!$F$11))+(M125*Settings!$F$12)),1)),0,ROUND((((((ROUNDDOWN((I125/5),0)*Settings!$F$7)+(J125*Settings!$I$7))+(K125*Settings!$I$11))+(ROUNDDOWN((L125/5),0)*Settings!$F$11))+(M125*Settings!$F$12)),1))</f>
        <v>0</v>
      </c>
      <c r="X125" s="38">
        <f>IF(AND((N125=""),(P125="")),0,((((((ROUND((N125/5),0)*Settings!$F$7)+(O125*Settings!$I$7))+(P125*Settings!$I$11))+(ROUND((Q125/5),0)*Settings!$F$11))+(R125*Settings!$F$12))+(S125*Settings!$F$15)))</f>
        <v>0</v>
      </c>
      <c r="Y125" s="66">
        <f>ROUND((((V125*Settings!$B$21)+(W125*Settings!$B$22))+(X125*Settings!$B$23)),1)</f>
        <v>20.6</v>
      </c>
      <c r="Z125" s="66">
        <f>IF(ISERROR(VLOOKUP(RANK(Y125,$Y$4:$Y$182),Z$4:Z124,1,0)),RANK(Y125,$Y$4:$Y$182),IF(ISERROR(VLOOKUP((RANK(Y125,$Y$4:$Y$182)+1),Z$4:Z124,1,0)),(RANK(Y125,$Y$4:$Y$182)+1),IF(ISERROR(VLOOKUP((RANK(Y125,$Y$4:$Y$182)+2),Z$4:Z124,1,0)),(RANK(Y125,$Y$4:$Y$182)+2),(RANK(Y125,$Y$4:$Y$182)+3))))</f>
        <v>100</v>
      </c>
      <c r="AA125" t="str">
        <f t="shared" si="15"/>
        <v>Vick Ballard</v>
      </c>
    </row>
    <row r="126" spans="1:27" ht="12.75" customHeight="1">
      <c r="A126" s="33" t="str">
        <f>ESPNData!R131</f>
        <v>MarQueis Gray, Cle TE, RB</v>
      </c>
      <c r="B126" s="33" t="str">
        <f t="shared" si="12"/>
        <v>MarQueis Gray</v>
      </c>
      <c r="C126" s="64" t="str">
        <f t="shared" si="13"/>
        <v>CLE TE,</v>
      </c>
      <c r="D126" s="117" t="str">
        <f>IF(OR(($A126=Settings!$A$30),ISERROR(VLOOKUP($B126,FFTodayData!$P:$Y,5,0))),"",VLOOKUP($B126,FFTodayData!$P:$Y,5,0))</f>
        <v/>
      </c>
      <c r="E126" s="33" t="str">
        <f>IF(OR(($A126=Settings!$A$30),ISERROR(VLOOKUP($B126,FFTodayData!$P:$Y,6,0))),"",VLOOKUP($B126,FFTodayData!$P:$Y,6,0))</f>
        <v/>
      </c>
      <c r="F126" s="33" t="str">
        <f>IF(OR(($A126=Settings!$A$30),ISERROR(VLOOKUP($B126,FFTodayData!$P:$Y,7,0))),"",VLOOKUP($B126,FFTodayData!$P:$Y,7,0))</f>
        <v/>
      </c>
      <c r="G126" s="33" t="str">
        <f>IF(OR(($A126=Settings!$A$30),ISERROR(VLOOKUP($B126,FFTodayData!$P:$Y,8,0))),"",VLOOKUP($B126,FFTodayData!$P:$Y,8,0))</f>
        <v/>
      </c>
      <c r="H126" s="64" t="str">
        <f>IF(OR(($A126=Settings!$A$30),ISERROR(VLOOKUP($B126,FFTodayData!$P:$Y,9,0))),"",VLOOKUP($B126,FFTodayData!$P:$Y,9,0))</f>
        <v/>
      </c>
      <c r="I126" s="117">
        <f>IF(ISERROR(VLOOKUP($A126,ESPNData!$R:$AE,9,0)),"",VLOOKUP($A126,ESPNData!$R:$AE,9,0))</f>
        <v>0</v>
      </c>
      <c r="J126" s="33">
        <f>IF(ISERROR(VLOOKUP($A126,ESPNData!$R:$AE,10,0)),"",VLOOKUP($A126,ESPNData!$R:$AE,10,0))</f>
        <v>0</v>
      </c>
      <c r="K126" s="33">
        <f>IF(ISERROR(VLOOKUP($A126,ESPNData!$R:$AE,11,0)),"",VLOOKUP($A126,ESPNData!$R:$AE,11,0))</f>
        <v>0</v>
      </c>
      <c r="L126" s="33">
        <f>IF(ISERROR(VLOOKUP($A126,ESPNData!$R:$AE,12,0)),"",VLOOKUP($A126,ESPNData!$R:$AE,12,0))</f>
        <v>0</v>
      </c>
      <c r="M126" s="64">
        <f>IF(ISERROR(VLOOKUP($A126,ESPNData!$R:$AE,13,0)),"",VLOOKUP($A126,ESPNData!$R:$AE,13,0))</f>
        <v>0</v>
      </c>
      <c r="N126" s="115" t="str">
        <f>IF(OR(($A126=Settings!$A$30),ISERROR(VLOOKUP($B126,SportslineData!$Q:$AB,4,0))),"",VLOOKUP($B126,SportslineData!$Q:$AB,4,0))</f>
        <v/>
      </c>
      <c r="O126" s="82" t="str">
        <f>IF(OR(($A126=Settings!$A$30),ISERROR(VLOOKUP($B126,SportslineData!$Q:$AB,6,0))),"",ROUND(VLOOKUP($B126,SportslineData!$Q:$AB,6,0),0))</f>
        <v/>
      </c>
      <c r="P126" s="82" t="str">
        <f>IF(OR(($A126=Settings!$A$30),ISERROR(VLOOKUP($B126,SportslineData!$Q:$AB,7,0))),"",ROUND(VLOOKUP($B126,SportslineData!$Q:$AB,7,0),0))</f>
        <v/>
      </c>
      <c r="Q126" s="82" t="str">
        <f>IF(OR(($A126=Settings!$A$30),ISERROR(VLOOKUP($B126,SportslineData!$Q:$AB,8,0))),"",VLOOKUP($B126,SportslineData!$Q:$AB,8,0))</f>
        <v/>
      </c>
      <c r="R126" s="82" t="str">
        <f>IF(OR(($A126=Settings!$A$30),ISERROR(VLOOKUP($B126,SportslineData!$Q:$AB,10,0))),"",ROUND(VLOOKUP($B126,SportslineData!$Q:$AB,10,0),0))</f>
        <v/>
      </c>
      <c r="S126" s="74" t="str">
        <f>IF(OR(($A126=Settings!$A$30),ISERROR(VLOOKUP($B126,SportslineData!$Q:$AB,11,0))),"",ROUND(VLOOKUP($B126,SportslineData!$Q:$AB,11,0),0))</f>
        <v/>
      </c>
      <c r="T126" s="117"/>
      <c r="U126" s="131">
        <f t="shared" si="14"/>
        <v>0</v>
      </c>
      <c r="V126" s="38">
        <f>IF(ISERROR(ROUND((((((ROUNDDOWN((D126/5),0)*Settings!$F$7)+(E126*Settings!$I$7))+(F126*Settings!$I$11))+(ROUNDDOWN((G126/5),0)*Settings!$F$11))+(H126*Settings!$F$12)),1)),0,ROUND((((((ROUNDDOWN((D126/5),0)*Settings!$F$7)+(E126*Settings!$I$7))+(F126*Settings!$I$11))+(ROUNDDOWN((G126/5),0)*Settings!$F$11))+(H126*Settings!$F$12)),1))</f>
        <v>0</v>
      </c>
      <c r="W126" s="38">
        <f>IF(ISERROR(ROUND((((((ROUNDDOWN((I126/5),0)*Settings!$F$7)+(J126*Settings!$I$7))+(K126*Settings!$I$11))+(ROUNDDOWN((L126/5),0)*Settings!$F$11))+(M126*Settings!$F$12)),1)),0,ROUND((((((ROUNDDOWN((I126/5),0)*Settings!$F$7)+(J126*Settings!$I$7))+(K126*Settings!$I$11))+(ROUNDDOWN((L126/5),0)*Settings!$F$11))+(M126*Settings!$F$12)),1))</f>
        <v>0</v>
      </c>
      <c r="X126" s="38">
        <f>IF(AND((N126=""),(P126="")),0,((((((ROUND((N126/5),0)*Settings!$F$7)+(O126*Settings!$I$7))+(P126*Settings!$I$11))+(ROUND((Q126/5),0)*Settings!$F$11))+(R126*Settings!$F$12))+(S126*Settings!$F$15)))</f>
        <v>0</v>
      </c>
      <c r="Y126" s="66">
        <f>ROUND((((V126*Settings!$B$21)+(W126*Settings!$B$22))+(X126*Settings!$B$23)),1)</f>
        <v>0</v>
      </c>
      <c r="Z126" s="66">
        <f>IF(ISERROR(VLOOKUP(RANK(Y126,$Y$4:$Y$182),Z$4:Z125,1,0)),RANK(Y126,$Y$4:$Y$182),IF(ISERROR(VLOOKUP((RANK(Y126,$Y$4:$Y$182)+1),Z$4:Z125,1,0)),(RANK(Y126,$Y$4:$Y$182)+1),IF(ISERROR(VLOOKUP((RANK(Y126,$Y$4:$Y$182)+2),Z$4:Z125,1,0)),(RANK(Y126,$Y$4:$Y$182)+2),(RANK(Y126,$Y$4:$Y$182)+3))))</f>
        <v>126</v>
      </c>
      <c r="AA126" t="str">
        <f t="shared" si="15"/>
        <v>MarQueis Gray</v>
      </c>
    </row>
    <row r="127" spans="1:27" ht="12.75" customHeight="1">
      <c r="A127" s="33" t="str">
        <f>ESPNData!R132</f>
        <v>Tyler Gaffney*, NE RB  O</v>
      </c>
      <c r="B127" s="33" t="str">
        <f t="shared" si="12"/>
        <v>Tyler Gaffney</v>
      </c>
      <c r="C127" s="64" t="str">
        <f t="shared" si="13"/>
        <v>NE</v>
      </c>
      <c r="D127" s="117" t="str">
        <f>IF(OR(($A127=Settings!$A$30),ISERROR(VLOOKUP($B127,FFTodayData!$P:$Y,5,0))),"",VLOOKUP($B127,FFTodayData!$P:$Y,5,0))</f>
        <v/>
      </c>
      <c r="E127" s="33" t="str">
        <f>IF(OR(($A127=Settings!$A$30),ISERROR(VLOOKUP($B127,FFTodayData!$P:$Y,6,0))),"",VLOOKUP($B127,FFTodayData!$P:$Y,6,0))</f>
        <v/>
      </c>
      <c r="F127" s="33" t="str">
        <f>IF(OR(($A127=Settings!$A$30),ISERROR(VLOOKUP($B127,FFTodayData!$P:$Y,7,0))),"",VLOOKUP($B127,FFTodayData!$P:$Y,7,0))</f>
        <v/>
      </c>
      <c r="G127" s="33" t="str">
        <f>IF(OR(($A127=Settings!$A$30),ISERROR(VLOOKUP($B127,FFTodayData!$P:$Y,8,0))),"",VLOOKUP($B127,FFTodayData!$P:$Y,8,0))</f>
        <v/>
      </c>
      <c r="H127" s="64" t="str">
        <f>IF(OR(($A127=Settings!$A$30),ISERROR(VLOOKUP($B127,FFTodayData!$P:$Y,9,0))),"",VLOOKUP($B127,FFTodayData!$P:$Y,9,0))</f>
        <v/>
      </c>
      <c r="I127" s="117">
        <f>IF(ISERROR(VLOOKUP($A127,ESPNData!$R:$AE,9,0)),"",VLOOKUP($A127,ESPNData!$R:$AE,9,0))</f>
        <v>0</v>
      </c>
      <c r="J127" s="33">
        <f>IF(ISERROR(VLOOKUP($A127,ESPNData!$R:$AE,10,0)),"",VLOOKUP($A127,ESPNData!$R:$AE,10,0))</f>
        <v>0</v>
      </c>
      <c r="K127" s="33">
        <f>IF(ISERROR(VLOOKUP($A127,ESPNData!$R:$AE,11,0)),"",VLOOKUP($A127,ESPNData!$R:$AE,11,0))</f>
        <v>0</v>
      </c>
      <c r="L127" s="33">
        <f>IF(ISERROR(VLOOKUP($A127,ESPNData!$R:$AE,12,0)),"",VLOOKUP($A127,ESPNData!$R:$AE,12,0))</f>
        <v>0</v>
      </c>
      <c r="M127" s="64">
        <f>IF(ISERROR(VLOOKUP($A127,ESPNData!$R:$AE,13,0)),"",VLOOKUP($A127,ESPNData!$R:$AE,13,0))</f>
        <v>0</v>
      </c>
      <c r="N127" s="115" t="str">
        <f>IF(OR(($A127=Settings!$A$30),ISERROR(VLOOKUP($B127,SportslineData!$Q:$AB,4,0))),"",VLOOKUP($B127,SportslineData!$Q:$AB,4,0))</f>
        <v/>
      </c>
      <c r="O127" s="82" t="str">
        <f>IF(OR(($A127=Settings!$A$30),ISERROR(VLOOKUP($B127,SportslineData!$Q:$AB,6,0))),"",ROUND(VLOOKUP($B127,SportslineData!$Q:$AB,6,0),0))</f>
        <v/>
      </c>
      <c r="P127" s="82" t="str">
        <f>IF(OR(($A127=Settings!$A$30),ISERROR(VLOOKUP($B127,SportslineData!$Q:$AB,7,0))),"",ROUND(VLOOKUP($B127,SportslineData!$Q:$AB,7,0),0))</f>
        <v/>
      </c>
      <c r="Q127" s="82" t="str">
        <f>IF(OR(($A127=Settings!$A$30),ISERROR(VLOOKUP($B127,SportslineData!$Q:$AB,8,0))),"",VLOOKUP($B127,SportslineData!$Q:$AB,8,0))</f>
        <v/>
      </c>
      <c r="R127" s="82" t="str">
        <f>IF(OR(($A127=Settings!$A$30),ISERROR(VLOOKUP($B127,SportslineData!$Q:$AB,10,0))),"",ROUND(VLOOKUP($B127,SportslineData!$Q:$AB,10,0),0))</f>
        <v/>
      </c>
      <c r="S127" s="74" t="str">
        <f>IF(OR(($A127=Settings!$A$30),ISERROR(VLOOKUP($B127,SportslineData!$Q:$AB,11,0))),"",ROUND(VLOOKUP($B127,SportslineData!$Q:$AB,11,0),0))</f>
        <v/>
      </c>
      <c r="T127" s="117"/>
      <c r="U127" s="131">
        <f t="shared" si="14"/>
        <v>0</v>
      </c>
      <c r="V127" s="38">
        <f>IF(ISERROR(ROUND((((((ROUNDDOWN((D127/5),0)*Settings!$F$7)+(E127*Settings!$I$7))+(F127*Settings!$I$11))+(ROUNDDOWN((G127/5),0)*Settings!$F$11))+(H127*Settings!$F$12)),1)),0,ROUND((((((ROUNDDOWN((D127/5),0)*Settings!$F$7)+(E127*Settings!$I$7))+(F127*Settings!$I$11))+(ROUNDDOWN((G127/5),0)*Settings!$F$11))+(H127*Settings!$F$12)),1))</f>
        <v>0</v>
      </c>
      <c r="W127" s="38">
        <f>IF(ISERROR(ROUND((((((ROUNDDOWN((I127/5),0)*Settings!$F$7)+(J127*Settings!$I$7))+(K127*Settings!$I$11))+(ROUNDDOWN((L127/5),0)*Settings!$F$11))+(M127*Settings!$F$12)),1)),0,ROUND((((((ROUNDDOWN((I127/5),0)*Settings!$F$7)+(J127*Settings!$I$7))+(K127*Settings!$I$11))+(ROUNDDOWN((L127/5),0)*Settings!$F$11))+(M127*Settings!$F$12)),1))</f>
        <v>0</v>
      </c>
      <c r="X127" s="38">
        <f>IF(AND((N127=""),(P127="")),0,((((((ROUND((N127/5),0)*Settings!$F$7)+(O127*Settings!$I$7))+(P127*Settings!$I$11))+(ROUND((Q127/5),0)*Settings!$F$11))+(R127*Settings!$F$12))+(S127*Settings!$F$15)))</f>
        <v>0</v>
      </c>
      <c r="Y127" s="66">
        <f>ROUND((((V127*Settings!$B$21)+(W127*Settings!$B$22))+(X127*Settings!$B$23)),1)</f>
        <v>0</v>
      </c>
      <c r="Z127" s="66">
        <f>IF(ISERROR(VLOOKUP(RANK(Y127,$Y$4:$Y$182),Z$4:Z126,1,0)),RANK(Y127,$Y$4:$Y$182),IF(ISERROR(VLOOKUP((RANK(Y127,$Y$4:$Y$182)+1),Z$4:Z126,1,0)),(RANK(Y127,$Y$4:$Y$182)+1),IF(ISERROR(VLOOKUP((RANK(Y127,$Y$4:$Y$182)+2),Z$4:Z126,1,0)),(RANK(Y127,$Y$4:$Y$182)+2),(RANK(Y127,$Y$4:$Y$182)+3))))</f>
        <v>126</v>
      </c>
      <c r="AA127" t="str">
        <f t="shared" si="15"/>
        <v>Tyler Gaffney</v>
      </c>
    </row>
    <row r="128" spans="1:27" ht="12.75" customHeight="1">
      <c r="A128" s="33" t="str">
        <f>ESPNData!R133</f>
        <v>Johnathan Franklin*, GB RB  O</v>
      </c>
      <c r="B128" s="33" t="str">
        <f t="shared" si="12"/>
        <v>Johnathan Franklin</v>
      </c>
      <c r="C128" s="64" t="str">
        <f t="shared" si="13"/>
        <v>GB</v>
      </c>
      <c r="D128" s="117" t="str">
        <f>IF(OR(($A128=Settings!$A$30),ISERROR(VLOOKUP($B128,FFTodayData!$P:$Y,5,0))),"",VLOOKUP($B128,FFTodayData!$P:$Y,5,0))</f>
        <v/>
      </c>
      <c r="E128" s="33" t="str">
        <f>IF(OR(($A128=Settings!$A$30),ISERROR(VLOOKUP($B128,FFTodayData!$P:$Y,6,0))),"",VLOOKUP($B128,FFTodayData!$P:$Y,6,0))</f>
        <v/>
      </c>
      <c r="F128" s="33" t="str">
        <f>IF(OR(($A128=Settings!$A$30),ISERROR(VLOOKUP($B128,FFTodayData!$P:$Y,7,0))),"",VLOOKUP($B128,FFTodayData!$P:$Y,7,0))</f>
        <v/>
      </c>
      <c r="G128" s="33" t="str">
        <f>IF(OR(($A128=Settings!$A$30),ISERROR(VLOOKUP($B128,FFTodayData!$P:$Y,8,0))),"",VLOOKUP($B128,FFTodayData!$P:$Y,8,0))</f>
        <v/>
      </c>
      <c r="H128" s="64" t="str">
        <f>IF(OR(($A128=Settings!$A$30),ISERROR(VLOOKUP($B128,FFTodayData!$P:$Y,9,0))),"",VLOOKUP($B128,FFTodayData!$P:$Y,9,0))</f>
        <v/>
      </c>
      <c r="I128" s="117">
        <f>IF(ISERROR(VLOOKUP($A128,ESPNData!$R:$AE,9,0)),"",VLOOKUP($A128,ESPNData!$R:$AE,9,0))</f>
        <v>0</v>
      </c>
      <c r="J128" s="33">
        <f>IF(ISERROR(VLOOKUP($A128,ESPNData!$R:$AE,10,0)),"",VLOOKUP($A128,ESPNData!$R:$AE,10,0))</f>
        <v>0</v>
      </c>
      <c r="K128" s="33">
        <f>IF(ISERROR(VLOOKUP($A128,ESPNData!$R:$AE,11,0)),"",VLOOKUP($A128,ESPNData!$R:$AE,11,0))</f>
        <v>0</v>
      </c>
      <c r="L128" s="33">
        <f>IF(ISERROR(VLOOKUP($A128,ESPNData!$R:$AE,12,0)),"",VLOOKUP($A128,ESPNData!$R:$AE,12,0))</f>
        <v>0</v>
      </c>
      <c r="M128" s="64">
        <f>IF(ISERROR(VLOOKUP($A128,ESPNData!$R:$AE,13,0)),"",VLOOKUP($A128,ESPNData!$R:$AE,13,0))</f>
        <v>0</v>
      </c>
      <c r="N128" s="115" t="str">
        <f>IF(OR(($A128=Settings!$A$30),ISERROR(VLOOKUP($B128,SportslineData!$Q:$AB,4,0))),"",VLOOKUP($B128,SportslineData!$Q:$AB,4,0))</f>
        <v/>
      </c>
      <c r="O128" s="82" t="str">
        <f>IF(OR(($A128=Settings!$A$30),ISERROR(VLOOKUP($B128,SportslineData!$Q:$AB,6,0))),"",ROUND(VLOOKUP($B128,SportslineData!$Q:$AB,6,0),0))</f>
        <v/>
      </c>
      <c r="P128" s="82" t="str">
        <f>IF(OR(($A128=Settings!$A$30),ISERROR(VLOOKUP($B128,SportslineData!$Q:$AB,7,0))),"",ROUND(VLOOKUP($B128,SportslineData!$Q:$AB,7,0),0))</f>
        <v/>
      </c>
      <c r="Q128" s="82" t="str">
        <f>IF(OR(($A128=Settings!$A$30),ISERROR(VLOOKUP($B128,SportslineData!$Q:$AB,8,0))),"",VLOOKUP($B128,SportslineData!$Q:$AB,8,0))</f>
        <v/>
      </c>
      <c r="R128" s="82" t="str">
        <f>IF(OR(($A128=Settings!$A$30),ISERROR(VLOOKUP($B128,SportslineData!$Q:$AB,10,0))),"",ROUND(VLOOKUP($B128,SportslineData!$Q:$AB,10,0),0))</f>
        <v/>
      </c>
      <c r="S128" s="74" t="str">
        <f>IF(OR(($A128=Settings!$A$30),ISERROR(VLOOKUP($B128,SportslineData!$Q:$AB,11,0))),"",ROUND(VLOOKUP($B128,SportslineData!$Q:$AB,11,0),0))</f>
        <v/>
      </c>
      <c r="T128" s="117"/>
      <c r="U128" s="131">
        <f t="shared" si="14"/>
        <v>0</v>
      </c>
      <c r="V128" s="38">
        <f>IF(ISERROR(ROUND((((((ROUNDDOWN((D128/5),0)*Settings!$F$7)+(E128*Settings!$I$7))+(F128*Settings!$I$11))+(ROUNDDOWN((G128/5),0)*Settings!$F$11))+(H128*Settings!$F$12)),1)),0,ROUND((((((ROUNDDOWN((D128/5),0)*Settings!$F$7)+(E128*Settings!$I$7))+(F128*Settings!$I$11))+(ROUNDDOWN((G128/5),0)*Settings!$F$11))+(H128*Settings!$F$12)),1))</f>
        <v>0</v>
      </c>
      <c r="W128" s="38">
        <f>IF(ISERROR(ROUND((((((ROUNDDOWN((I128/5),0)*Settings!$F$7)+(J128*Settings!$I$7))+(K128*Settings!$I$11))+(ROUNDDOWN((L128/5),0)*Settings!$F$11))+(M128*Settings!$F$12)),1)),0,ROUND((((((ROUNDDOWN((I128/5),0)*Settings!$F$7)+(J128*Settings!$I$7))+(K128*Settings!$I$11))+(ROUNDDOWN((L128/5),0)*Settings!$F$11))+(M128*Settings!$F$12)),1))</f>
        <v>0</v>
      </c>
      <c r="X128" s="38">
        <f>IF(AND((N128=""),(P128="")),0,((((((ROUND((N128/5),0)*Settings!$F$7)+(O128*Settings!$I$7))+(P128*Settings!$I$11))+(ROUND((Q128/5),0)*Settings!$F$11))+(R128*Settings!$F$12))+(S128*Settings!$F$15)))</f>
        <v>0</v>
      </c>
      <c r="Y128" s="66">
        <f>ROUND((((V128*Settings!$B$21)+(W128*Settings!$B$22))+(X128*Settings!$B$23)),1)</f>
        <v>0</v>
      </c>
      <c r="Z128" s="66">
        <f>IF(ISERROR(VLOOKUP(RANK(Y128,$Y$4:$Y$182),Z$4:Z127,1,0)),RANK(Y128,$Y$4:$Y$182),IF(ISERROR(VLOOKUP((RANK(Y128,$Y$4:$Y$182)+1),Z$4:Z127,1,0)),(RANK(Y128,$Y$4:$Y$182)+1),IF(ISERROR(VLOOKUP((RANK(Y128,$Y$4:$Y$182)+2),Z$4:Z127,1,0)),(RANK(Y128,$Y$4:$Y$182)+2),(RANK(Y128,$Y$4:$Y$182)+3))))</f>
        <v>126</v>
      </c>
      <c r="AA128" t="str">
        <f t="shared" si="15"/>
        <v>Johnathan Franklin</v>
      </c>
    </row>
    <row r="129" spans="1:27" ht="12.75" customHeight="1">
      <c r="A129" s="33" t="str">
        <f>ESPNData!R134</f>
        <v>Mike Sellers, FA RB</v>
      </c>
      <c r="B129" s="33" t="str">
        <f t="shared" si="12"/>
        <v>Mike Sellers</v>
      </c>
      <c r="C129" s="64" t="str">
        <f t="shared" si="13"/>
        <v>FA</v>
      </c>
      <c r="D129" s="117" t="str">
        <f>IF(OR(($A129=Settings!$A$30),ISERROR(VLOOKUP($B129,FFTodayData!$P:$Y,5,0))),"",VLOOKUP($B129,FFTodayData!$P:$Y,5,0))</f>
        <v/>
      </c>
      <c r="E129" s="33" t="str">
        <f>IF(OR(($A129=Settings!$A$30),ISERROR(VLOOKUP($B129,FFTodayData!$P:$Y,6,0))),"",VLOOKUP($B129,FFTodayData!$P:$Y,6,0))</f>
        <v/>
      </c>
      <c r="F129" s="33" t="str">
        <f>IF(OR(($A129=Settings!$A$30),ISERROR(VLOOKUP($B129,FFTodayData!$P:$Y,7,0))),"",VLOOKUP($B129,FFTodayData!$P:$Y,7,0))</f>
        <v/>
      </c>
      <c r="G129" s="33" t="str">
        <f>IF(OR(($A129=Settings!$A$30),ISERROR(VLOOKUP($B129,FFTodayData!$P:$Y,8,0))),"",VLOOKUP($B129,FFTodayData!$P:$Y,8,0))</f>
        <v/>
      </c>
      <c r="H129" s="64" t="str">
        <f>IF(OR(($A129=Settings!$A$30),ISERROR(VLOOKUP($B129,FFTodayData!$P:$Y,9,0))),"",VLOOKUP($B129,FFTodayData!$P:$Y,9,0))</f>
        <v/>
      </c>
      <c r="I129" s="117" t="str">
        <f>IF(ISERROR(VLOOKUP($A129,ESPNData!$R:$AE,9,0)),"",VLOOKUP($A129,ESPNData!$R:$AE,9,0))</f>
        <v>--</v>
      </c>
      <c r="J129" s="33" t="str">
        <f>IF(ISERROR(VLOOKUP($A129,ESPNData!$R:$AE,10,0)),"",VLOOKUP($A129,ESPNData!$R:$AE,10,0))</f>
        <v>--</v>
      </c>
      <c r="K129" s="33" t="str">
        <f>IF(ISERROR(VLOOKUP($A129,ESPNData!$R:$AE,11,0)),"",VLOOKUP($A129,ESPNData!$R:$AE,11,0))</f>
        <v>--</v>
      </c>
      <c r="L129" s="33" t="str">
        <f>IF(ISERROR(VLOOKUP($A129,ESPNData!$R:$AE,12,0)),"",VLOOKUP($A129,ESPNData!$R:$AE,12,0))</f>
        <v>--</v>
      </c>
      <c r="M129" s="64" t="str">
        <f>IF(ISERROR(VLOOKUP($A129,ESPNData!$R:$AE,13,0)),"",VLOOKUP($A129,ESPNData!$R:$AE,13,0))</f>
        <v>--</v>
      </c>
      <c r="N129" s="115" t="str">
        <f>IF(OR(($A129=Settings!$A$30),ISERROR(VLOOKUP($B129,SportslineData!$Q:$AB,4,0))),"",VLOOKUP($B129,SportslineData!$Q:$AB,4,0))</f>
        <v/>
      </c>
      <c r="O129" s="82" t="str">
        <f>IF(OR(($A129=Settings!$A$30),ISERROR(VLOOKUP($B129,SportslineData!$Q:$AB,6,0))),"",ROUND(VLOOKUP($B129,SportslineData!$Q:$AB,6,0),0))</f>
        <v/>
      </c>
      <c r="P129" s="82" t="str">
        <f>IF(OR(($A129=Settings!$A$30),ISERROR(VLOOKUP($B129,SportslineData!$Q:$AB,7,0))),"",ROUND(VLOOKUP($B129,SportslineData!$Q:$AB,7,0),0))</f>
        <v/>
      </c>
      <c r="Q129" s="82" t="str">
        <f>IF(OR(($A129=Settings!$A$30),ISERROR(VLOOKUP($B129,SportslineData!$Q:$AB,8,0))),"",VLOOKUP($B129,SportslineData!$Q:$AB,8,0))</f>
        <v/>
      </c>
      <c r="R129" s="82" t="str">
        <f>IF(OR(($A129=Settings!$A$30),ISERROR(VLOOKUP($B129,SportslineData!$Q:$AB,10,0))),"",ROUND(VLOOKUP($B129,SportslineData!$Q:$AB,10,0),0))</f>
        <v/>
      </c>
      <c r="S129" s="74" t="str">
        <f>IF(OR(($A129=Settings!$A$30),ISERROR(VLOOKUP($B129,SportslineData!$Q:$AB,11,0))),"",ROUND(VLOOKUP($B129,SportslineData!$Q:$AB,11,0),0))</f>
        <v/>
      </c>
      <c r="T129" s="117"/>
      <c r="U129" s="131">
        <f t="shared" si="14"/>
        <v>0</v>
      </c>
      <c r="V129" s="38">
        <f>IF(ISERROR(ROUND((((((ROUNDDOWN((D129/5),0)*Settings!$F$7)+(E129*Settings!$I$7))+(F129*Settings!$I$11))+(ROUNDDOWN((G129/5),0)*Settings!$F$11))+(H129*Settings!$F$12)),1)),0,ROUND((((((ROUNDDOWN((D129/5),0)*Settings!$F$7)+(E129*Settings!$I$7))+(F129*Settings!$I$11))+(ROUNDDOWN((G129/5),0)*Settings!$F$11))+(H129*Settings!$F$12)),1))</f>
        <v>0</v>
      </c>
      <c r="W129" s="38">
        <f>IF(ISERROR(ROUND((((((ROUNDDOWN((I129/5),0)*Settings!$F$7)+(J129*Settings!$I$7))+(K129*Settings!$I$11))+(ROUNDDOWN((L129/5),0)*Settings!$F$11))+(M129*Settings!$F$12)),1)),0,ROUND((((((ROUNDDOWN((I129/5),0)*Settings!$F$7)+(J129*Settings!$I$7))+(K129*Settings!$I$11))+(ROUNDDOWN((L129/5),0)*Settings!$F$11))+(M129*Settings!$F$12)),1))</f>
        <v>0</v>
      </c>
      <c r="X129" s="38">
        <f>IF(AND((N129=""),(P129="")),0,((((((ROUND((N129/5),0)*Settings!$F$7)+(O129*Settings!$I$7))+(P129*Settings!$I$11))+(ROUND((Q129/5),0)*Settings!$F$11))+(R129*Settings!$F$12))+(S129*Settings!$F$15)))</f>
        <v>0</v>
      </c>
      <c r="Y129" s="66">
        <f>ROUND((((V129*Settings!$B$21)+(W129*Settings!$B$22))+(X129*Settings!$B$23)),1)</f>
        <v>0</v>
      </c>
      <c r="Z129" s="66">
        <f>IF(ISERROR(VLOOKUP(RANK(Y129,$Y$4:$Y$182),Z$4:Z128,1,0)),RANK(Y129,$Y$4:$Y$182),IF(ISERROR(VLOOKUP((RANK(Y129,$Y$4:$Y$182)+1),Z$4:Z128,1,0)),(RANK(Y129,$Y$4:$Y$182)+1),IF(ISERROR(VLOOKUP((RANK(Y129,$Y$4:$Y$182)+2),Z$4:Z128,1,0)),(RANK(Y129,$Y$4:$Y$182)+2),(RANK(Y129,$Y$4:$Y$182)+3))))</f>
        <v>126</v>
      </c>
      <c r="AA129" t="str">
        <f t="shared" si="15"/>
        <v>Mike Sellers</v>
      </c>
    </row>
    <row r="130" spans="1:27" ht="12.75" customHeight="1">
      <c r="A130" s="33" t="str">
        <f>ESPNData!R135</f>
        <v>Kevin Faulk, FA RB</v>
      </c>
      <c r="B130" s="33" t="str">
        <f t="shared" si="12"/>
        <v>Kevin Faulk</v>
      </c>
      <c r="C130" s="64" t="str">
        <f t="shared" si="13"/>
        <v>FA</v>
      </c>
      <c r="D130" s="117" t="str">
        <f>IF(OR(($A130=Settings!$A$30),ISERROR(VLOOKUP($B130,FFTodayData!$P:$Y,5,0))),"",VLOOKUP($B130,FFTodayData!$P:$Y,5,0))</f>
        <v/>
      </c>
      <c r="E130" s="33" t="str">
        <f>IF(OR(($A130=Settings!$A$30),ISERROR(VLOOKUP($B130,FFTodayData!$P:$Y,6,0))),"",VLOOKUP($B130,FFTodayData!$P:$Y,6,0))</f>
        <v/>
      </c>
      <c r="F130" s="33" t="str">
        <f>IF(OR(($A130=Settings!$A$30),ISERROR(VLOOKUP($B130,FFTodayData!$P:$Y,7,0))),"",VLOOKUP($B130,FFTodayData!$P:$Y,7,0))</f>
        <v/>
      </c>
      <c r="G130" s="33" t="str">
        <f>IF(OR(($A130=Settings!$A$30),ISERROR(VLOOKUP($B130,FFTodayData!$P:$Y,8,0))),"",VLOOKUP($B130,FFTodayData!$P:$Y,8,0))</f>
        <v/>
      </c>
      <c r="H130" s="64" t="str">
        <f>IF(OR(($A130=Settings!$A$30),ISERROR(VLOOKUP($B130,FFTodayData!$P:$Y,9,0))),"",VLOOKUP($B130,FFTodayData!$P:$Y,9,0))</f>
        <v/>
      </c>
      <c r="I130" s="117" t="str">
        <f>IF(ISERROR(VLOOKUP($A130,ESPNData!$R:$AE,9,0)),"",VLOOKUP($A130,ESPNData!$R:$AE,9,0))</f>
        <v>--</v>
      </c>
      <c r="J130" s="33" t="str">
        <f>IF(ISERROR(VLOOKUP($A130,ESPNData!$R:$AE,10,0)),"",VLOOKUP($A130,ESPNData!$R:$AE,10,0))</f>
        <v>--</v>
      </c>
      <c r="K130" s="33" t="str">
        <f>IF(ISERROR(VLOOKUP($A130,ESPNData!$R:$AE,11,0)),"",VLOOKUP($A130,ESPNData!$R:$AE,11,0))</f>
        <v>--</v>
      </c>
      <c r="L130" s="33" t="str">
        <f>IF(ISERROR(VLOOKUP($A130,ESPNData!$R:$AE,12,0)),"",VLOOKUP($A130,ESPNData!$R:$AE,12,0))</f>
        <v>--</v>
      </c>
      <c r="M130" s="64" t="str">
        <f>IF(ISERROR(VLOOKUP($A130,ESPNData!$R:$AE,13,0)),"",VLOOKUP($A130,ESPNData!$R:$AE,13,0))</f>
        <v>--</v>
      </c>
      <c r="N130" s="115" t="str">
        <f>IF(OR(($A130=Settings!$A$30),ISERROR(VLOOKUP($B130,SportslineData!$Q:$AB,4,0))),"",VLOOKUP($B130,SportslineData!$Q:$AB,4,0))</f>
        <v/>
      </c>
      <c r="O130" s="82" t="str">
        <f>IF(OR(($A130=Settings!$A$30),ISERROR(VLOOKUP($B130,SportslineData!$Q:$AB,6,0))),"",ROUND(VLOOKUP($B130,SportslineData!$Q:$AB,6,0),0))</f>
        <v/>
      </c>
      <c r="P130" s="82" t="str">
        <f>IF(OR(($A130=Settings!$A$30),ISERROR(VLOOKUP($B130,SportslineData!$Q:$AB,7,0))),"",ROUND(VLOOKUP($B130,SportslineData!$Q:$AB,7,0),0))</f>
        <v/>
      </c>
      <c r="Q130" s="82" t="str">
        <f>IF(OR(($A130=Settings!$A$30),ISERROR(VLOOKUP($B130,SportslineData!$Q:$AB,8,0))),"",VLOOKUP($B130,SportslineData!$Q:$AB,8,0))</f>
        <v/>
      </c>
      <c r="R130" s="82" t="str">
        <f>IF(OR(($A130=Settings!$A$30),ISERROR(VLOOKUP($B130,SportslineData!$Q:$AB,10,0))),"",ROUND(VLOOKUP($B130,SportslineData!$Q:$AB,10,0),0))</f>
        <v/>
      </c>
      <c r="S130" s="74" t="str">
        <f>IF(OR(($A130=Settings!$A$30),ISERROR(VLOOKUP($B130,SportslineData!$Q:$AB,11,0))),"",ROUND(VLOOKUP($B130,SportslineData!$Q:$AB,11,0),0))</f>
        <v/>
      </c>
      <c r="T130" s="117"/>
      <c r="U130" s="131">
        <f t="shared" si="14"/>
        <v>0</v>
      </c>
      <c r="V130" s="38">
        <f>IF(ISERROR(ROUND((((((ROUNDDOWN((D130/5),0)*Settings!$F$7)+(E130*Settings!$I$7))+(F130*Settings!$I$11))+(ROUNDDOWN((G130/5),0)*Settings!$F$11))+(H130*Settings!$F$12)),1)),0,ROUND((((((ROUNDDOWN((D130/5),0)*Settings!$F$7)+(E130*Settings!$I$7))+(F130*Settings!$I$11))+(ROUNDDOWN((G130/5),0)*Settings!$F$11))+(H130*Settings!$F$12)),1))</f>
        <v>0</v>
      </c>
      <c r="W130" s="38">
        <f>IF(ISERROR(ROUND((((((ROUNDDOWN((I130/5),0)*Settings!$F$7)+(J130*Settings!$I$7))+(K130*Settings!$I$11))+(ROUNDDOWN((L130/5),0)*Settings!$F$11))+(M130*Settings!$F$12)),1)),0,ROUND((((((ROUNDDOWN((I130/5),0)*Settings!$F$7)+(J130*Settings!$I$7))+(K130*Settings!$I$11))+(ROUNDDOWN((L130/5),0)*Settings!$F$11))+(M130*Settings!$F$12)),1))</f>
        <v>0</v>
      </c>
      <c r="X130" s="38">
        <f>IF(AND((N130=""),(P130="")),0,((((((ROUND((N130/5),0)*Settings!$F$7)+(O130*Settings!$I$7))+(P130*Settings!$I$11))+(ROUND((Q130/5),0)*Settings!$F$11))+(R130*Settings!$F$12))+(S130*Settings!$F$15)))</f>
        <v>0</v>
      </c>
      <c r="Y130" s="66">
        <f>ROUND((((V130*Settings!$B$21)+(W130*Settings!$B$22))+(X130*Settings!$B$23)),1)</f>
        <v>0</v>
      </c>
      <c r="Z130" s="66">
        <f>IF(ISERROR(VLOOKUP(RANK(Y130,$Y$4:$Y$182),Z$4:Z129,1,0)),RANK(Y130,$Y$4:$Y$182),IF(ISERROR(VLOOKUP((RANK(Y130,$Y$4:$Y$182)+1),Z$4:Z129,1,0)),(RANK(Y130,$Y$4:$Y$182)+1),IF(ISERROR(VLOOKUP((RANK(Y130,$Y$4:$Y$182)+2),Z$4:Z129,1,0)),(RANK(Y130,$Y$4:$Y$182)+2),(RANK(Y130,$Y$4:$Y$182)+3))))</f>
        <v>126</v>
      </c>
      <c r="AA130" t="str">
        <f t="shared" si="15"/>
        <v>Kevin Faulk</v>
      </c>
    </row>
    <row r="131" spans="1:27" ht="12.75" customHeight="1">
      <c r="A131" s="33" t="str">
        <f>ESPNData!R136</f>
        <v>Thomas Jones, FA RB</v>
      </c>
      <c r="B131" s="33" t="str">
        <f t="shared" si="12"/>
        <v>Thomas Jones</v>
      </c>
      <c r="C131" s="64" t="str">
        <f t="shared" si="13"/>
        <v>FA</v>
      </c>
      <c r="D131" s="117" t="str">
        <f>IF(OR(($A131=Settings!$A$30),ISERROR(VLOOKUP($B131,FFTodayData!$P:$Y,5,0))),"",VLOOKUP($B131,FFTodayData!$P:$Y,5,0))</f>
        <v/>
      </c>
      <c r="E131" s="33" t="str">
        <f>IF(OR(($A131=Settings!$A$30),ISERROR(VLOOKUP($B131,FFTodayData!$P:$Y,6,0))),"",VLOOKUP($B131,FFTodayData!$P:$Y,6,0))</f>
        <v/>
      </c>
      <c r="F131" s="33" t="str">
        <f>IF(OR(($A131=Settings!$A$30),ISERROR(VLOOKUP($B131,FFTodayData!$P:$Y,7,0))),"",VLOOKUP($B131,FFTodayData!$P:$Y,7,0))</f>
        <v/>
      </c>
      <c r="G131" s="33" t="str">
        <f>IF(OR(($A131=Settings!$A$30),ISERROR(VLOOKUP($B131,FFTodayData!$P:$Y,8,0))),"",VLOOKUP($B131,FFTodayData!$P:$Y,8,0))</f>
        <v/>
      </c>
      <c r="H131" s="64" t="str">
        <f>IF(OR(($A131=Settings!$A$30),ISERROR(VLOOKUP($B131,FFTodayData!$P:$Y,9,0))),"",VLOOKUP($B131,FFTodayData!$P:$Y,9,0))</f>
        <v/>
      </c>
      <c r="I131" s="117" t="str">
        <f>IF(ISERROR(VLOOKUP($A131,ESPNData!$R:$AE,9,0)),"",VLOOKUP($A131,ESPNData!$R:$AE,9,0))</f>
        <v>--</v>
      </c>
      <c r="J131" s="33" t="str">
        <f>IF(ISERROR(VLOOKUP($A131,ESPNData!$R:$AE,10,0)),"",VLOOKUP($A131,ESPNData!$R:$AE,10,0))</f>
        <v>--</v>
      </c>
      <c r="K131" s="33" t="str">
        <f>IF(ISERROR(VLOOKUP($A131,ESPNData!$R:$AE,11,0)),"",VLOOKUP($A131,ESPNData!$R:$AE,11,0))</f>
        <v>--</v>
      </c>
      <c r="L131" s="33" t="str">
        <f>IF(ISERROR(VLOOKUP($A131,ESPNData!$R:$AE,12,0)),"",VLOOKUP($A131,ESPNData!$R:$AE,12,0))</f>
        <v>--</v>
      </c>
      <c r="M131" s="64" t="str">
        <f>IF(ISERROR(VLOOKUP($A131,ESPNData!$R:$AE,13,0)),"",VLOOKUP($A131,ESPNData!$R:$AE,13,0))</f>
        <v>--</v>
      </c>
      <c r="N131" s="115" t="str">
        <f>IF(OR(($A131=Settings!$A$30),ISERROR(VLOOKUP($B131,SportslineData!$Q:$AB,4,0))),"",VLOOKUP($B131,SportslineData!$Q:$AB,4,0))</f>
        <v/>
      </c>
      <c r="O131" s="82" t="str">
        <f>IF(OR(($A131=Settings!$A$30),ISERROR(VLOOKUP($B131,SportslineData!$Q:$AB,6,0))),"",ROUND(VLOOKUP($B131,SportslineData!$Q:$AB,6,0),0))</f>
        <v/>
      </c>
      <c r="P131" s="82" t="str">
        <f>IF(OR(($A131=Settings!$A$30),ISERROR(VLOOKUP($B131,SportslineData!$Q:$AB,7,0))),"",ROUND(VLOOKUP($B131,SportslineData!$Q:$AB,7,0),0))</f>
        <v/>
      </c>
      <c r="Q131" s="82" t="str">
        <f>IF(OR(($A131=Settings!$A$30),ISERROR(VLOOKUP($B131,SportslineData!$Q:$AB,8,0))),"",VLOOKUP($B131,SportslineData!$Q:$AB,8,0))</f>
        <v/>
      </c>
      <c r="R131" s="82" t="str">
        <f>IF(OR(($A131=Settings!$A$30),ISERROR(VLOOKUP($B131,SportslineData!$Q:$AB,10,0))),"",ROUND(VLOOKUP($B131,SportslineData!$Q:$AB,10,0),0))</f>
        <v/>
      </c>
      <c r="S131" s="74" t="str">
        <f>IF(OR(($A131=Settings!$A$30),ISERROR(VLOOKUP($B131,SportslineData!$Q:$AB,11,0))),"",ROUND(VLOOKUP($B131,SportslineData!$Q:$AB,11,0),0))</f>
        <v/>
      </c>
      <c r="T131" s="117"/>
      <c r="U131" s="131">
        <f t="shared" si="14"/>
        <v>0</v>
      </c>
      <c r="V131" s="38">
        <f>IF(ISERROR(ROUND((((((ROUNDDOWN((D131/5),0)*Settings!$F$7)+(E131*Settings!$I$7))+(F131*Settings!$I$11))+(ROUNDDOWN((G131/5),0)*Settings!$F$11))+(H131*Settings!$F$12)),1)),0,ROUND((((((ROUNDDOWN((D131/5),0)*Settings!$F$7)+(E131*Settings!$I$7))+(F131*Settings!$I$11))+(ROUNDDOWN((G131/5),0)*Settings!$F$11))+(H131*Settings!$F$12)),1))</f>
        <v>0</v>
      </c>
      <c r="W131" s="38">
        <f>IF(ISERROR(ROUND((((((ROUNDDOWN((I131/5),0)*Settings!$F$7)+(J131*Settings!$I$7))+(K131*Settings!$I$11))+(ROUNDDOWN((L131/5),0)*Settings!$F$11))+(M131*Settings!$F$12)),1)),0,ROUND((((((ROUNDDOWN((I131/5),0)*Settings!$F$7)+(J131*Settings!$I$7))+(K131*Settings!$I$11))+(ROUNDDOWN((L131/5),0)*Settings!$F$11))+(M131*Settings!$F$12)),1))</f>
        <v>0</v>
      </c>
      <c r="X131" s="38">
        <f>IF(AND((N131=""),(P131="")),0,((((((ROUND((N131/5),0)*Settings!$F$7)+(O131*Settings!$I$7))+(P131*Settings!$I$11))+(ROUND((Q131/5),0)*Settings!$F$11))+(R131*Settings!$F$12))+(S131*Settings!$F$15)))</f>
        <v>0</v>
      </c>
      <c r="Y131" s="66">
        <f>ROUND((((V131*Settings!$B$21)+(W131*Settings!$B$22))+(X131*Settings!$B$23)),1)</f>
        <v>0</v>
      </c>
      <c r="Z131" s="66">
        <f>IF(ISERROR(VLOOKUP(RANK(Y131,$Y$4:$Y$182),Z$4:Z130,1,0)),RANK(Y131,$Y$4:$Y$182),IF(ISERROR(VLOOKUP((RANK(Y131,$Y$4:$Y$182)+1),Z$4:Z130,1,0)),(RANK(Y131,$Y$4:$Y$182)+1),IF(ISERROR(VLOOKUP((RANK(Y131,$Y$4:$Y$182)+2),Z$4:Z130,1,0)),(RANK(Y131,$Y$4:$Y$182)+2),(RANK(Y131,$Y$4:$Y$182)+3))))</f>
        <v>126</v>
      </c>
      <c r="AA131" t="str">
        <f t="shared" si="15"/>
        <v>Thomas Jones</v>
      </c>
    </row>
    <row r="132" spans="1:27" ht="12.75" customHeight="1">
      <c r="A132" s="33" t="str">
        <f>ESPNData!R137</f>
        <v>Sammy Morris, FA RB</v>
      </c>
      <c r="B132" s="33" t="str">
        <f t="shared" ref="B132:B163" si="16">IF(OR((A132=""),(A132=0)),"",IF(ISERROR(FIND("*",A132)),LEFT(A132,(FIND(",",A132)-1)),LEFT(A132,(FIND("*",A132)-1))))</f>
        <v>Sammy Morris</v>
      </c>
      <c r="C132" s="64" t="str">
        <f t="shared" ref="C132:C163" si="17">IF((A132=""),"",UPPER(RIGHT(LEFT(A132,(FIND("RB",A132)-2)),(LEN(LEFT(A132,(FIND("RB",A132)-2)))-(FIND(",",LEFT(A132,(FIND("RB",A132)-2)))+1)))))</f>
        <v>FA</v>
      </c>
      <c r="D132" s="117" t="str">
        <f>IF(OR(($A132=Settings!$A$30),ISERROR(VLOOKUP($B132,FFTodayData!$P:$Y,5,0))),"",VLOOKUP($B132,FFTodayData!$P:$Y,5,0))</f>
        <v/>
      </c>
      <c r="E132" s="33" t="str">
        <f>IF(OR(($A132=Settings!$A$30),ISERROR(VLOOKUP($B132,FFTodayData!$P:$Y,6,0))),"",VLOOKUP($B132,FFTodayData!$P:$Y,6,0))</f>
        <v/>
      </c>
      <c r="F132" s="33" t="str">
        <f>IF(OR(($A132=Settings!$A$30),ISERROR(VLOOKUP($B132,FFTodayData!$P:$Y,7,0))),"",VLOOKUP($B132,FFTodayData!$P:$Y,7,0))</f>
        <v/>
      </c>
      <c r="G132" s="33" t="str">
        <f>IF(OR(($A132=Settings!$A$30),ISERROR(VLOOKUP($B132,FFTodayData!$P:$Y,8,0))),"",VLOOKUP($B132,FFTodayData!$P:$Y,8,0))</f>
        <v/>
      </c>
      <c r="H132" s="64" t="str">
        <f>IF(OR(($A132=Settings!$A$30),ISERROR(VLOOKUP($B132,FFTodayData!$P:$Y,9,0))),"",VLOOKUP($B132,FFTodayData!$P:$Y,9,0))</f>
        <v/>
      </c>
      <c r="I132" s="117" t="str">
        <f>IF(ISERROR(VLOOKUP($A132,ESPNData!$R:$AE,9,0)),"",VLOOKUP($A132,ESPNData!$R:$AE,9,0))</f>
        <v>--</v>
      </c>
      <c r="J132" s="33" t="str">
        <f>IF(ISERROR(VLOOKUP($A132,ESPNData!$R:$AE,10,0)),"",VLOOKUP($A132,ESPNData!$R:$AE,10,0))</f>
        <v>--</v>
      </c>
      <c r="K132" s="33" t="str">
        <f>IF(ISERROR(VLOOKUP($A132,ESPNData!$R:$AE,11,0)),"",VLOOKUP($A132,ESPNData!$R:$AE,11,0))</f>
        <v>--</v>
      </c>
      <c r="L132" s="33" t="str">
        <f>IF(ISERROR(VLOOKUP($A132,ESPNData!$R:$AE,12,0)),"",VLOOKUP($A132,ESPNData!$R:$AE,12,0))</f>
        <v>--</v>
      </c>
      <c r="M132" s="64" t="str">
        <f>IF(ISERROR(VLOOKUP($A132,ESPNData!$R:$AE,13,0)),"",VLOOKUP($A132,ESPNData!$R:$AE,13,0))</f>
        <v>--</v>
      </c>
      <c r="N132" s="115" t="str">
        <f>IF(OR(($A132=Settings!$A$30),ISERROR(VLOOKUP($B132,SportslineData!$Q:$AB,4,0))),"",VLOOKUP($B132,SportslineData!$Q:$AB,4,0))</f>
        <v/>
      </c>
      <c r="O132" s="82" t="str">
        <f>IF(OR(($A132=Settings!$A$30),ISERROR(VLOOKUP($B132,SportslineData!$Q:$AB,6,0))),"",ROUND(VLOOKUP($B132,SportslineData!$Q:$AB,6,0),0))</f>
        <v/>
      </c>
      <c r="P132" s="82" t="str">
        <f>IF(OR(($A132=Settings!$A$30),ISERROR(VLOOKUP($B132,SportslineData!$Q:$AB,7,0))),"",ROUND(VLOOKUP($B132,SportslineData!$Q:$AB,7,0),0))</f>
        <v/>
      </c>
      <c r="Q132" s="82" t="str">
        <f>IF(OR(($A132=Settings!$A$30),ISERROR(VLOOKUP($B132,SportslineData!$Q:$AB,8,0))),"",VLOOKUP($B132,SportslineData!$Q:$AB,8,0))</f>
        <v/>
      </c>
      <c r="R132" s="82" t="str">
        <f>IF(OR(($A132=Settings!$A$30),ISERROR(VLOOKUP($B132,SportslineData!$Q:$AB,10,0))),"",ROUND(VLOOKUP($B132,SportslineData!$Q:$AB,10,0),0))</f>
        <v/>
      </c>
      <c r="S132" s="74" t="str">
        <f>IF(OR(($A132=Settings!$A$30),ISERROR(VLOOKUP($B132,SportslineData!$Q:$AB,11,0))),"",ROUND(VLOOKUP($B132,SportslineData!$Q:$AB,11,0),0))</f>
        <v/>
      </c>
      <c r="T132" s="117"/>
      <c r="U132" s="131">
        <f t="shared" ref="U132:U163" si="18">STDEV(V132:X132)</f>
        <v>0</v>
      </c>
      <c r="V132" s="38">
        <f>IF(ISERROR(ROUND((((((ROUNDDOWN((D132/5),0)*Settings!$F$7)+(E132*Settings!$I$7))+(F132*Settings!$I$11))+(ROUNDDOWN((G132/5),0)*Settings!$F$11))+(H132*Settings!$F$12)),1)),0,ROUND((((((ROUNDDOWN((D132/5),0)*Settings!$F$7)+(E132*Settings!$I$7))+(F132*Settings!$I$11))+(ROUNDDOWN((G132/5),0)*Settings!$F$11))+(H132*Settings!$F$12)),1))</f>
        <v>0</v>
      </c>
      <c r="W132" s="38">
        <f>IF(ISERROR(ROUND((((((ROUNDDOWN((I132/5),0)*Settings!$F$7)+(J132*Settings!$I$7))+(K132*Settings!$I$11))+(ROUNDDOWN((L132/5),0)*Settings!$F$11))+(M132*Settings!$F$12)),1)),0,ROUND((((((ROUNDDOWN((I132/5),0)*Settings!$F$7)+(J132*Settings!$I$7))+(K132*Settings!$I$11))+(ROUNDDOWN((L132/5),0)*Settings!$F$11))+(M132*Settings!$F$12)),1))</f>
        <v>0</v>
      </c>
      <c r="X132" s="38">
        <f>IF(AND((N132=""),(P132="")),0,((((((ROUND((N132/5),0)*Settings!$F$7)+(O132*Settings!$I$7))+(P132*Settings!$I$11))+(ROUND((Q132/5),0)*Settings!$F$11))+(R132*Settings!$F$12))+(S132*Settings!$F$15)))</f>
        <v>0</v>
      </c>
      <c r="Y132" s="66">
        <f>ROUND((((V132*Settings!$B$21)+(W132*Settings!$B$22))+(X132*Settings!$B$23)),1)</f>
        <v>0</v>
      </c>
      <c r="Z132" s="66">
        <f>IF(ISERROR(VLOOKUP(RANK(Y132,$Y$4:$Y$182),Z$4:Z131,1,0)),RANK(Y132,$Y$4:$Y$182),IF(ISERROR(VLOOKUP((RANK(Y132,$Y$4:$Y$182)+1),Z$4:Z131,1,0)),(RANK(Y132,$Y$4:$Y$182)+1),IF(ISERROR(VLOOKUP((RANK(Y132,$Y$4:$Y$182)+2),Z$4:Z131,1,0)),(RANK(Y132,$Y$4:$Y$182)+2),(RANK(Y132,$Y$4:$Y$182)+3))))</f>
        <v>126</v>
      </c>
      <c r="AA132" t="str">
        <f t="shared" ref="AA132:AA163" si="19">B132</f>
        <v>Sammy Morris</v>
      </c>
    </row>
    <row r="133" spans="1:27" ht="12.75" customHeight="1">
      <c r="A133" s="33" t="str">
        <f>ESPNData!R138</f>
        <v>LaDainian Tomlinson, FA RB</v>
      </c>
      <c r="B133" s="33" t="str">
        <f t="shared" si="16"/>
        <v>LaDainian Tomlinson</v>
      </c>
      <c r="C133" s="64" t="str">
        <f t="shared" si="17"/>
        <v>FA</v>
      </c>
      <c r="D133" s="117" t="str">
        <f>IF(OR(($A133=Settings!$A$30),ISERROR(VLOOKUP($B133,FFTodayData!$P:$Y,5,0))),"",VLOOKUP($B133,FFTodayData!$P:$Y,5,0))</f>
        <v/>
      </c>
      <c r="E133" s="33" t="str">
        <f>IF(OR(($A133=Settings!$A$30),ISERROR(VLOOKUP($B133,FFTodayData!$P:$Y,6,0))),"",VLOOKUP($B133,FFTodayData!$P:$Y,6,0))</f>
        <v/>
      </c>
      <c r="F133" s="33" t="str">
        <f>IF(OR(($A133=Settings!$A$30),ISERROR(VLOOKUP($B133,FFTodayData!$P:$Y,7,0))),"",VLOOKUP($B133,FFTodayData!$P:$Y,7,0))</f>
        <v/>
      </c>
      <c r="G133" s="33" t="str">
        <f>IF(OR(($A133=Settings!$A$30),ISERROR(VLOOKUP($B133,FFTodayData!$P:$Y,8,0))),"",VLOOKUP($B133,FFTodayData!$P:$Y,8,0))</f>
        <v/>
      </c>
      <c r="H133" s="64" t="str">
        <f>IF(OR(($A133=Settings!$A$30),ISERROR(VLOOKUP($B133,FFTodayData!$P:$Y,9,0))),"",VLOOKUP($B133,FFTodayData!$P:$Y,9,0))</f>
        <v/>
      </c>
      <c r="I133" s="117" t="str">
        <f>IF(ISERROR(VLOOKUP($A133,ESPNData!$R:$AE,9,0)),"",VLOOKUP($A133,ESPNData!$R:$AE,9,0))</f>
        <v>--</v>
      </c>
      <c r="J133" s="33" t="str">
        <f>IF(ISERROR(VLOOKUP($A133,ESPNData!$R:$AE,10,0)),"",VLOOKUP($A133,ESPNData!$R:$AE,10,0))</f>
        <v>--</v>
      </c>
      <c r="K133" s="33" t="str">
        <f>IF(ISERROR(VLOOKUP($A133,ESPNData!$R:$AE,11,0)),"",VLOOKUP($A133,ESPNData!$R:$AE,11,0))</f>
        <v>--</v>
      </c>
      <c r="L133" s="33" t="str">
        <f>IF(ISERROR(VLOOKUP($A133,ESPNData!$R:$AE,12,0)),"",VLOOKUP($A133,ESPNData!$R:$AE,12,0))</f>
        <v>--</v>
      </c>
      <c r="M133" s="64" t="str">
        <f>IF(ISERROR(VLOOKUP($A133,ESPNData!$R:$AE,13,0)),"",VLOOKUP($A133,ESPNData!$R:$AE,13,0))</f>
        <v>--</v>
      </c>
      <c r="N133" s="115" t="str">
        <f>IF(OR(($A133=Settings!$A$30),ISERROR(VLOOKUP($B133,SportslineData!$Q:$AB,4,0))),"",VLOOKUP($B133,SportslineData!$Q:$AB,4,0))</f>
        <v/>
      </c>
      <c r="O133" s="82" t="str">
        <f>IF(OR(($A133=Settings!$A$30),ISERROR(VLOOKUP($B133,SportslineData!$Q:$AB,6,0))),"",ROUND(VLOOKUP($B133,SportslineData!$Q:$AB,6,0),0))</f>
        <v/>
      </c>
      <c r="P133" s="82" t="str">
        <f>IF(OR(($A133=Settings!$A$30),ISERROR(VLOOKUP($B133,SportslineData!$Q:$AB,7,0))),"",ROUND(VLOOKUP($B133,SportslineData!$Q:$AB,7,0),0))</f>
        <v/>
      </c>
      <c r="Q133" s="82" t="str">
        <f>IF(OR(($A133=Settings!$A$30),ISERROR(VLOOKUP($B133,SportslineData!$Q:$AB,8,0))),"",VLOOKUP($B133,SportslineData!$Q:$AB,8,0))</f>
        <v/>
      </c>
      <c r="R133" s="82" t="str">
        <f>IF(OR(($A133=Settings!$A$30),ISERROR(VLOOKUP($B133,SportslineData!$Q:$AB,10,0))),"",ROUND(VLOOKUP($B133,SportslineData!$Q:$AB,10,0),0))</f>
        <v/>
      </c>
      <c r="S133" s="74" t="str">
        <f>IF(OR(($A133=Settings!$A$30),ISERROR(VLOOKUP($B133,SportslineData!$Q:$AB,11,0))),"",ROUND(VLOOKUP($B133,SportslineData!$Q:$AB,11,0),0))</f>
        <v/>
      </c>
      <c r="T133" s="117"/>
      <c r="U133" s="131">
        <f t="shared" si="18"/>
        <v>0</v>
      </c>
      <c r="V133" s="38">
        <f>IF(ISERROR(ROUND((((((ROUNDDOWN((D133/5),0)*Settings!$F$7)+(E133*Settings!$I$7))+(F133*Settings!$I$11))+(ROUNDDOWN((G133/5),0)*Settings!$F$11))+(H133*Settings!$F$12)),1)),0,ROUND((((((ROUNDDOWN((D133/5),0)*Settings!$F$7)+(E133*Settings!$I$7))+(F133*Settings!$I$11))+(ROUNDDOWN((G133/5),0)*Settings!$F$11))+(H133*Settings!$F$12)),1))</f>
        <v>0</v>
      </c>
      <c r="W133" s="38">
        <f>IF(ISERROR(ROUND((((((ROUNDDOWN((I133/5),0)*Settings!$F$7)+(J133*Settings!$I$7))+(K133*Settings!$I$11))+(ROUNDDOWN((L133/5),0)*Settings!$F$11))+(M133*Settings!$F$12)),1)),0,ROUND((((((ROUNDDOWN((I133/5),0)*Settings!$F$7)+(J133*Settings!$I$7))+(K133*Settings!$I$11))+(ROUNDDOWN((L133/5),0)*Settings!$F$11))+(M133*Settings!$F$12)),1))</f>
        <v>0</v>
      </c>
      <c r="X133" s="38">
        <f>IF(AND((N133=""),(P133="")),0,((((((ROUND((N133/5),0)*Settings!$F$7)+(O133*Settings!$I$7))+(P133*Settings!$I$11))+(ROUND((Q133/5),0)*Settings!$F$11))+(R133*Settings!$F$12))+(S133*Settings!$F$15)))</f>
        <v>0</v>
      </c>
      <c r="Y133" s="66">
        <f>ROUND((((V133*Settings!$B$21)+(W133*Settings!$B$22))+(X133*Settings!$B$23)),1)</f>
        <v>0</v>
      </c>
      <c r="Z133" s="66">
        <f>IF(ISERROR(VLOOKUP(RANK(Y133,$Y$4:$Y$182),Z$4:Z132,1,0)),RANK(Y133,$Y$4:$Y$182),IF(ISERROR(VLOOKUP((RANK(Y133,$Y$4:$Y$182)+1),Z$4:Z132,1,0)),(RANK(Y133,$Y$4:$Y$182)+1),IF(ISERROR(VLOOKUP((RANK(Y133,$Y$4:$Y$182)+2),Z$4:Z132,1,0)),(RANK(Y133,$Y$4:$Y$182)+2),(RANK(Y133,$Y$4:$Y$182)+3))))</f>
        <v>126</v>
      </c>
      <c r="AA133" t="str">
        <f t="shared" si="19"/>
        <v>LaDainian Tomlinson</v>
      </c>
    </row>
    <row r="134" spans="1:27" ht="12.75" customHeight="1">
      <c r="A134" s="33" t="str">
        <f>ESPNData!R139</f>
        <v>Moran Norris, FA RB</v>
      </c>
      <c r="B134" s="33" t="str">
        <f t="shared" si="16"/>
        <v>Moran Norris</v>
      </c>
      <c r="C134" s="64" t="str">
        <f t="shared" si="17"/>
        <v>FA</v>
      </c>
      <c r="D134" s="117" t="str">
        <f>IF(OR(($A134=Settings!$A$30),ISERROR(VLOOKUP($B134,FFTodayData!$P:$Y,5,0))),"",VLOOKUP($B134,FFTodayData!$P:$Y,5,0))</f>
        <v/>
      </c>
      <c r="E134" s="33" t="str">
        <f>IF(OR(($A134=Settings!$A$30),ISERROR(VLOOKUP($B134,FFTodayData!$P:$Y,6,0))),"",VLOOKUP($B134,FFTodayData!$P:$Y,6,0))</f>
        <v/>
      </c>
      <c r="F134" s="33" t="str">
        <f>IF(OR(($A134=Settings!$A$30),ISERROR(VLOOKUP($B134,FFTodayData!$P:$Y,7,0))),"",VLOOKUP($B134,FFTodayData!$P:$Y,7,0))</f>
        <v/>
      </c>
      <c r="G134" s="33" t="str">
        <f>IF(OR(($A134=Settings!$A$30),ISERROR(VLOOKUP($B134,FFTodayData!$P:$Y,8,0))),"",VLOOKUP($B134,FFTodayData!$P:$Y,8,0))</f>
        <v/>
      </c>
      <c r="H134" s="64" t="str">
        <f>IF(OR(($A134=Settings!$A$30),ISERROR(VLOOKUP($B134,FFTodayData!$P:$Y,9,0))),"",VLOOKUP($B134,FFTodayData!$P:$Y,9,0))</f>
        <v/>
      </c>
      <c r="I134" s="117" t="str">
        <f>IF(ISERROR(VLOOKUP($A134,ESPNData!$R:$AE,9,0)),"",VLOOKUP($A134,ESPNData!$R:$AE,9,0))</f>
        <v>--</v>
      </c>
      <c r="J134" s="33" t="str">
        <f>IF(ISERROR(VLOOKUP($A134,ESPNData!$R:$AE,10,0)),"",VLOOKUP($A134,ESPNData!$R:$AE,10,0))</f>
        <v>--</v>
      </c>
      <c r="K134" s="33" t="str">
        <f>IF(ISERROR(VLOOKUP($A134,ESPNData!$R:$AE,11,0)),"",VLOOKUP($A134,ESPNData!$R:$AE,11,0))</f>
        <v>--</v>
      </c>
      <c r="L134" s="33" t="str">
        <f>IF(ISERROR(VLOOKUP($A134,ESPNData!$R:$AE,12,0)),"",VLOOKUP($A134,ESPNData!$R:$AE,12,0))</f>
        <v>--</v>
      </c>
      <c r="M134" s="64" t="str">
        <f>IF(ISERROR(VLOOKUP($A134,ESPNData!$R:$AE,13,0)),"",VLOOKUP($A134,ESPNData!$R:$AE,13,0))</f>
        <v>--</v>
      </c>
      <c r="N134" s="115" t="str">
        <f>IF(OR(($A134=Settings!$A$30),ISERROR(VLOOKUP($B134,SportslineData!$Q:$AB,4,0))),"",VLOOKUP($B134,SportslineData!$Q:$AB,4,0))</f>
        <v/>
      </c>
      <c r="O134" s="82" t="str">
        <f>IF(OR(($A134=Settings!$A$30),ISERROR(VLOOKUP($B134,SportslineData!$Q:$AB,6,0))),"",ROUND(VLOOKUP($B134,SportslineData!$Q:$AB,6,0),0))</f>
        <v/>
      </c>
      <c r="P134" s="82" t="str">
        <f>IF(OR(($A134=Settings!$A$30),ISERROR(VLOOKUP($B134,SportslineData!$Q:$AB,7,0))),"",ROUND(VLOOKUP($B134,SportslineData!$Q:$AB,7,0),0))</f>
        <v/>
      </c>
      <c r="Q134" s="82" t="str">
        <f>IF(OR(($A134=Settings!$A$30),ISERROR(VLOOKUP($B134,SportslineData!$Q:$AB,8,0))),"",VLOOKUP($B134,SportslineData!$Q:$AB,8,0))</f>
        <v/>
      </c>
      <c r="R134" s="82" t="str">
        <f>IF(OR(($A134=Settings!$A$30),ISERROR(VLOOKUP($B134,SportslineData!$Q:$AB,10,0))),"",ROUND(VLOOKUP($B134,SportslineData!$Q:$AB,10,0),0))</f>
        <v/>
      </c>
      <c r="S134" s="74" t="str">
        <f>IF(OR(($A134=Settings!$A$30),ISERROR(VLOOKUP($B134,SportslineData!$Q:$AB,11,0))),"",ROUND(VLOOKUP($B134,SportslineData!$Q:$AB,11,0),0))</f>
        <v/>
      </c>
      <c r="T134" s="117"/>
      <c r="U134" s="131">
        <f t="shared" si="18"/>
        <v>0</v>
      </c>
      <c r="V134" s="38">
        <f>IF(ISERROR(ROUND((((((ROUNDDOWN((D134/5),0)*Settings!$F$7)+(E134*Settings!$I$7))+(F134*Settings!$I$11))+(ROUNDDOWN((G134/5),0)*Settings!$F$11))+(H134*Settings!$F$12)),1)),0,ROUND((((((ROUNDDOWN((D134/5),0)*Settings!$F$7)+(E134*Settings!$I$7))+(F134*Settings!$I$11))+(ROUNDDOWN((G134/5),0)*Settings!$F$11))+(H134*Settings!$F$12)),1))</f>
        <v>0</v>
      </c>
      <c r="W134" s="38">
        <f>IF(ISERROR(ROUND((((((ROUNDDOWN((I134/5),0)*Settings!$F$7)+(J134*Settings!$I$7))+(K134*Settings!$I$11))+(ROUNDDOWN((L134/5),0)*Settings!$F$11))+(M134*Settings!$F$12)),1)),0,ROUND((((((ROUNDDOWN((I134/5),0)*Settings!$F$7)+(J134*Settings!$I$7))+(K134*Settings!$I$11))+(ROUNDDOWN((L134/5),0)*Settings!$F$11))+(M134*Settings!$F$12)),1))</f>
        <v>0</v>
      </c>
      <c r="X134" s="38">
        <f>IF(AND((N134=""),(P134="")),0,((((((ROUND((N134/5),0)*Settings!$F$7)+(O134*Settings!$I$7))+(P134*Settings!$I$11))+(ROUND((Q134/5),0)*Settings!$F$11))+(R134*Settings!$F$12))+(S134*Settings!$F$15)))</f>
        <v>0</v>
      </c>
      <c r="Y134" s="66">
        <f>ROUND((((V134*Settings!$B$21)+(W134*Settings!$B$22))+(X134*Settings!$B$23)),1)</f>
        <v>0</v>
      </c>
      <c r="Z134" s="66">
        <f>IF(ISERROR(VLOOKUP(RANK(Y134,$Y$4:$Y$182),Z$4:Z133,1,0)),RANK(Y134,$Y$4:$Y$182),IF(ISERROR(VLOOKUP((RANK(Y134,$Y$4:$Y$182)+1),Z$4:Z133,1,0)),(RANK(Y134,$Y$4:$Y$182)+1),IF(ISERROR(VLOOKUP((RANK(Y134,$Y$4:$Y$182)+2),Z$4:Z133,1,0)),(RANK(Y134,$Y$4:$Y$182)+2),(RANK(Y134,$Y$4:$Y$182)+3))))</f>
        <v>126</v>
      </c>
      <c r="AA134" t="str">
        <f t="shared" si="19"/>
        <v>Moran Norris</v>
      </c>
    </row>
    <row r="135" spans="1:27" ht="12.75" customHeight="1">
      <c r="A135" s="33" t="str">
        <f>ESPNData!R140</f>
        <v>Correll Buckhalter, FA RB</v>
      </c>
      <c r="B135" s="33" t="str">
        <f t="shared" si="16"/>
        <v>Correll Buckhalter</v>
      </c>
      <c r="C135" s="64" t="str">
        <f t="shared" si="17"/>
        <v>FA</v>
      </c>
      <c r="D135" s="117" t="str">
        <f>IF(OR(($A135=Settings!$A$30),ISERROR(VLOOKUP($B135,FFTodayData!$P:$Y,5,0))),"",VLOOKUP($B135,FFTodayData!$P:$Y,5,0))</f>
        <v/>
      </c>
      <c r="E135" s="33" t="str">
        <f>IF(OR(($A135=Settings!$A$30),ISERROR(VLOOKUP($B135,FFTodayData!$P:$Y,6,0))),"",VLOOKUP($B135,FFTodayData!$P:$Y,6,0))</f>
        <v/>
      </c>
      <c r="F135" s="33" t="str">
        <f>IF(OR(($A135=Settings!$A$30),ISERROR(VLOOKUP($B135,FFTodayData!$P:$Y,7,0))),"",VLOOKUP($B135,FFTodayData!$P:$Y,7,0))</f>
        <v/>
      </c>
      <c r="G135" s="33" t="str">
        <f>IF(OR(($A135=Settings!$A$30),ISERROR(VLOOKUP($B135,FFTodayData!$P:$Y,8,0))),"",VLOOKUP($B135,FFTodayData!$P:$Y,8,0))</f>
        <v/>
      </c>
      <c r="H135" s="64" t="str">
        <f>IF(OR(($A135=Settings!$A$30),ISERROR(VLOOKUP($B135,FFTodayData!$P:$Y,9,0))),"",VLOOKUP($B135,FFTodayData!$P:$Y,9,0))</f>
        <v/>
      </c>
      <c r="I135" s="117" t="str">
        <f>IF(ISERROR(VLOOKUP($A135,ESPNData!$R:$AE,9,0)),"",VLOOKUP($A135,ESPNData!$R:$AE,9,0))</f>
        <v>--</v>
      </c>
      <c r="J135" s="33" t="str">
        <f>IF(ISERROR(VLOOKUP($A135,ESPNData!$R:$AE,10,0)),"",VLOOKUP($A135,ESPNData!$R:$AE,10,0))</f>
        <v>--</v>
      </c>
      <c r="K135" s="33" t="str">
        <f>IF(ISERROR(VLOOKUP($A135,ESPNData!$R:$AE,11,0)),"",VLOOKUP($A135,ESPNData!$R:$AE,11,0))</f>
        <v>--</v>
      </c>
      <c r="L135" s="33" t="str">
        <f>IF(ISERROR(VLOOKUP($A135,ESPNData!$R:$AE,12,0)),"",VLOOKUP($A135,ESPNData!$R:$AE,12,0))</f>
        <v>--</v>
      </c>
      <c r="M135" s="64" t="str">
        <f>IF(ISERROR(VLOOKUP($A135,ESPNData!$R:$AE,13,0)),"",VLOOKUP($A135,ESPNData!$R:$AE,13,0))</f>
        <v>--</v>
      </c>
      <c r="N135" s="115" t="str">
        <f>IF(OR(($A135=Settings!$A$30),ISERROR(VLOOKUP($B135,SportslineData!$Q:$AB,4,0))),"",VLOOKUP($B135,SportslineData!$Q:$AB,4,0))</f>
        <v/>
      </c>
      <c r="O135" s="82" t="str">
        <f>IF(OR(($A135=Settings!$A$30),ISERROR(VLOOKUP($B135,SportslineData!$Q:$AB,6,0))),"",ROUND(VLOOKUP($B135,SportslineData!$Q:$AB,6,0),0))</f>
        <v/>
      </c>
      <c r="P135" s="82" t="str">
        <f>IF(OR(($A135=Settings!$A$30),ISERROR(VLOOKUP($B135,SportslineData!$Q:$AB,7,0))),"",ROUND(VLOOKUP($B135,SportslineData!$Q:$AB,7,0),0))</f>
        <v/>
      </c>
      <c r="Q135" s="82" t="str">
        <f>IF(OR(($A135=Settings!$A$30),ISERROR(VLOOKUP($B135,SportslineData!$Q:$AB,8,0))),"",VLOOKUP($B135,SportslineData!$Q:$AB,8,0))</f>
        <v/>
      </c>
      <c r="R135" s="82" t="str">
        <f>IF(OR(($A135=Settings!$A$30),ISERROR(VLOOKUP($B135,SportslineData!$Q:$AB,10,0))),"",ROUND(VLOOKUP($B135,SportslineData!$Q:$AB,10,0),0))</f>
        <v/>
      </c>
      <c r="S135" s="74" t="str">
        <f>IF(OR(($A135=Settings!$A$30),ISERROR(VLOOKUP($B135,SportslineData!$Q:$AB,11,0))),"",ROUND(VLOOKUP($B135,SportslineData!$Q:$AB,11,0),0))</f>
        <v/>
      </c>
      <c r="T135" s="117"/>
      <c r="U135" s="131">
        <f t="shared" si="18"/>
        <v>0</v>
      </c>
      <c r="V135" s="38">
        <f>IF(ISERROR(ROUND((((((ROUNDDOWN((D135/5),0)*Settings!$F$7)+(E135*Settings!$I$7))+(F135*Settings!$I$11))+(ROUNDDOWN((G135/5),0)*Settings!$F$11))+(H135*Settings!$F$12)),1)),0,ROUND((((((ROUNDDOWN((D135/5),0)*Settings!$F$7)+(E135*Settings!$I$7))+(F135*Settings!$I$11))+(ROUNDDOWN((G135/5),0)*Settings!$F$11))+(H135*Settings!$F$12)),1))</f>
        <v>0</v>
      </c>
      <c r="W135" s="38">
        <f>IF(ISERROR(ROUND((((((ROUNDDOWN((I135/5),0)*Settings!$F$7)+(J135*Settings!$I$7))+(K135*Settings!$I$11))+(ROUNDDOWN((L135/5),0)*Settings!$F$11))+(M135*Settings!$F$12)),1)),0,ROUND((((((ROUNDDOWN((I135/5),0)*Settings!$F$7)+(J135*Settings!$I$7))+(K135*Settings!$I$11))+(ROUNDDOWN((L135/5),0)*Settings!$F$11))+(M135*Settings!$F$12)),1))</f>
        <v>0</v>
      </c>
      <c r="X135" s="38">
        <f>IF(AND((N135=""),(P135="")),0,((((((ROUND((N135/5),0)*Settings!$F$7)+(O135*Settings!$I$7))+(P135*Settings!$I$11))+(ROUND((Q135/5),0)*Settings!$F$11))+(R135*Settings!$F$12))+(S135*Settings!$F$15)))</f>
        <v>0</v>
      </c>
      <c r="Y135" s="66">
        <f>ROUND((((V135*Settings!$B$21)+(W135*Settings!$B$22))+(X135*Settings!$B$23)),1)</f>
        <v>0</v>
      </c>
      <c r="Z135" s="66">
        <f>IF(ISERROR(VLOOKUP(RANK(Y135,$Y$4:$Y$182),Z$4:Z134,1,0)),RANK(Y135,$Y$4:$Y$182),IF(ISERROR(VLOOKUP((RANK(Y135,$Y$4:$Y$182)+1),Z$4:Z134,1,0)),(RANK(Y135,$Y$4:$Y$182)+1),IF(ISERROR(VLOOKUP((RANK(Y135,$Y$4:$Y$182)+2),Z$4:Z134,1,0)),(RANK(Y135,$Y$4:$Y$182)+2),(RANK(Y135,$Y$4:$Y$182)+3))))</f>
        <v>126</v>
      </c>
      <c r="AA135" t="str">
        <f t="shared" si="19"/>
        <v>Correll Buckhalter</v>
      </c>
    </row>
    <row r="136" spans="1:27" ht="12.75" customHeight="1">
      <c r="A136" s="33" t="str">
        <f>ESPNData!R141</f>
        <v>Chris Taylor, FA RB</v>
      </c>
      <c r="B136" s="33" t="str">
        <f t="shared" si="16"/>
        <v>Chris Taylor</v>
      </c>
      <c r="C136" s="64" t="str">
        <f t="shared" si="17"/>
        <v>FA</v>
      </c>
      <c r="D136" s="117" t="str">
        <f>IF(OR(($A136=Settings!$A$30),ISERROR(VLOOKUP($B136,FFTodayData!$P:$Y,5,0))),"",VLOOKUP($B136,FFTodayData!$P:$Y,5,0))</f>
        <v/>
      </c>
      <c r="E136" s="33" t="str">
        <f>IF(OR(($A136=Settings!$A$30),ISERROR(VLOOKUP($B136,FFTodayData!$P:$Y,6,0))),"",VLOOKUP($B136,FFTodayData!$P:$Y,6,0))</f>
        <v/>
      </c>
      <c r="F136" s="33" t="str">
        <f>IF(OR(($A136=Settings!$A$30),ISERROR(VLOOKUP($B136,FFTodayData!$P:$Y,7,0))),"",VLOOKUP($B136,FFTodayData!$P:$Y,7,0))</f>
        <v/>
      </c>
      <c r="G136" s="33" t="str">
        <f>IF(OR(($A136=Settings!$A$30),ISERROR(VLOOKUP($B136,FFTodayData!$P:$Y,8,0))),"",VLOOKUP($B136,FFTodayData!$P:$Y,8,0))</f>
        <v/>
      </c>
      <c r="H136" s="64" t="str">
        <f>IF(OR(($A136=Settings!$A$30),ISERROR(VLOOKUP($B136,FFTodayData!$P:$Y,9,0))),"",VLOOKUP($B136,FFTodayData!$P:$Y,9,0))</f>
        <v/>
      </c>
      <c r="I136" s="117" t="str">
        <f>IF(ISERROR(VLOOKUP($A136,ESPNData!$R:$AE,9,0)),"",VLOOKUP($A136,ESPNData!$R:$AE,9,0))</f>
        <v>--</v>
      </c>
      <c r="J136" s="33" t="str">
        <f>IF(ISERROR(VLOOKUP($A136,ESPNData!$R:$AE,10,0)),"",VLOOKUP($A136,ESPNData!$R:$AE,10,0))</f>
        <v>--</v>
      </c>
      <c r="K136" s="33" t="str">
        <f>IF(ISERROR(VLOOKUP($A136,ESPNData!$R:$AE,11,0)),"",VLOOKUP($A136,ESPNData!$R:$AE,11,0))</f>
        <v>--</v>
      </c>
      <c r="L136" s="33" t="str">
        <f>IF(ISERROR(VLOOKUP($A136,ESPNData!$R:$AE,12,0)),"",VLOOKUP($A136,ESPNData!$R:$AE,12,0))</f>
        <v>--</v>
      </c>
      <c r="M136" s="64" t="str">
        <f>IF(ISERROR(VLOOKUP($A136,ESPNData!$R:$AE,13,0)),"",VLOOKUP($A136,ESPNData!$R:$AE,13,0))</f>
        <v>--</v>
      </c>
      <c r="N136" s="115" t="str">
        <f>IF(OR(($A136=Settings!$A$30),ISERROR(VLOOKUP($B136,SportslineData!$Q:$AB,4,0))),"",VLOOKUP($B136,SportslineData!$Q:$AB,4,0))</f>
        <v/>
      </c>
      <c r="O136" s="82" t="str">
        <f>IF(OR(($A136=Settings!$A$30),ISERROR(VLOOKUP($B136,SportslineData!$Q:$AB,6,0))),"",ROUND(VLOOKUP($B136,SportslineData!$Q:$AB,6,0),0))</f>
        <v/>
      </c>
      <c r="P136" s="82" t="str">
        <f>IF(OR(($A136=Settings!$A$30),ISERROR(VLOOKUP($B136,SportslineData!$Q:$AB,7,0))),"",ROUND(VLOOKUP($B136,SportslineData!$Q:$AB,7,0),0))</f>
        <v/>
      </c>
      <c r="Q136" s="82" t="str">
        <f>IF(OR(($A136=Settings!$A$30),ISERROR(VLOOKUP($B136,SportslineData!$Q:$AB,8,0))),"",VLOOKUP($B136,SportslineData!$Q:$AB,8,0))</f>
        <v/>
      </c>
      <c r="R136" s="82" t="str">
        <f>IF(OR(($A136=Settings!$A$30),ISERROR(VLOOKUP($B136,SportslineData!$Q:$AB,10,0))),"",ROUND(VLOOKUP($B136,SportslineData!$Q:$AB,10,0),0))</f>
        <v/>
      </c>
      <c r="S136" s="74" t="str">
        <f>IF(OR(($A136=Settings!$A$30),ISERROR(VLOOKUP($B136,SportslineData!$Q:$AB,11,0))),"",ROUND(VLOOKUP($B136,SportslineData!$Q:$AB,11,0),0))</f>
        <v/>
      </c>
      <c r="T136" s="117"/>
      <c r="U136" s="131">
        <f t="shared" si="18"/>
        <v>0</v>
      </c>
      <c r="V136" s="38">
        <f>IF(ISERROR(ROUND((((((ROUNDDOWN((D136/5),0)*Settings!$F$7)+(E136*Settings!$I$7))+(F136*Settings!$I$11))+(ROUNDDOWN((G136/5),0)*Settings!$F$11))+(H136*Settings!$F$12)),1)),0,ROUND((((((ROUNDDOWN((D136/5),0)*Settings!$F$7)+(E136*Settings!$I$7))+(F136*Settings!$I$11))+(ROUNDDOWN((G136/5),0)*Settings!$F$11))+(H136*Settings!$F$12)),1))</f>
        <v>0</v>
      </c>
      <c r="W136" s="38">
        <f>IF(ISERROR(ROUND((((((ROUNDDOWN((I136/5),0)*Settings!$F$7)+(J136*Settings!$I$7))+(K136*Settings!$I$11))+(ROUNDDOWN((L136/5),0)*Settings!$F$11))+(M136*Settings!$F$12)),1)),0,ROUND((((((ROUNDDOWN((I136/5),0)*Settings!$F$7)+(J136*Settings!$I$7))+(K136*Settings!$I$11))+(ROUNDDOWN((L136/5),0)*Settings!$F$11))+(M136*Settings!$F$12)),1))</f>
        <v>0</v>
      </c>
      <c r="X136" s="38">
        <f>IF(AND((N136=""),(P136="")),0,((((((ROUND((N136/5),0)*Settings!$F$7)+(O136*Settings!$I$7))+(P136*Settings!$I$11))+(ROUND((Q136/5),0)*Settings!$F$11))+(R136*Settings!$F$12))+(S136*Settings!$F$15)))</f>
        <v>0</v>
      </c>
      <c r="Y136" s="66">
        <f>ROUND((((V136*Settings!$B$21)+(W136*Settings!$B$22))+(X136*Settings!$B$23)),1)</f>
        <v>0</v>
      </c>
      <c r="Z136" s="66">
        <f>IF(ISERROR(VLOOKUP(RANK(Y136,$Y$4:$Y$182),Z$4:Z135,1,0)),RANK(Y136,$Y$4:$Y$182),IF(ISERROR(VLOOKUP((RANK(Y136,$Y$4:$Y$182)+1),Z$4:Z135,1,0)),(RANK(Y136,$Y$4:$Y$182)+1),IF(ISERROR(VLOOKUP((RANK(Y136,$Y$4:$Y$182)+2),Z$4:Z135,1,0)),(RANK(Y136,$Y$4:$Y$182)+2),(RANK(Y136,$Y$4:$Y$182)+3))))</f>
        <v>126</v>
      </c>
      <c r="AA136" t="str">
        <f t="shared" si="19"/>
        <v>Chris Taylor</v>
      </c>
    </row>
    <row r="137" spans="1:27" ht="12.75" customHeight="1">
      <c r="A137" s="33" t="str">
        <f>ESPNData!R142</f>
        <v>Dominic Rhodes, FA RB</v>
      </c>
      <c r="B137" s="33" t="str">
        <f t="shared" si="16"/>
        <v>Dominic Rhodes</v>
      </c>
      <c r="C137" s="64" t="str">
        <f t="shared" si="17"/>
        <v>FA</v>
      </c>
      <c r="D137" s="117" t="str">
        <f>IF(OR(($A137=Settings!$A$30),ISERROR(VLOOKUP($B137,FFTodayData!$P:$Y,5,0))),"",VLOOKUP($B137,FFTodayData!$P:$Y,5,0))</f>
        <v/>
      </c>
      <c r="E137" s="33" t="str">
        <f>IF(OR(($A137=Settings!$A$30),ISERROR(VLOOKUP($B137,FFTodayData!$P:$Y,6,0))),"",VLOOKUP($B137,FFTodayData!$P:$Y,6,0))</f>
        <v/>
      </c>
      <c r="F137" s="33" t="str">
        <f>IF(OR(($A137=Settings!$A$30),ISERROR(VLOOKUP($B137,FFTodayData!$P:$Y,7,0))),"",VLOOKUP($B137,FFTodayData!$P:$Y,7,0))</f>
        <v/>
      </c>
      <c r="G137" s="33" t="str">
        <f>IF(OR(($A137=Settings!$A$30),ISERROR(VLOOKUP($B137,FFTodayData!$P:$Y,8,0))),"",VLOOKUP($B137,FFTodayData!$P:$Y,8,0))</f>
        <v/>
      </c>
      <c r="H137" s="64" t="str">
        <f>IF(OR(($A137=Settings!$A$30),ISERROR(VLOOKUP($B137,FFTodayData!$P:$Y,9,0))),"",VLOOKUP($B137,FFTodayData!$P:$Y,9,0))</f>
        <v/>
      </c>
      <c r="I137" s="117" t="str">
        <f>IF(ISERROR(VLOOKUP($A137,ESPNData!$R:$AE,9,0)),"",VLOOKUP($A137,ESPNData!$R:$AE,9,0))</f>
        <v>--</v>
      </c>
      <c r="J137" s="33" t="str">
        <f>IF(ISERROR(VLOOKUP($A137,ESPNData!$R:$AE,10,0)),"",VLOOKUP($A137,ESPNData!$R:$AE,10,0))</f>
        <v>--</v>
      </c>
      <c r="K137" s="33" t="str">
        <f>IF(ISERROR(VLOOKUP($A137,ESPNData!$R:$AE,11,0)),"",VLOOKUP($A137,ESPNData!$R:$AE,11,0))</f>
        <v>--</v>
      </c>
      <c r="L137" s="33" t="str">
        <f>IF(ISERROR(VLOOKUP($A137,ESPNData!$R:$AE,12,0)),"",VLOOKUP($A137,ESPNData!$R:$AE,12,0))</f>
        <v>--</v>
      </c>
      <c r="M137" s="64" t="str">
        <f>IF(ISERROR(VLOOKUP($A137,ESPNData!$R:$AE,13,0)),"",VLOOKUP($A137,ESPNData!$R:$AE,13,0))</f>
        <v>--</v>
      </c>
      <c r="N137" s="115" t="str">
        <f>IF(OR(($A137=Settings!$A$30),ISERROR(VLOOKUP($B137,SportslineData!$Q:$AB,4,0))),"",VLOOKUP($B137,SportslineData!$Q:$AB,4,0))</f>
        <v/>
      </c>
      <c r="O137" s="82" t="str">
        <f>IF(OR(($A137=Settings!$A$30),ISERROR(VLOOKUP($B137,SportslineData!$Q:$AB,6,0))),"",ROUND(VLOOKUP($B137,SportslineData!$Q:$AB,6,0),0))</f>
        <v/>
      </c>
      <c r="P137" s="82" t="str">
        <f>IF(OR(($A137=Settings!$A$30),ISERROR(VLOOKUP($B137,SportslineData!$Q:$AB,7,0))),"",ROUND(VLOOKUP($B137,SportslineData!$Q:$AB,7,0),0))</f>
        <v/>
      </c>
      <c r="Q137" s="82" t="str">
        <f>IF(OR(($A137=Settings!$A$30),ISERROR(VLOOKUP($B137,SportslineData!$Q:$AB,8,0))),"",VLOOKUP($B137,SportslineData!$Q:$AB,8,0))</f>
        <v/>
      </c>
      <c r="R137" s="82" t="str">
        <f>IF(OR(($A137=Settings!$A$30),ISERROR(VLOOKUP($B137,SportslineData!$Q:$AB,10,0))),"",ROUND(VLOOKUP($B137,SportslineData!$Q:$AB,10,0),0))</f>
        <v/>
      </c>
      <c r="S137" s="74" t="str">
        <f>IF(OR(($A137=Settings!$A$30),ISERROR(VLOOKUP($B137,SportslineData!$Q:$AB,11,0))),"",ROUND(VLOOKUP($B137,SportslineData!$Q:$AB,11,0),0))</f>
        <v/>
      </c>
      <c r="T137" s="117"/>
      <c r="U137" s="131">
        <f t="shared" si="18"/>
        <v>0</v>
      </c>
      <c r="V137" s="38">
        <f>IF(ISERROR(ROUND((((((ROUNDDOWN((D137/5),0)*Settings!$F$7)+(E137*Settings!$I$7))+(F137*Settings!$I$11))+(ROUNDDOWN((G137/5),0)*Settings!$F$11))+(H137*Settings!$F$12)),1)),0,ROUND((((((ROUNDDOWN((D137/5),0)*Settings!$F$7)+(E137*Settings!$I$7))+(F137*Settings!$I$11))+(ROUNDDOWN((G137/5),0)*Settings!$F$11))+(H137*Settings!$F$12)),1))</f>
        <v>0</v>
      </c>
      <c r="W137" s="38">
        <f>IF(ISERROR(ROUND((((((ROUNDDOWN((I137/5),0)*Settings!$F$7)+(J137*Settings!$I$7))+(K137*Settings!$I$11))+(ROUNDDOWN((L137/5),0)*Settings!$F$11))+(M137*Settings!$F$12)),1)),0,ROUND((((((ROUNDDOWN((I137/5),0)*Settings!$F$7)+(J137*Settings!$I$7))+(K137*Settings!$I$11))+(ROUNDDOWN((L137/5),0)*Settings!$F$11))+(M137*Settings!$F$12)),1))</f>
        <v>0</v>
      </c>
      <c r="X137" s="38">
        <f>IF(AND((N137=""),(P137="")),0,((((((ROUND((N137/5),0)*Settings!$F$7)+(O137*Settings!$I$7))+(P137*Settings!$I$11))+(ROUND((Q137/5),0)*Settings!$F$11))+(R137*Settings!$F$12))+(S137*Settings!$F$15)))</f>
        <v>0</v>
      </c>
      <c r="Y137" s="66">
        <f>ROUND((((V137*Settings!$B$21)+(W137*Settings!$B$22))+(X137*Settings!$B$23)),1)</f>
        <v>0</v>
      </c>
      <c r="Z137" s="66">
        <f>IF(ISERROR(VLOOKUP(RANK(Y137,$Y$4:$Y$182),Z$4:Z136,1,0)),RANK(Y137,$Y$4:$Y$182),IF(ISERROR(VLOOKUP((RANK(Y137,$Y$4:$Y$182)+1),Z$4:Z136,1,0)),(RANK(Y137,$Y$4:$Y$182)+1),IF(ISERROR(VLOOKUP((RANK(Y137,$Y$4:$Y$182)+2),Z$4:Z136,1,0)),(RANK(Y137,$Y$4:$Y$182)+2),(RANK(Y137,$Y$4:$Y$182)+3))))</f>
        <v>126</v>
      </c>
      <c r="AA137" t="str">
        <f t="shared" si="19"/>
        <v>Dominic Rhodes</v>
      </c>
    </row>
    <row r="138" spans="1:27" ht="12.75" customHeight="1">
      <c r="A138" s="33" t="str">
        <f>ESPNData!R143</f>
        <v>Clinton Portis, FA RB</v>
      </c>
      <c r="B138" s="33" t="str">
        <f t="shared" si="16"/>
        <v>Clinton Portis</v>
      </c>
      <c r="C138" s="64" t="str">
        <f t="shared" si="17"/>
        <v>FA</v>
      </c>
      <c r="D138" s="117" t="str">
        <f>IF(OR(($A138=Settings!$A$30),ISERROR(VLOOKUP($B138,FFTodayData!$P:$Y,5,0))),"",VLOOKUP($B138,FFTodayData!$P:$Y,5,0))</f>
        <v/>
      </c>
      <c r="E138" s="33" t="str">
        <f>IF(OR(($A138=Settings!$A$30),ISERROR(VLOOKUP($B138,FFTodayData!$P:$Y,6,0))),"",VLOOKUP($B138,FFTodayData!$P:$Y,6,0))</f>
        <v/>
      </c>
      <c r="F138" s="33" t="str">
        <f>IF(OR(($A138=Settings!$A$30),ISERROR(VLOOKUP($B138,FFTodayData!$P:$Y,7,0))),"",VLOOKUP($B138,FFTodayData!$P:$Y,7,0))</f>
        <v/>
      </c>
      <c r="G138" s="33" t="str">
        <f>IF(OR(($A138=Settings!$A$30),ISERROR(VLOOKUP($B138,FFTodayData!$P:$Y,8,0))),"",VLOOKUP($B138,FFTodayData!$P:$Y,8,0))</f>
        <v/>
      </c>
      <c r="H138" s="64" t="str">
        <f>IF(OR(($A138=Settings!$A$30),ISERROR(VLOOKUP($B138,FFTodayData!$P:$Y,9,0))),"",VLOOKUP($B138,FFTodayData!$P:$Y,9,0))</f>
        <v/>
      </c>
      <c r="I138" s="117" t="str">
        <f>IF(ISERROR(VLOOKUP($A138,ESPNData!$R:$AE,9,0)),"",VLOOKUP($A138,ESPNData!$R:$AE,9,0))</f>
        <v>--</v>
      </c>
      <c r="J138" s="33" t="str">
        <f>IF(ISERROR(VLOOKUP($A138,ESPNData!$R:$AE,10,0)),"",VLOOKUP($A138,ESPNData!$R:$AE,10,0))</f>
        <v>--</v>
      </c>
      <c r="K138" s="33" t="str">
        <f>IF(ISERROR(VLOOKUP($A138,ESPNData!$R:$AE,11,0)),"",VLOOKUP($A138,ESPNData!$R:$AE,11,0))</f>
        <v>--</v>
      </c>
      <c r="L138" s="33" t="str">
        <f>IF(ISERROR(VLOOKUP($A138,ESPNData!$R:$AE,12,0)),"",VLOOKUP($A138,ESPNData!$R:$AE,12,0))</f>
        <v>--</v>
      </c>
      <c r="M138" s="64" t="str">
        <f>IF(ISERROR(VLOOKUP($A138,ESPNData!$R:$AE,13,0)),"",VLOOKUP($A138,ESPNData!$R:$AE,13,0))</f>
        <v>--</v>
      </c>
      <c r="N138" s="115" t="str">
        <f>IF(OR(($A138=Settings!$A$30),ISERROR(VLOOKUP($B138,SportslineData!$Q:$AB,4,0))),"",VLOOKUP($B138,SportslineData!$Q:$AB,4,0))</f>
        <v/>
      </c>
      <c r="O138" s="82" t="str">
        <f>IF(OR(($A138=Settings!$A$30),ISERROR(VLOOKUP($B138,SportslineData!$Q:$AB,6,0))),"",ROUND(VLOOKUP($B138,SportslineData!$Q:$AB,6,0),0))</f>
        <v/>
      </c>
      <c r="P138" s="82" t="str">
        <f>IF(OR(($A138=Settings!$A$30),ISERROR(VLOOKUP($B138,SportslineData!$Q:$AB,7,0))),"",ROUND(VLOOKUP($B138,SportslineData!$Q:$AB,7,0),0))</f>
        <v/>
      </c>
      <c r="Q138" s="82" t="str">
        <f>IF(OR(($A138=Settings!$A$30),ISERROR(VLOOKUP($B138,SportslineData!$Q:$AB,8,0))),"",VLOOKUP($B138,SportslineData!$Q:$AB,8,0))</f>
        <v/>
      </c>
      <c r="R138" s="82" t="str">
        <f>IF(OR(($A138=Settings!$A$30),ISERROR(VLOOKUP($B138,SportslineData!$Q:$AB,10,0))),"",ROUND(VLOOKUP($B138,SportslineData!$Q:$AB,10,0),0))</f>
        <v/>
      </c>
      <c r="S138" s="74" t="str">
        <f>IF(OR(($A138=Settings!$A$30),ISERROR(VLOOKUP($B138,SportslineData!$Q:$AB,11,0))),"",ROUND(VLOOKUP($B138,SportslineData!$Q:$AB,11,0),0))</f>
        <v/>
      </c>
      <c r="T138" s="117"/>
      <c r="U138" s="131">
        <f t="shared" si="18"/>
        <v>0</v>
      </c>
      <c r="V138" s="38">
        <f>IF(ISERROR(ROUND((((((ROUNDDOWN((D138/5),0)*Settings!$F$7)+(E138*Settings!$I$7))+(F138*Settings!$I$11))+(ROUNDDOWN((G138/5),0)*Settings!$F$11))+(H138*Settings!$F$12)),1)),0,ROUND((((((ROUNDDOWN((D138/5),0)*Settings!$F$7)+(E138*Settings!$I$7))+(F138*Settings!$I$11))+(ROUNDDOWN((G138/5),0)*Settings!$F$11))+(H138*Settings!$F$12)),1))</f>
        <v>0</v>
      </c>
      <c r="W138" s="38">
        <f>IF(ISERROR(ROUND((((((ROUNDDOWN((I138/5),0)*Settings!$F$7)+(J138*Settings!$I$7))+(K138*Settings!$I$11))+(ROUNDDOWN((L138/5),0)*Settings!$F$11))+(M138*Settings!$F$12)),1)),0,ROUND((((((ROUNDDOWN((I138/5),0)*Settings!$F$7)+(J138*Settings!$I$7))+(K138*Settings!$I$11))+(ROUNDDOWN((L138/5),0)*Settings!$F$11))+(M138*Settings!$F$12)),1))</f>
        <v>0</v>
      </c>
      <c r="X138" s="38">
        <f>IF(AND((N138=""),(P138="")),0,((((((ROUND((N138/5),0)*Settings!$F$7)+(O138*Settings!$I$7))+(P138*Settings!$I$11))+(ROUND((Q138/5),0)*Settings!$F$11))+(R138*Settings!$F$12))+(S138*Settings!$F$15)))</f>
        <v>0</v>
      </c>
      <c r="Y138" s="66">
        <f>ROUND((((V138*Settings!$B$21)+(W138*Settings!$B$22))+(X138*Settings!$B$23)),1)</f>
        <v>0</v>
      </c>
      <c r="Z138" s="66">
        <f>IF(ISERROR(VLOOKUP(RANK(Y138,$Y$4:$Y$182),Z$4:Z137,1,0)),RANK(Y138,$Y$4:$Y$182),IF(ISERROR(VLOOKUP((RANK(Y138,$Y$4:$Y$182)+1),Z$4:Z137,1,0)),(RANK(Y138,$Y$4:$Y$182)+1),IF(ISERROR(VLOOKUP((RANK(Y138,$Y$4:$Y$182)+2),Z$4:Z137,1,0)),(RANK(Y138,$Y$4:$Y$182)+2),(RANK(Y138,$Y$4:$Y$182)+3))))</f>
        <v>126</v>
      </c>
      <c r="AA138" t="str">
        <f t="shared" si="19"/>
        <v>Clinton Portis</v>
      </c>
    </row>
    <row r="139" spans="1:27" ht="12.75" customHeight="1">
      <c r="A139" s="33" t="str">
        <f>ESPNData!R144</f>
        <v>Maurice Morris, FA RB</v>
      </c>
      <c r="B139" s="33" t="str">
        <f t="shared" si="16"/>
        <v>Maurice Morris</v>
      </c>
      <c r="C139" s="64" t="str">
        <f t="shared" si="17"/>
        <v>FA</v>
      </c>
      <c r="D139" s="117" t="str">
        <f>IF(OR(($A139=Settings!$A$30),ISERROR(VLOOKUP($B139,FFTodayData!$P:$Y,5,0))),"",VLOOKUP($B139,FFTodayData!$P:$Y,5,0))</f>
        <v/>
      </c>
      <c r="E139" s="33" t="str">
        <f>IF(OR(($A139=Settings!$A$30),ISERROR(VLOOKUP($B139,FFTodayData!$P:$Y,6,0))),"",VLOOKUP($B139,FFTodayData!$P:$Y,6,0))</f>
        <v/>
      </c>
      <c r="F139" s="33" t="str">
        <f>IF(OR(($A139=Settings!$A$30),ISERROR(VLOOKUP($B139,FFTodayData!$P:$Y,7,0))),"",VLOOKUP($B139,FFTodayData!$P:$Y,7,0))</f>
        <v/>
      </c>
      <c r="G139" s="33" t="str">
        <f>IF(OR(($A139=Settings!$A$30),ISERROR(VLOOKUP($B139,FFTodayData!$P:$Y,8,0))),"",VLOOKUP($B139,FFTodayData!$P:$Y,8,0))</f>
        <v/>
      </c>
      <c r="H139" s="64" t="str">
        <f>IF(OR(($A139=Settings!$A$30),ISERROR(VLOOKUP($B139,FFTodayData!$P:$Y,9,0))),"",VLOOKUP($B139,FFTodayData!$P:$Y,9,0))</f>
        <v/>
      </c>
      <c r="I139" s="117" t="str">
        <f>IF(ISERROR(VLOOKUP($A139,ESPNData!$R:$AE,9,0)),"",VLOOKUP($A139,ESPNData!$R:$AE,9,0))</f>
        <v>--</v>
      </c>
      <c r="J139" s="33" t="str">
        <f>IF(ISERROR(VLOOKUP($A139,ESPNData!$R:$AE,10,0)),"",VLOOKUP($A139,ESPNData!$R:$AE,10,0))</f>
        <v>--</v>
      </c>
      <c r="K139" s="33" t="str">
        <f>IF(ISERROR(VLOOKUP($A139,ESPNData!$R:$AE,11,0)),"",VLOOKUP($A139,ESPNData!$R:$AE,11,0))</f>
        <v>--</v>
      </c>
      <c r="L139" s="33" t="str">
        <f>IF(ISERROR(VLOOKUP($A139,ESPNData!$R:$AE,12,0)),"",VLOOKUP($A139,ESPNData!$R:$AE,12,0))</f>
        <v>--</v>
      </c>
      <c r="M139" s="64" t="str">
        <f>IF(ISERROR(VLOOKUP($A139,ESPNData!$R:$AE,13,0)),"",VLOOKUP($A139,ESPNData!$R:$AE,13,0))</f>
        <v>--</v>
      </c>
      <c r="N139" s="115" t="str">
        <f>IF(OR(($A139=Settings!$A$30),ISERROR(VLOOKUP($B139,SportslineData!$Q:$AB,4,0))),"",VLOOKUP($B139,SportslineData!$Q:$AB,4,0))</f>
        <v/>
      </c>
      <c r="O139" s="82" t="str">
        <f>IF(OR(($A139=Settings!$A$30),ISERROR(VLOOKUP($B139,SportslineData!$Q:$AB,6,0))),"",ROUND(VLOOKUP($B139,SportslineData!$Q:$AB,6,0),0))</f>
        <v/>
      </c>
      <c r="P139" s="82" t="str">
        <f>IF(OR(($A139=Settings!$A$30),ISERROR(VLOOKUP($B139,SportslineData!$Q:$AB,7,0))),"",ROUND(VLOOKUP($B139,SportslineData!$Q:$AB,7,0),0))</f>
        <v/>
      </c>
      <c r="Q139" s="82" t="str">
        <f>IF(OR(($A139=Settings!$A$30),ISERROR(VLOOKUP($B139,SportslineData!$Q:$AB,8,0))),"",VLOOKUP($B139,SportslineData!$Q:$AB,8,0))</f>
        <v/>
      </c>
      <c r="R139" s="82" t="str">
        <f>IF(OR(($A139=Settings!$A$30),ISERROR(VLOOKUP($B139,SportslineData!$Q:$AB,10,0))),"",ROUND(VLOOKUP($B139,SportslineData!$Q:$AB,10,0),0))</f>
        <v/>
      </c>
      <c r="S139" s="74" t="str">
        <f>IF(OR(($A139=Settings!$A$30),ISERROR(VLOOKUP($B139,SportslineData!$Q:$AB,11,0))),"",ROUND(VLOOKUP($B139,SportslineData!$Q:$AB,11,0),0))</f>
        <v/>
      </c>
      <c r="T139" s="117"/>
      <c r="U139" s="131">
        <f t="shared" si="18"/>
        <v>0</v>
      </c>
      <c r="V139" s="38">
        <f>IF(ISERROR(ROUND((((((ROUNDDOWN((D139/5),0)*Settings!$F$7)+(E139*Settings!$I$7))+(F139*Settings!$I$11))+(ROUNDDOWN((G139/5),0)*Settings!$F$11))+(H139*Settings!$F$12)),1)),0,ROUND((((((ROUNDDOWN((D139/5),0)*Settings!$F$7)+(E139*Settings!$I$7))+(F139*Settings!$I$11))+(ROUNDDOWN((G139/5),0)*Settings!$F$11))+(H139*Settings!$F$12)),1))</f>
        <v>0</v>
      </c>
      <c r="W139" s="38">
        <f>IF(ISERROR(ROUND((((((ROUNDDOWN((I139/5),0)*Settings!$F$7)+(J139*Settings!$I$7))+(K139*Settings!$I$11))+(ROUNDDOWN((L139/5),0)*Settings!$F$11))+(M139*Settings!$F$12)),1)),0,ROUND((((((ROUNDDOWN((I139/5),0)*Settings!$F$7)+(J139*Settings!$I$7))+(K139*Settings!$I$11))+(ROUNDDOWN((L139/5),0)*Settings!$F$11))+(M139*Settings!$F$12)),1))</f>
        <v>0</v>
      </c>
      <c r="X139" s="38">
        <f>IF(AND((N139=""),(P139="")),0,((((((ROUND((N139/5),0)*Settings!$F$7)+(O139*Settings!$I$7))+(P139*Settings!$I$11))+(ROUND((Q139/5),0)*Settings!$F$11))+(R139*Settings!$F$12))+(S139*Settings!$F$15)))</f>
        <v>0</v>
      </c>
      <c r="Y139" s="66">
        <f>ROUND((((V139*Settings!$B$21)+(W139*Settings!$B$22))+(X139*Settings!$B$23)),1)</f>
        <v>0</v>
      </c>
      <c r="Z139" s="66">
        <f>IF(ISERROR(VLOOKUP(RANK(Y139,$Y$4:$Y$182),Z$4:Z138,1,0)),RANK(Y139,$Y$4:$Y$182),IF(ISERROR(VLOOKUP((RANK(Y139,$Y$4:$Y$182)+1),Z$4:Z138,1,0)),(RANK(Y139,$Y$4:$Y$182)+1),IF(ISERROR(VLOOKUP((RANK(Y139,$Y$4:$Y$182)+2),Z$4:Z138,1,0)),(RANK(Y139,$Y$4:$Y$182)+2),(RANK(Y139,$Y$4:$Y$182)+3))))</f>
        <v>126</v>
      </c>
      <c r="AA139" t="str">
        <f t="shared" si="19"/>
        <v>Maurice Morris</v>
      </c>
    </row>
    <row r="140" spans="1:27" ht="12.75" customHeight="1">
      <c r="A140" s="33" t="str">
        <f>ESPNData!R145</f>
        <v>Ladell Betts, FA RB</v>
      </c>
      <c r="B140" s="33" t="str">
        <f t="shared" si="16"/>
        <v>Ladell Betts</v>
      </c>
      <c r="C140" s="64" t="str">
        <f t="shared" si="17"/>
        <v>FA</v>
      </c>
      <c r="D140" s="117" t="str">
        <f>IF(OR(($A140=Settings!$A$30),ISERROR(VLOOKUP($B140,FFTodayData!$P:$Y,5,0))),"",VLOOKUP($B140,FFTodayData!$P:$Y,5,0))</f>
        <v/>
      </c>
      <c r="E140" s="33" t="str">
        <f>IF(OR(($A140=Settings!$A$30),ISERROR(VLOOKUP($B140,FFTodayData!$P:$Y,6,0))),"",VLOOKUP($B140,FFTodayData!$P:$Y,6,0))</f>
        <v/>
      </c>
      <c r="F140" s="33" t="str">
        <f>IF(OR(($A140=Settings!$A$30),ISERROR(VLOOKUP($B140,FFTodayData!$P:$Y,7,0))),"",VLOOKUP($B140,FFTodayData!$P:$Y,7,0))</f>
        <v/>
      </c>
      <c r="G140" s="33" t="str">
        <f>IF(OR(($A140=Settings!$A$30),ISERROR(VLOOKUP($B140,FFTodayData!$P:$Y,8,0))),"",VLOOKUP($B140,FFTodayData!$P:$Y,8,0))</f>
        <v/>
      </c>
      <c r="H140" s="64" t="str">
        <f>IF(OR(($A140=Settings!$A$30),ISERROR(VLOOKUP($B140,FFTodayData!$P:$Y,9,0))),"",VLOOKUP($B140,FFTodayData!$P:$Y,9,0))</f>
        <v/>
      </c>
      <c r="I140" s="117" t="str">
        <f>IF(ISERROR(VLOOKUP($A140,ESPNData!$R:$AE,9,0)),"",VLOOKUP($A140,ESPNData!$R:$AE,9,0))</f>
        <v>--</v>
      </c>
      <c r="J140" s="33" t="str">
        <f>IF(ISERROR(VLOOKUP($A140,ESPNData!$R:$AE,10,0)),"",VLOOKUP($A140,ESPNData!$R:$AE,10,0))</f>
        <v>--</v>
      </c>
      <c r="K140" s="33" t="str">
        <f>IF(ISERROR(VLOOKUP($A140,ESPNData!$R:$AE,11,0)),"",VLOOKUP($A140,ESPNData!$R:$AE,11,0))</f>
        <v>--</v>
      </c>
      <c r="L140" s="33" t="str">
        <f>IF(ISERROR(VLOOKUP($A140,ESPNData!$R:$AE,12,0)),"",VLOOKUP($A140,ESPNData!$R:$AE,12,0))</f>
        <v>--</v>
      </c>
      <c r="M140" s="64" t="str">
        <f>IF(ISERROR(VLOOKUP($A140,ESPNData!$R:$AE,13,0)),"",VLOOKUP($A140,ESPNData!$R:$AE,13,0))</f>
        <v>--</v>
      </c>
      <c r="N140" s="115" t="str">
        <f>IF(OR(($A140=Settings!$A$30),ISERROR(VLOOKUP($B140,SportslineData!$Q:$AB,4,0))),"",VLOOKUP($B140,SportslineData!$Q:$AB,4,0))</f>
        <v/>
      </c>
      <c r="O140" s="82" t="str">
        <f>IF(OR(($A140=Settings!$A$30),ISERROR(VLOOKUP($B140,SportslineData!$Q:$AB,6,0))),"",ROUND(VLOOKUP($B140,SportslineData!$Q:$AB,6,0),0))</f>
        <v/>
      </c>
      <c r="P140" s="82" t="str">
        <f>IF(OR(($A140=Settings!$A$30),ISERROR(VLOOKUP($B140,SportslineData!$Q:$AB,7,0))),"",ROUND(VLOOKUP($B140,SportslineData!$Q:$AB,7,0),0))</f>
        <v/>
      </c>
      <c r="Q140" s="82" t="str">
        <f>IF(OR(($A140=Settings!$A$30),ISERROR(VLOOKUP($B140,SportslineData!$Q:$AB,8,0))),"",VLOOKUP($B140,SportslineData!$Q:$AB,8,0))</f>
        <v/>
      </c>
      <c r="R140" s="82" t="str">
        <f>IF(OR(($A140=Settings!$A$30),ISERROR(VLOOKUP($B140,SportslineData!$Q:$AB,10,0))),"",ROUND(VLOOKUP($B140,SportslineData!$Q:$AB,10,0),0))</f>
        <v/>
      </c>
      <c r="S140" s="74" t="str">
        <f>IF(OR(($A140=Settings!$A$30),ISERROR(VLOOKUP($B140,SportslineData!$Q:$AB,11,0))),"",ROUND(VLOOKUP($B140,SportslineData!$Q:$AB,11,0),0))</f>
        <v/>
      </c>
      <c r="T140" s="117"/>
      <c r="U140" s="131">
        <f t="shared" si="18"/>
        <v>0</v>
      </c>
      <c r="V140" s="38">
        <f>IF(ISERROR(ROUND((((((ROUNDDOWN((D140/5),0)*Settings!$F$7)+(E140*Settings!$I$7))+(F140*Settings!$I$11))+(ROUNDDOWN((G140/5),0)*Settings!$F$11))+(H140*Settings!$F$12)),1)),0,ROUND((((((ROUNDDOWN((D140/5),0)*Settings!$F$7)+(E140*Settings!$I$7))+(F140*Settings!$I$11))+(ROUNDDOWN((G140/5),0)*Settings!$F$11))+(H140*Settings!$F$12)),1))</f>
        <v>0</v>
      </c>
      <c r="W140" s="38">
        <f>IF(ISERROR(ROUND((((((ROUNDDOWN((I140/5),0)*Settings!$F$7)+(J140*Settings!$I$7))+(K140*Settings!$I$11))+(ROUNDDOWN((L140/5),0)*Settings!$F$11))+(M140*Settings!$F$12)),1)),0,ROUND((((((ROUNDDOWN((I140/5),0)*Settings!$F$7)+(J140*Settings!$I$7))+(K140*Settings!$I$11))+(ROUNDDOWN((L140/5),0)*Settings!$F$11))+(M140*Settings!$F$12)),1))</f>
        <v>0</v>
      </c>
      <c r="X140" s="38">
        <f>IF(AND((N140=""),(P140="")),0,((((((ROUND((N140/5),0)*Settings!$F$7)+(O140*Settings!$I$7))+(P140*Settings!$I$11))+(ROUND((Q140/5),0)*Settings!$F$11))+(R140*Settings!$F$12))+(S140*Settings!$F$15)))</f>
        <v>0</v>
      </c>
      <c r="Y140" s="66">
        <f>ROUND((((V140*Settings!$B$21)+(W140*Settings!$B$22))+(X140*Settings!$B$23)),1)</f>
        <v>0</v>
      </c>
      <c r="Z140" s="66">
        <f>IF(ISERROR(VLOOKUP(RANK(Y140,$Y$4:$Y$182),Z$4:Z139,1,0)),RANK(Y140,$Y$4:$Y$182),IF(ISERROR(VLOOKUP((RANK(Y140,$Y$4:$Y$182)+1),Z$4:Z139,1,0)),(RANK(Y140,$Y$4:$Y$182)+1),IF(ISERROR(VLOOKUP((RANK(Y140,$Y$4:$Y$182)+2),Z$4:Z139,1,0)),(RANK(Y140,$Y$4:$Y$182)+2),(RANK(Y140,$Y$4:$Y$182)+3))))</f>
        <v>126</v>
      </c>
      <c r="AA140" t="str">
        <f t="shared" si="19"/>
        <v>Ladell Betts</v>
      </c>
    </row>
    <row r="141" spans="1:27" ht="12.75" customHeight="1">
      <c r="A141" s="33" t="str">
        <f>ESPNData!R146</f>
        <v>Brian Westbrook, FA RB</v>
      </c>
      <c r="B141" s="33" t="str">
        <f t="shared" si="16"/>
        <v>Brian Westbrook</v>
      </c>
      <c r="C141" s="64" t="str">
        <f t="shared" si="17"/>
        <v>FA</v>
      </c>
      <c r="D141" s="117" t="str">
        <f>IF(OR(($A141=Settings!$A$30),ISERROR(VLOOKUP($B141,FFTodayData!$P:$Y,5,0))),"",VLOOKUP($B141,FFTodayData!$P:$Y,5,0))</f>
        <v/>
      </c>
      <c r="E141" s="33" t="str">
        <f>IF(OR(($A141=Settings!$A$30),ISERROR(VLOOKUP($B141,FFTodayData!$P:$Y,6,0))),"",VLOOKUP($B141,FFTodayData!$P:$Y,6,0))</f>
        <v/>
      </c>
      <c r="F141" s="33" t="str">
        <f>IF(OR(($A141=Settings!$A$30),ISERROR(VLOOKUP($B141,FFTodayData!$P:$Y,7,0))),"",VLOOKUP($B141,FFTodayData!$P:$Y,7,0))</f>
        <v/>
      </c>
      <c r="G141" s="33" t="str">
        <f>IF(OR(($A141=Settings!$A$30),ISERROR(VLOOKUP($B141,FFTodayData!$P:$Y,8,0))),"",VLOOKUP($B141,FFTodayData!$P:$Y,8,0))</f>
        <v/>
      </c>
      <c r="H141" s="64" t="str">
        <f>IF(OR(($A141=Settings!$A$30),ISERROR(VLOOKUP($B141,FFTodayData!$P:$Y,9,0))),"",VLOOKUP($B141,FFTodayData!$P:$Y,9,0))</f>
        <v/>
      </c>
      <c r="I141" s="117" t="str">
        <f>IF(ISERROR(VLOOKUP($A141,ESPNData!$R:$AE,9,0)),"",VLOOKUP($A141,ESPNData!$R:$AE,9,0))</f>
        <v>--</v>
      </c>
      <c r="J141" s="33" t="str">
        <f>IF(ISERROR(VLOOKUP($A141,ESPNData!$R:$AE,10,0)),"",VLOOKUP($A141,ESPNData!$R:$AE,10,0))</f>
        <v>--</v>
      </c>
      <c r="K141" s="33" t="str">
        <f>IF(ISERROR(VLOOKUP($A141,ESPNData!$R:$AE,11,0)),"",VLOOKUP($A141,ESPNData!$R:$AE,11,0))</f>
        <v>--</v>
      </c>
      <c r="L141" s="33" t="str">
        <f>IF(ISERROR(VLOOKUP($A141,ESPNData!$R:$AE,12,0)),"",VLOOKUP($A141,ESPNData!$R:$AE,12,0))</f>
        <v>--</v>
      </c>
      <c r="M141" s="64" t="str">
        <f>IF(ISERROR(VLOOKUP($A141,ESPNData!$R:$AE,13,0)),"",VLOOKUP($A141,ESPNData!$R:$AE,13,0))</f>
        <v>--</v>
      </c>
      <c r="N141" s="115" t="str">
        <f>IF(OR(($A141=Settings!$A$30),ISERROR(VLOOKUP($B141,SportslineData!$Q:$AB,4,0))),"",VLOOKUP($B141,SportslineData!$Q:$AB,4,0))</f>
        <v/>
      </c>
      <c r="O141" s="82" t="str">
        <f>IF(OR(($A141=Settings!$A$30),ISERROR(VLOOKUP($B141,SportslineData!$Q:$AB,6,0))),"",ROUND(VLOOKUP($B141,SportslineData!$Q:$AB,6,0),0))</f>
        <v/>
      </c>
      <c r="P141" s="82" t="str">
        <f>IF(OR(($A141=Settings!$A$30),ISERROR(VLOOKUP($B141,SportslineData!$Q:$AB,7,0))),"",ROUND(VLOOKUP($B141,SportslineData!$Q:$AB,7,0),0))</f>
        <v/>
      </c>
      <c r="Q141" s="82" t="str">
        <f>IF(OR(($A141=Settings!$A$30),ISERROR(VLOOKUP($B141,SportslineData!$Q:$AB,8,0))),"",VLOOKUP($B141,SportslineData!$Q:$AB,8,0))</f>
        <v/>
      </c>
      <c r="R141" s="82" t="str">
        <f>IF(OR(($A141=Settings!$A$30),ISERROR(VLOOKUP($B141,SportslineData!$Q:$AB,10,0))),"",ROUND(VLOOKUP($B141,SportslineData!$Q:$AB,10,0),0))</f>
        <v/>
      </c>
      <c r="S141" s="74" t="str">
        <f>IF(OR(($A141=Settings!$A$30),ISERROR(VLOOKUP($B141,SportslineData!$Q:$AB,11,0))),"",ROUND(VLOOKUP($B141,SportslineData!$Q:$AB,11,0),0))</f>
        <v/>
      </c>
      <c r="T141" s="117"/>
      <c r="U141" s="131">
        <f t="shared" si="18"/>
        <v>0</v>
      </c>
      <c r="V141" s="38">
        <f>IF(ISERROR(ROUND((((((ROUNDDOWN((D141/5),0)*Settings!$F$7)+(E141*Settings!$I$7))+(F141*Settings!$I$11))+(ROUNDDOWN((G141/5),0)*Settings!$F$11))+(H141*Settings!$F$12)),1)),0,ROUND((((((ROUNDDOWN((D141/5),0)*Settings!$F$7)+(E141*Settings!$I$7))+(F141*Settings!$I$11))+(ROUNDDOWN((G141/5),0)*Settings!$F$11))+(H141*Settings!$F$12)),1))</f>
        <v>0</v>
      </c>
      <c r="W141" s="38">
        <f>IF(ISERROR(ROUND((((((ROUNDDOWN((I141/5),0)*Settings!$F$7)+(J141*Settings!$I$7))+(K141*Settings!$I$11))+(ROUNDDOWN((L141/5),0)*Settings!$F$11))+(M141*Settings!$F$12)),1)),0,ROUND((((((ROUNDDOWN((I141/5),0)*Settings!$F$7)+(J141*Settings!$I$7))+(K141*Settings!$I$11))+(ROUNDDOWN((L141/5),0)*Settings!$F$11))+(M141*Settings!$F$12)),1))</f>
        <v>0</v>
      </c>
      <c r="X141" s="38">
        <f>IF(AND((N141=""),(P141="")),0,((((((ROUND((N141/5),0)*Settings!$F$7)+(O141*Settings!$I$7))+(P141*Settings!$I$11))+(ROUND((Q141/5),0)*Settings!$F$11))+(R141*Settings!$F$12))+(S141*Settings!$F$15)))</f>
        <v>0</v>
      </c>
      <c r="Y141" s="66">
        <f>ROUND((((V141*Settings!$B$21)+(W141*Settings!$B$22))+(X141*Settings!$B$23)),1)</f>
        <v>0</v>
      </c>
      <c r="Z141" s="66">
        <f>IF(ISERROR(VLOOKUP(RANK(Y141,$Y$4:$Y$182),Z$4:Z140,1,0)),RANK(Y141,$Y$4:$Y$182),IF(ISERROR(VLOOKUP((RANK(Y141,$Y$4:$Y$182)+1),Z$4:Z140,1,0)),(RANK(Y141,$Y$4:$Y$182)+1),IF(ISERROR(VLOOKUP((RANK(Y141,$Y$4:$Y$182)+2),Z$4:Z140,1,0)),(RANK(Y141,$Y$4:$Y$182)+2),(RANK(Y141,$Y$4:$Y$182)+3))))</f>
        <v>126</v>
      </c>
      <c r="AA141" t="str">
        <f t="shared" si="19"/>
        <v>Brian Westbrook</v>
      </c>
    </row>
    <row r="142" spans="1:27" ht="12.75" customHeight="1">
      <c r="A142" s="33" t="str">
        <f>ESPNData!R147</f>
        <v>Rock Cartwright, FA RB</v>
      </c>
      <c r="B142" s="33" t="str">
        <f t="shared" si="16"/>
        <v>Rock Cartwright</v>
      </c>
      <c r="C142" s="64" t="str">
        <f t="shared" si="17"/>
        <v>FA</v>
      </c>
      <c r="D142" s="117" t="str">
        <f>IF(OR(($A142=Settings!$A$30),ISERROR(VLOOKUP($B142,FFTodayData!$P:$Y,5,0))),"",VLOOKUP($B142,FFTodayData!$P:$Y,5,0))</f>
        <v/>
      </c>
      <c r="E142" s="33" t="str">
        <f>IF(OR(($A142=Settings!$A$30),ISERROR(VLOOKUP($B142,FFTodayData!$P:$Y,6,0))),"",VLOOKUP($B142,FFTodayData!$P:$Y,6,0))</f>
        <v/>
      </c>
      <c r="F142" s="33" t="str">
        <f>IF(OR(($A142=Settings!$A$30),ISERROR(VLOOKUP($B142,FFTodayData!$P:$Y,7,0))),"",VLOOKUP($B142,FFTodayData!$P:$Y,7,0))</f>
        <v/>
      </c>
      <c r="G142" s="33" t="str">
        <f>IF(OR(($A142=Settings!$A$30),ISERROR(VLOOKUP($B142,FFTodayData!$P:$Y,8,0))),"",VLOOKUP($B142,FFTodayData!$P:$Y,8,0))</f>
        <v/>
      </c>
      <c r="H142" s="64" t="str">
        <f>IF(OR(($A142=Settings!$A$30),ISERROR(VLOOKUP($B142,FFTodayData!$P:$Y,9,0))),"",VLOOKUP($B142,FFTodayData!$P:$Y,9,0))</f>
        <v/>
      </c>
      <c r="I142" s="117" t="str">
        <f>IF(ISERROR(VLOOKUP($A142,ESPNData!$R:$AE,9,0)),"",VLOOKUP($A142,ESPNData!$R:$AE,9,0))</f>
        <v>--</v>
      </c>
      <c r="J142" s="33" t="str">
        <f>IF(ISERROR(VLOOKUP($A142,ESPNData!$R:$AE,10,0)),"",VLOOKUP($A142,ESPNData!$R:$AE,10,0))</f>
        <v>--</v>
      </c>
      <c r="K142" s="33" t="str">
        <f>IF(ISERROR(VLOOKUP($A142,ESPNData!$R:$AE,11,0)),"",VLOOKUP($A142,ESPNData!$R:$AE,11,0))</f>
        <v>--</v>
      </c>
      <c r="L142" s="33" t="str">
        <f>IF(ISERROR(VLOOKUP($A142,ESPNData!$R:$AE,12,0)),"",VLOOKUP($A142,ESPNData!$R:$AE,12,0))</f>
        <v>--</v>
      </c>
      <c r="M142" s="64" t="str">
        <f>IF(ISERROR(VLOOKUP($A142,ESPNData!$R:$AE,13,0)),"",VLOOKUP($A142,ESPNData!$R:$AE,13,0))</f>
        <v>--</v>
      </c>
      <c r="N142" s="115" t="str">
        <f>IF(OR(($A142=Settings!$A$30),ISERROR(VLOOKUP($B142,SportslineData!$Q:$AB,4,0))),"",VLOOKUP($B142,SportslineData!$Q:$AB,4,0))</f>
        <v/>
      </c>
      <c r="O142" s="82" t="str">
        <f>IF(OR(($A142=Settings!$A$30),ISERROR(VLOOKUP($B142,SportslineData!$Q:$AB,6,0))),"",ROUND(VLOOKUP($B142,SportslineData!$Q:$AB,6,0),0))</f>
        <v/>
      </c>
      <c r="P142" s="82" t="str">
        <f>IF(OR(($A142=Settings!$A$30),ISERROR(VLOOKUP($B142,SportslineData!$Q:$AB,7,0))),"",ROUND(VLOOKUP($B142,SportslineData!$Q:$AB,7,0),0))</f>
        <v/>
      </c>
      <c r="Q142" s="82" t="str">
        <f>IF(OR(($A142=Settings!$A$30),ISERROR(VLOOKUP($B142,SportslineData!$Q:$AB,8,0))),"",VLOOKUP($B142,SportslineData!$Q:$AB,8,0))</f>
        <v/>
      </c>
      <c r="R142" s="82" t="str">
        <f>IF(OR(($A142=Settings!$A$30),ISERROR(VLOOKUP($B142,SportslineData!$Q:$AB,10,0))),"",ROUND(VLOOKUP($B142,SportslineData!$Q:$AB,10,0),0))</f>
        <v/>
      </c>
      <c r="S142" s="74" t="str">
        <f>IF(OR(($A142=Settings!$A$30),ISERROR(VLOOKUP($B142,SportslineData!$Q:$AB,11,0))),"",ROUND(VLOOKUP($B142,SportslineData!$Q:$AB,11,0),0))</f>
        <v/>
      </c>
      <c r="T142" s="117"/>
      <c r="U142" s="131">
        <f t="shared" si="18"/>
        <v>0</v>
      </c>
      <c r="V142" s="38">
        <f>IF(ISERROR(ROUND((((((ROUNDDOWN((D142/5),0)*Settings!$F$7)+(E142*Settings!$I$7))+(F142*Settings!$I$11))+(ROUNDDOWN((G142/5),0)*Settings!$F$11))+(H142*Settings!$F$12)),1)),0,ROUND((((((ROUNDDOWN((D142/5),0)*Settings!$F$7)+(E142*Settings!$I$7))+(F142*Settings!$I$11))+(ROUNDDOWN((G142/5),0)*Settings!$F$11))+(H142*Settings!$F$12)),1))</f>
        <v>0</v>
      </c>
      <c r="W142" s="38">
        <f>IF(ISERROR(ROUND((((((ROUNDDOWN((I142/5),0)*Settings!$F$7)+(J142*Settings!$I$7))+(K142*Settings!$I$11))+(ROUNDDOWN((L142/5),0)*Settings!$F$11))+(M142*Settings!$F$12)),1)),0,ROUND((((((ROUNDDOWN((I142/5),0)*Settings!$F$7)+(J142*Settings!$I$7))+(K142*Settings!$I$11))+(ROUNDDOWN((L142/5),0)*Settings!$F$11))+(M142*Settings!$F$12)),1))</f>
        <v>0</v>
      </c>
      <c r="X142" s="38">
        <f>IF(AND((N142=""),(P142="")),0,((((((ROUND((N142/5),0)*Settings!$F$7)+(O142*Settings!$I$7))+(P142*Settings!$I$11))+(ROUND((Q142/5),0)*Settings!$F$11))+(R142*Settings!$F$12))+(S142*Settings!$F$15)))</f>
        <v>0</v>
      </c>
      <c r="Y142" s="66">
        <f>ROUND((((V142*Settings!$B$21)+(W142*Settings!$B$22))+(X142*Settings!$B$23)),1)</f>
        <v>0</v>
      </c>
      <c r="Z142" s="66">
        <f>IF(ISERROR(VLOOKUP(RANK(Y142,$Y$4:$Y$182),Z$4:Z141,1,0)),RANK(Y142,$Y$4:$Y$182),IF(ISERROR(VLOOKUP((RANK(Y142,$Y$4:$Y$182)+1),Z$4:Z141,1,0)),(RANK(Y142,$Y$4:$Y$182)+1),IF(ISERROR(VLOOKUP((RANK(Y142,$Y$4:$Y$182)+2),Z$4:Z141,1,0)),(RANK(Y142,$Y$4:$Y$182)+2),(RANK(Y142,$Y$4:$Y$182)+3))))</f>
        <v>126</v>
      </c>
      <c r="AA142" t="str">
        <f t="shared" si="19"/>
        <v>Rock Cartwright</v>
      </c>
    </row>
    <row r="143" spans="1:27" ht="12.75" customHeight="1">
      <c r="A143" s="33" t="str">
        <f>ESPNData!R148</f>
        <v>Chester Taylor, FA RB</v>
      </c>
      <c r="B143" s="33" t="str">
        <f t="shared" si="16"/>
        <v>Chester Taylor</v>
      </c>
      <c r="C143" s="64" t="str">
        <f t="shared" si="17"/>
        <v>FA</v>
      </c>
      <c r="D143" s="117" t="str">
        <f>IF(OR(($A143=Settings!$A$30),ISERROR(VLOOKUP($B143,FFTodayData!$P:$Y,5,0))),"",VLOOKUP($B143,FFTodayData!$P:$Y,5,0))</f>
        <v/>
      </c>
      <c r="E143" s="33" t="str">
        <f>IF(OR(($A143=Settings!$A$30),ISERROR(VLOOKUP($B143,FFTodayData!$P:$Y,6,0))),"",VLOOKUP($B143,FFTodayData!$P:$Y,6,0))</f>
        <v/>
      </c>
      <c r="F143" s="33" t="str">
        <f>IF(OR(($A143=Settings!$A$30),ISERROR(VLOOKUP($B143,FFTodayData!$P:$Y,7,0))),"",VLOOKUP($B143,FFTodayData!$P:$Y,7,0))</f>
        <v/>
      </c>
      <c r="G143" s="33" t="str">
        <f>IF(OR(($A143=Settings!$A$30),ISERROR(VLOOKUP($B143,FFTodayData!$P:$Y,8,0))),"",VLOOKUP($B143,FFTodayData!$P:$Y,8,0))</f>
        <v/>
      </c>
      <c r="H143" s="64" t="str">
        <f>IF(OR(($A143=Settings!$A$30),ISERROR(VLOOKUP($B143,FFTodayData!$P:$Y,9,0))),"",VLOOKUP($B143,FFTodayData!$P:$Y,9,0))</f>
        <v/>
      </c>
      <c r="I143" s="117" t="str">
        <f>IF(ISERROR(VLOOKUP($A143,ESPNData!$R:$AE,9,0)),"",VLOOKUP($A143,ESPNData!$R:$AE,9,0))</f>
        <v>--</v>
      </c>
      <c r="J143" s="33" t="str">
        <f>IF(ISERROR(VLOOKUP($A143,ESPNData!$R:$AE,10,0)),"",VLOOKUP($A143,ESPNData!$R:$AE,10,0))</f>
        <v>--</v>
      </c>
      <c r="K143" s="33" t="str">
        <f>IF(ISERROR(VLOOKUP($A143,ESPNData!$R:$AE,11,0)),"",VLOOKUP($A143,ESPNData!$R:$AE,11,0))</f>
        <v>--</v>
      </c>
      <c r="L143" s="33" t="str">
        <f>IF(ISERROR(VLOOKUP($A143,ESPNData!$R:$AE,12,0)),"",VLOOKUP($A143,ESPNData!$R:$AE,12,0))</f>
        <v>--</v>
      </c>
      <c r="M143" s="64" t="str">
        <f>IF(ISERROR(VLOOKUP($A143,ESPNData!$R:$AE,13,0)),"",VLOOKUP($A143,ESPNData!$R:$AE,13,0))</f>
        <v>--</v>
      </c>
      <c r="N143" s="115" t="str">
        <f>IF(OR(($A143=Settings!$A$30),ISERROR(VLOOKUP($B143,SportslineData!$Q:$AB,4,0))),"",VLOOKUP($B143,SportslineData!$Q:$AB,4,0))</f>
        <v/>
      </c>
      <c r="O143" s="82" t="str">
        <f>IF(OR(($A143=Settings!$A$30),ISERROR(VLOOKUP($B143,SportslineData!$Q:$AB,6,0))),"",ROUND(VLOOKUP($B143,SportslineData!$Q:$AB,6,0),0))</f>
        <v/>
      </c>
      <c r="P143" s="82" t="str">
        <f>IF(OR(($A143=Settings!$A$30),ISERROR(VLOOKUP($B143,SportslineData!$Q:$AB,7,0))),"",ROUND(VLOOKUP($B143,SportslineData!$Q:$AB,7,0),0))</f>
        <v/>
      </c>
      <c r="Q143" s="82" t="str">
        <f>IF(OR(($A143=Settings!$A$30),ISERROR(VLOOKUP($B143,SportslineData!$Q:$AB,8,0))),"",VLOOKUP($B143,SportslineData!$Q:$AB,8,0))</f>
        <v/>
      </c>
      <c r="R143" s="82" t="str">
        <f>IF(OR(($A143=Settings!$A$30),ISERROR(VLOOKUP($B143,SportslineData!$Q:$AB,10,0))),"",ROUND(VLOOKUP($B143,SportslineData!$Q:$AB,10,0),0))</f>
        <v/>
      </c>
      <c r="S143" s="74" t="str">
        <f>IF(OR(($A143=Settings!$A$30),ISERROR(VLOOKUP($B143,SportslineData!$Q:$AB,11,0))),"",ROUND(VLOOKUP($B143,SportslineData!$Q:$AB,11,0),0))</f>
        <v/>
      </c>
      <c r="T143" s="117"/>
      <c r="U143" s="131">
        <f t="shared" si="18"/>
        <v>0</v>
      </c>
      <c r="V143" s="38">
        <f>IF(ISERROR(ROUND((((((ROUNDDOWN((D143/5),0)*Settings!$F$7)+(E143*Settings!$I$7))+(F143*Settings!$I$11))+(ROUNDDOWN((G143/5),0)*Settings!$F$11))+(H143*Settings!$F$12)),1)),0,ROUND((((((ROUNDDOWN((D143/5),0)*Settings!$F$7)+(E143*Settings!$I$7))+(F143*Settings!$I$11))+(ROUNDDOWN((G143/5),0)*Settings!$F$11))+(H143*Settings!$F$12)),1))</f>
        <v>0</v>
      </c>
      <c r="W143" s="38">
        <f>IF(ISERROR(ROUND((((((ROUNDDOWN((I143/5),0)*Settings!$F$7)+(J143*Settings!$I$7))+(K143*Settings!$I$11))+(ROUNDDOWN((L143/5),0)*Settings!$F$11))+(M143*Settings!$F$12)),1)),0,ROUND((((((ROUNDDOWN((I143/5),0)*Settings!$F$7)+(J143*Settings!$I$7))+(K143*Settings!$I$11))+(ROUNDDOWN((L143/5),0)*Settings!$F$11))+(M143*Settings!$F$12)),1))</f>
        <v>0</v>
      </c>
      <c r="X143" s="38">
        <f>IF(AND((N143=""),(P143="")),0,((((((ROUND((N143/5),0)*Settings!$F$7)+(O143*Settings!$I$7))+(P143*Settings!$I$11))+(ROUND((Q143/5),0)*Settings!$F$11))+(R143*Settings!$F$12))+(S143*Settings!$F$15)))</f>
        <v>0</v>
      </c>
      <c r="Y143" s="66">
        <f>ROUND((((V143*Settings!$B$21)+(W143*Settings!$B$22))+(X143*Settings!$B$23)),1)</f>
        <v>0</v>
      </c>
      <c r="Z143" s="66">
        <f>IF(ISERROR(VLOOKUP(RANK(Y143,$Y$4:$Y$182),Z$4:Z142,1,0)),RANK(Y143,$Y$4:$Y$182),IF(ISERROR(VLOOKUP((RANK(Y143,$Y$4:$Y$182)+1),Z$4:Z142,1,0)),(RANK(Y143,$Y$4:$Y$182)+1),IF(ISERROR(VLOOKUP((RANK(Y143,$Y$4:$Y$182)+2),Z$4:Z142,1,0)),(RANK(Y143,$Y$4:$Y$182)+2),(RANK(Y143,$Y$4:$Y$182)+3))))</f>
        <v>126</v>
      </c>
      <c r="AA143" t="str">
        <f t="shared" si="19"/>
        <v>Chester Taylor</v>
      </c>
    </row>
    <row r="144" spans="1:27" ht="12.75" customHeight="1">
      <c r="A144" s="33" t="str">
        <f>ESPNData!R149</f>
        <v>Corey McIntyre, FA RB</v>
      </c>
      <c r="B144" s="33" t="str">
        <f t="shared" si="16"/>
        <v>Corey McIntyre</v>
      </c>
      <c r="C144" s="64" t="str">
        <f t="shared" si="17"/>
        <v>FA</v>
      </c>
      <c r="D144" s="117" t="str">
        <f>IF(OR(($A144=Settings!$A$30),ISERROR(VLOOKUP($B144,FFTodayData!$P:$Y,5,0))),"",VLOOKUP($B144,FFTodayData!$P:$Y,5,0))</f>
        <v/>
      </c>
      <c r="E144" s="33" t="str">
        <f>IF(OR(($A144=Settings!$A$30),ISERROR(VLOOKUP($B144,FFTodayData!$P:$Y,6,0))),"",VLOOKUP($B144,FFTodayData!$P:$Y,6,0))</f>
        <v/>
      </c>
      <c r="F144" s="33" t="str">
        <f>IF(OR(($A144=Settings!$A$30),ISERROR(VLOOKUP($B144,FFTodayData!$P:$Y,7,0))),"",VLOOKUP($B144,FFTodayData!$P:$Y,7,0))</f>
        <v/>
      </c>
      <c r="G144" s="33" t="str">
        <f>IF(OR(($A144=Settings!$A$30),ISERROR(VLOOKUP($B144,FFTodayData!$P:$Y,8,0))),"",VLOOKUP($B144,FFTodayData!$P:$Y,8,0))</f>
        <v/>
      </c>
      <c r="H144" s="64" t="str">
        <f>IF(OR(($A144=Settings!$A$30),ISERROR(VLOOKUP($B144,FFTodayData!$P:$Y,9,0))),"",VLOOKUP($B144,FFTodayData!$P:$Y,9,0))</f>
        <v/>
      </c>
      <c r="I144" s="117" t="str">
        <f>IF(ISERROR(VLOOKUP($A144,ESPNData!$R:$AE,9,0)),"",VLOOKUP($A144,ESPNData!$R:$AE,9,0))</f>
        <v>--</v>
      </c>
      <c r="J144" s="33" t="str">
        <f>IF(ISERROR(VLOOKUP($A144,ESPNData!$R:$AE,10,0)),"",VLOOKUP($A144,ESPNData!$R:$AE,10,0))</f>
        <v>--</v>
      </c>
      <c r="K144" s="33" t="str">
        <f>IF(ISERROR(VLOOKUP($A144,ESPNData!$R:$AE,11,0)),"",VLOOKUP($A144,ESPNData!$R:$AE,11,0))</f>
        <v>--</v>
      </c>
      <c r="L144" s="33" t="str">
        <f>IF(ISERROR(VLOOKUP($A144,ESPNData!$R:$AE,12,0)),"",VLOOKUP($A144,ESPNData!$R:$AE,12,0))</f>
        <v>--</v>
      </c>
      <c r="M144" s="64" t="str">
        <f>IF(ISERROR(VLOOKUP($A144,ESPNData!$R:$AE,13,0)),"",VLOOKUP($A144,ESPNData!$R:$AE,13,0))</f>
        <v>--</v>
      </c>
      <c r="N144" s="115" t="str">
        <f>IF(OR(($A144=Settings!$A$30),ISERROR(VLOOKUP($B144,SportslineData!$Q:$AB,4,0))),"",VLOOKUP($B144,SportslineData!$Q:$AB,4,0))</f>
        <v/>
      </c>
      <c r="O144" s="82" t="str">
        <f>IF(OR(($A144=Settings!$A$30),ISERROR(VLOOKUP($B144,SportslineData!$Q:$AB,6,0))),"",ROUND(VLOOKUP($B144,SportslineData!$Q:$AB,6,0),0))</f>
        <v/>
      </c>
      <c r="P144" s="82" t="str">
        <f>IF(OR(($A144=Settings!$A$30),ISERROR(VLOOKUP($B144,SportslineData!$Q:$AB,7,0))),"",ROUND(VLOOKUP($B144,SportslineData!$Q:$AB,7,0),0))</f>
        <v/>
      </c>
      <c r="Q144" s="82" t="str">
        <f>IF(OR(($A144=Settings!$A$30),ISERROR(VLOOKUP($B144,SportslineData!$Q:$AB,8,0))),"",VLOOKUP($B144,SportslineData!$Q:$AB,8,0))</f>
        <v/>
      </c>
      <c r="R144" s="82" t="str">
        <f>IF(OR(($A144=Settings!$A$30),ISERROR(VLOOKUP($B144,SportslineData!$Q:$AB,10,0))),"",ROUND(VLOOKUP($B144,SportslineData!$Q:$AB,10,0),0))</f>
        <v/>
      </c>
      <c r="S144" s="74" t="str">
        <f>IF(OR(($A144=Settings!$A$30),ISERROR(VLOOKUP($B144,SportslineData!$Q:$AB,11,0))),"",ROUND(VLOOKUP($B144,SportslineData!$Q:$AB,11,0),0))</f>
        <v/>
      </c>
      <c r="T144" s="117"/>
      <c r="U144" s="131">
        <f t="shared" si="18"/>
        <v>0</v>
      </c>
      <c r="V144" s="38">
        <f>IF(ISERROR(ROUND((((((ROUNDDOWN((D144/5),0)*Settings!$F$7)+(E144*Settings!$I$7))+(F144*Settings!$I$11))+(ROUNDDOWN((G144/5),0)*Settings!$F$11))+(H144*Settings!$F$12)),1)),0,ROUND((((((ROUNDDOWN((D144/5),0)*Settings!$F$7)+(E144*Settings!$I$7))+(F144*Settings!$I$11))+(ROUNDDOWN((G144/5),0)*Settings!$F$11))+(H144*Settings!$F$12)),1))</f>
        <v>0</v>
      </c>
      <c r="W144" s="38">
        <f>IF(ISERROR(ROUND((((((ROUNDDOWN((I144/5),0)*Settings!$F$7)+(J144*Settings!$I$7))+(K144*Settings!$I$11))+(ROUNDDOWN((L144/5),0)*Settings!$F$11))+(M144*Settings!$F$12)),1)),0,ROUND((((((ROUNDDOWN((I144/5),0)*Settings!$F$7)+(J144*Settings!$I$7))+(K144*Settings!$I$11))+(ROUNDDOWN((L144/5),0)*Settings!$F$11))+(M144*Settings!$F$12)),1))</f>
        <v>0</v>
      </c>
      <c r="X144" s="38">
        <f>IF(AND((N144=""),(P144="")),0,((((((ROUND((N144/5),0)*Settings!$F$7)+(O144*Settings!$I$7))+(P144*Settings!$I$11))+(ROUND((Q144/5),0)*Settings!$F$11))+(R144*Settings!$F$12))+(S144*Settings!$F$15)))</f>
        <v>0</v>
      </c>
      <c r="Y144" s="66">
        <f>ROUND((((V144*Settings!$B$21)+(W144*Settings!$B$22))+(X144*Settings!$B$23)),1)</f>
        <v>0</v>
      </c>
      <c r="Z144" s="66">
        <f>IF(ISERROR(VLOOKUP(RANK(Y144,$Y$4:$Y$182),Z$4:Z143,1,0)),RANK(Y144,$Y$4:$Y$182),IF(ISERROR(VLOOKUP((RANK(Y144,$Y$4:$Y$182)+1),Z$4:Z143,1,0)),(RANK(Y144,$Y$4:$Y$182)+1),IF(ISERROR(VLOOKUP((RANK(Y144,$Y$4:$Y$182)+2),Z$4:Z143,1,0)),(RANK(Y144,$Y$4:$Y$182)+2),(RANK(Y144,$Y$4:$Y$182)+3))))</f>
        <v>126</v>
      </c>
      <c r="AA144" t="str">
        <f t="shared" si="19"/>
        <v>Corey McIntyre</v>
      </c>
    </row>
    <row r="145" spans="1:27" ht="12.75" customHeight="1">
      <c r="A145" s="33" t="str">
        <f>ESPNData!R150</f>
        <v>Jason McKie, FA RB</v>
      </c>
      <c r="B145" s="33" t="str">
        <f t="shared" si="16"/>
        <v>Jason McKie</v>
      </c>
      <c r="C145" s="64" t="str">
        <f t="shared" si="17"/>
        <v>FA</v>
      </c>
      <c r="D145" s="117" t="str">
        <f>IF(OR(($A145=Settings!$A$30),ISERROR(VLOOKUP($B145,FFTodayData!$P:$Y,5,0))),"",VLOOKUP($B145,FFTodayData!$P:$Y,5,0))</f>
        <v/>
      </c>
      <c r="E145" s="33" t="str">
        <f>IF(OR(($A145=Settings!$A$30),ISERROR(VLOOKUP($B145,FFTodayData!$P:$Y,6,0))),"",VLOOKUP($B145,FFTodayData!$P:$Y,6,0))</f>
        <v/>
      </c>
      <c r="F145" s="33" t="str">
        <f>IF(OR(($A145=Settings!$A$30),ISERROR(VLOOKUP($B145,FFTodayData!$P:$Y,7,0))),"",VLOOKUP($B145,FFTodayData!$P:$Y,7,0))</f>
        <v/>
      </c>
      <c r="G145" s="33" t="str">
        <f>IF(OR(($A145=Settings!$A$30),ISERROR(VLOOKUP($B145,FFTodayData!$P:$Y,8,0))),"",VLOOKUP($B145,FFTodayData!$P:$Y,8,0))</f>
        <v/>
      </c>
      <c r="H145" s="64" t="str">
        <f>IF(OR(($A145=Settings!$A$30),ISERROR(VLOOKUP($B145,FFTodayData!$P:$Y,9,0))),"",VLOOKUP($B145,FFTodayData!$P:$Y,9,0))</f>
        <v/>
      </c>
      <c r="I145" s="117" t="str">
        <f>IF(ISERROR(VLOOKUP($A145,ESPNData!$R:$AE,9,0)),"",VLOOKUP($A145,ESPNData!$R:$AE,9,0))</f>
        <v>--</v>
      </c>
      <c r="J145" s="33" t="str">
        <f>IF(ISERROR(VLOOKUP($A145,ESPNData!$R:$AE,10,0)),"",VLOOKUP($A145,ESPNData!$R:$AE,10,0))</f>
        <v>--</v>
      </c>
      <c r="K145" s="33" t="str">
        <f>IF(ISERROR(VLOOKUP($A145,ESPNData!$R:$AE,11,0)),"",VLOOKUP($A145,ESPNData!$R:$AE,11,0))</f>
        <v>--</v>
      </c>
      <c r="L145" s="33" t="str">
        <f>IF(ISERROR(VLOOKUP($A145,ESPNData!$R:$AE,12,0)),"",VLOOKUP($A145,ESPNData!$R:$AE,12,0))</f>
        <v>--</v>
      </c>
      <c r="M145" s="64" t="str">
        <f>IF(ISERROR(VLOOKUP($A145,ESPNData!$R:$AE,13,0)),"",VLOOKUP($A145,ESPNData!$R:$AE,13,0))</f>
        <v>--</v>
      </c>
      <c r="N145" s="115" t="str">
        <f>IF(OR(($A145=Settings!$A$30),ISERROR(VLOOKUP($B145,SportslineData!$Q:$AB,4,0))),"",VLOOKUP($B145,SportslineData!$Q:$AB,4,0))</f>
        <v/>
      </c>
      <c r="O145" s="82" t="str">
        <f>IF(OR(($A145=Settings!$A$30),ISERROR(VLOOKUP($B145,SportslineData!$Q:$AB,6,0))),"",ROUND(VLOOKUP($B145,SportslineData!$Q:$AB,6,0),0))</f>
        <v/>
      </c>
      <c r="P145" s="82" t="str">
        <f>IF(OR(($A145=Settings!$A$30),ISERROR(VLOOKUP($B145,SportslineData!$Q:$AB,7,0))),"",ROUND(VLOOKUP($B145,SportslineData!$Q:$AB,7,0),0))</f>
        <v/>
      </c>
      <c r="Q145" s="82" t="str">
        <f>IF(OR(($A145=Settings!$A$30),ISERROR(VLOOKUP($B145,SportslineData!$Q:$AB,8,0))),"",VLOOKUP($B145,SportslineData!$Q:$AB,8,0))</f>
        <v/>
      </c>
      <c r="R145" s="82" t="str">
        <f>IF(OR(($A145=Settings!$A$30),ISERROR(VLOOKUP($B145,SportslineData!$Q:$AB,10,0))),"",ROUND(VLOOKUP($B145,SportslineData!$Q:$AB,10,0),0))</f>
        <v/>
      </c>
      <c r="S145" s="74" t="str">
        <f>IF(OR(($A145=Settings!$A$30),ISERROR(VLOOKUP($B145,SportslineData!$Q:$AB,11,0))),"",ROUND(VLOOKUP($B145,SportslineData!$Q:$AB,11,0),0))</f>
        <v/>
      </c>
      <c r="T145" s="117"/>
      <c r="U145" s="131">
        <f t="shared" si="18"/>
        <v>0</v>
      </c>
      <c r="V145" s="38">
        <f>IF(ISERROR(ROUND((((((ROUNDDOWN((D145/5),0)*Settings!$F$7)+(E145*Settings!$I$7))+(F145*Settings!$I$11))+(ROUNDDOWN((G145/5),0)*Settings!$F$11))+(H145*Settings!$F$12)),1)),0,ROUND((((((ROUNDDOWN((D145/5),0)*Settings!$F$7)+(E145*Settings!$I$7))+(F145*Settings!$I$11))+(ROUNDDOWN((G145/5),0)*Settings!$F$11))+(H145*Settings!$F$12)),1))</f>
        <v>0</v>
      </c>
      <c r="W145" s="38">
        <f>IF(ISERROR(ROUND((((((ROUNDDOWN((I145/5),0)*Settings!$F$7)+(J145*Settings!$I$7))+(K145*Settings!$I$11))+(ROUNDDOWN((L145/5),0)*Settings!$F$11))+(M145*Settings!$F$12)),1)),0,ROUND((((((ROUNDDOWN((I145/5),0)*Settings!$F$7)+(J145*Settings!$I$7))+(K145*Settings!$I$11))+(ROUNDDOWN((L145/5),0)*Settings!$F$11))+(M145*Settings!$F$12)),1))</f>
        <v>0</v>
      </c>
      <c r="X145" s="38">
        <f>IF(AND((N145=""),(P145="")),0,((((((ROUND((N145/5),0)*Settings!$F$7)+(O145*Settings!$I$7))+(P145*Settings!$I$11))+(ROUND((Q145/5),0)*Settings!$F$11))+(R145*Settings!$F$12))+(S145*Settings!$F$15)))</f>
        <v>0</v>
      </c>
      <c r="Y145" s="66">
        <f>ROUND((((V145*Settings!$B$21)+(W145*Settings!$B$22))+(X145*Settings!$B$23)),1)</f>
        <v>0</v>
      </c>
      <c r="Z145" s="66">
        <f>IF(ISERROR(VLOOKUP(RANK(Y145,$Y$4:$Y$182),Z$4:Z144,1,0)),RANK(Y145,$Y$4:$Y$182),IF(ISERROR(VLOOKUP((RANK(Y145,$Y$4:$Y$182)+1),Z$4:Z144,1,0)),(RANK(Y145,$Y$4:$Y$182)+1),IF(ISERROR(VLOOKUP((RANK(Y145,$Y$4:$Y$182)+2),Z$4:Z144,1,0)),(RANK(Y145,$Y$4:$Y$182)+2),(RANK(Y145,$Y$4:$Y$182)+3))))</f>
        <v>126</v>
      </c>
      <c r="AA145" t="str">
        <f t="shared" si="19"/>
        <v>Jason McKie</v>
      </c>
    </row>
    <row r="146" spans="1:27" ht="12.75" customHeight="1">
      <c r="A146" s="33" t="str">
        <f>ESPNData!R151</f>
        <v>Willis McGahee, Cle RB</v>
      </c>
      <c r="B146" s="33" t="str">
        <f t="shared" si="16"/>
        <v>Willis McGahee</v>
      </c>
      <c r="C146" s="64" t="str">
        <f t="shared" si="17"/>
        <v>CLE</v>
      </c>
      <c r="D146" s="117" t="str">
        <f>IF(OR(($A146=Settings!$A$30),ISERROR(VLOOKUP($B146,FFTodayData!$P:$Y,5,0))),"",VLOOKUP($B146,FFTodayData!$P:$Y,5,0))</f>
        <v/>
      </c>
      <c r="E146" s="33" t="str">
        <f>IF(OR(($A146=Settings!$A$30),ISERROR(VLOOKUP($B146,FFTodayData!$P:$Y,6,0))),"",VLOOKUP($B146,FFTodayData!$P:$Y,6,0))</f>
        <v/>
      </c>
      <c r="F146" s="33" t="str">
        <f>IF(OR(($A146=Settings!$A$30),ISERROR(VLOOKUP($B146,FFTodayData!$P:$Y,7,0))),"",VLOOKUP($B146,FFTodayData!$P:$Y,7,0))</f>
        <v/>
      </c>
      <c r="G146" s="33" t="str">
        <f>IF(OR(($A146=Settings!$A$30),ISERROR(VLOOKUP($B146,FFTodayData!$P:$Y,8,0))),"",VLOOKUP($B146,FFTodayData!$P:$Y,8,0))</f>
        <v/>
      </c>
      <c r="H146" s="64" t="str">
        <f>IF(OR(($A146=Settings!$A$30),ISERROR(VLOOKUP($B146,FFTodayData!$P:$Y,9,0))),"",VLOOKUP($B146,FFTodayData!$P:$Y,9,0))</f>
        <v/>
      </c>
      <c r="I146" s="117" t="str">
        <f>IF(ISERROR(VLOOKUP($A146,ESPNData!$R:$AE,9,0)),"",VLOOKUP($A146,ESPNData!$R:$AE,9,0))</f>
        <v>--</v>
      </c>
      <c r="J146" s="33" t="str">
        <f>IF(ISERROR(VLOOKUP($A146,ESPNData!$R:$AE,10,0)),"",VLOOKUP($A146,ESPNData!$R:$AE,10,0))</f>
        <v>--</v>
      </c>
      <c r="K146" s="33" t="str">
        <f>IF(ISERROR(VLOOKUP($A146,ESPNData!$R:$AE,11,0)),"",VLOOKUP($A146,ESPNData!$R:$AE,11,0))</f>
        <v>--</v>
      </c>
      <c r="L146" s="33" t="str">
        <f>IF(ISERROR(VLOOKUP($A146,ESPNData!$R:$AE,12,0)),"",VLOOKUP($A146,ESPNData!$R:$AE,12,0))</f>
        <v>--</v>
      </c>
      <c r="M146" s="64" t="str">
        <f>IF(ISERROR(VLOOKUP($A146,ESPNData!$R:$AE,13,0)),"",VLOOKUP($A146,ESPNData!$R:$AE,13,0))</f>
        <v>--</v>
      </c>
      <c r="N146" s="115" t="str">
        <f>IF(OR(($A146=Settings!$A$30),ISERROR(VLOOKUP($B146,SportslineData!$Q:$AB,4,0))),"",VLOOKUP($B146,SportslineData!$Q:$AB,4,0))</f>
        <v/>
      </c>
      <c r="O146" s="82" t="str">
        <f>IF(OR(($A146=Settings!$A$30),ISERROR(VLOOKUP($B146,SportslineData!$Q:$AB,6,0))),"",ROUND(VLOOKUP($B146,SportslineData!$Q:$AB,6,0),0))</f>
        <v/>
      </c>
      <c r="P146" s="82" t="str">
        <f>IF(OR(($A146=Settings!$A$30),ISERROR(VLOOKUP($B146,SportslineData!$Q:$AB,7,0))),"",ROUND(VLOOKUP($B146,SportslineData!$Q:$AB,7,0),0))</f>
        <v/>
      </c>
      <c r="Q146" s="82" t="str">
        <f>IF(OR(($A146=Settings!$A$30),ISERROR(VLOOKUP($B146,SportslineData!$Q:$AB,8,0))),"",VLOOKUP($B146,SportslineData!$Q:$AB,8,0))</f>
        <v/>
      </c>
      <c r="R146" s="82" t="str">
        <f>IF(OR(($A146=Settings!$A$30),ISERROR(VLOOKUP($B146,SportslineData!$Q:$AB,10,0))),"",ROUND(VLOOKUP($B146,SportslineData!$Q:$AB,10,0),0))</f>
        <v/>
      </c>
      <c r="S146" s="74" t="str">
        <f>IF(OR(($A146=Settings!$A$30),ISERROR(VLOOKUP($B146,SportslineData!$Q:$AB,11,0))),"",ROUND(VLOOKUP($B146,SportslineData!$Q:$AB,11,0),0))</f>
        <v/>
      </c>
      <c r="T146" s="117"/>
      <c r="U146" s="131">
        <f t="shared" si="18"/>
        <v>0</v>
      </c>
      <c r="V146" s="38">
        <f>IF(ISERROR(ROUND((((((ROUNDDOWN((D146/5),0)*Settings!$F$7)+(E146*Settings!$I$7))+(F146*Settings!$I$11))+(ROUNDDOWN((G146/5),0)*Settings!$F$11))+(H146*Settings!$F$12)),1)),0,ROUND((((((ROUNDDOWN((D146/5),0)*Settings!$F$7)+(E146*Settings!$I$7))+(F146*Settings!$I$11))+(ROUNDDOWN((G146/5),0)*Settings!$F$11))+(H146*Settings!$F$12)),1))</f>
        <v>0</v>
      </c>
      <c r="W146" s="38">
        <f>IF(ISERROR(ROUND((((((ROUNDDOWN((I146/5),0)*Settings!$F$7)+(J146*Settings!$I$7))+(K146*Settings!$I$11))+(ROUNDDOWN((L146/5),0)*Settings!$F$11))+(M146*Settings!$F$12)),1)),0,ROUND((((((ROUNDDOWN((I146/5),0)*Settings!$F$7)+(J146*Settings!$I$7))+(K146*Settings!$I$11))+(ROUNDDOWN((L146/5),0)*Settings!$F$11))+(M146*Settings!$F$12)),1))</f>
        <v>0</v>
      </c>
      <c r="X146" s="38">
        <f>IF(AND((N146=""),(P146="")),0,((((((ROUND((N146/5),0)*Settings!$F$7)+(O146*Settings!$I$7))+(P146*Settings!$I$11))+(ROUND((Q146/5),0)*Settings!$F$11))+(R146*Settings!$F$12))+(S146*Settings!$F$15)))</f>
        <v>0</v>
      </c>
      <c r="Y146" s="66">
        <f>ROUND((((V146*Settings!$B$21)+(W146*Settings!$B$22))+(X146*Settings!$B$23)),1)</f>
        <v>0</v>
      </c>
      <c r="Z146" s="66">
        <f>IF(ISERROR(VLOOKUP(RANK(Y146,$Y$4:$Y$182),Z$4:Z145,1,0)),RANK(Y146,$Y$4:$Y$182),IF(ISERROR(VLOOKUP((RANK(Y146,$Y$4:$Y$182)+1),Z$4:Z145,1,0)),(RANK(Y146,$Y$4:$Y$182)+1),IF(ISERROR(VLOOKUP((RANK(Y146,$Y$4:$Y$182)+2),Z$4:Z145,1,0)),(RANK(Y146,$Y$4:$Y$182)+2),(RANK(Y146,$Y$4:$Y$182)+3))))</f>
        <v>126</v>
      </c>
      <c r="AA146" t="str">
        <f t="shared" si="19"/>
        <v>Willis McGahee</v>
      </c>
    </row>
    <row r="147" spans="1:27" ht="12.75" customHeight="1">
      <c r="A147" s="33" t="str">
        <f>ESPNData!R152</f>
        <v>Larry Johnson, FA RB</v>
      </c>
      <c r="B147" s="33" t="str">
        <f t="shared" si="16"/>
        <v>Larry Johnson</v>
      </c>
      <c r="C147" s="64" t="str">
        <f t="shared" si="17"/>
        <v>FA</v>
      </c>
      <c r="D147" s="117" t="str">
        <f>IF(OR(($A147=Settings!$A$30),ISERROR(VLOOKUP($B147,FFTodayData!$P:$Y,5,0))),"",VLOOKUP($B147,FFTodayData!$P:$Y,5,0))</f>
        <v/>
      </c>
      <c r="E147" s="33" t="str">
        <f>IF(OR(($A147=Settings!$A$30),ISERROR(VLOOKUP($B147,FFTodayData!$P:$Y,6,0))),"",VLOOKUP($B147,FFTodayData!$P:$Y,6,0))</f>
        <v/>
      </c>
      <c r="F147" s="33" t="str">
        <f>IF(OR(($A147=Settings!$A$30),ISERROR(VLOOKUP($B147,FFTodayData!$P:$Y,7,0))),"",VLOOKUP($B147,FFTodayData!$P:$Y,7,0))</f>
        <v/>
      </c>
      <c r="G147" s="33" t="str">
        <f>IF(OR(($A147=Settings!$A$30),ISERROR(VLOOKUP($B147,FFTodayData!$P:$Y,8,0))),"",VLOOKUP($B147,FFTodayData!$P:$Y,8,0))</f>
        <v/>
      </c>
      <c r="H147" s="64" t="str">
        <f>IF(OR(($A147=Settings!$A$30),ISERROR(VLOOKUP($B147,FFTodayData!$P:$Y,9,0))),"",VLOOKUP($B147,FFTodayData!$P:$Y,9,0))</f>
        <v/>
      </c>
      <c r="I147" s="117" t="str">
        <f>IF(ISERROR(VLOOKUP($A147,ESPNData!$R:$AE,9,0)),"",VLOOKUP($A147,ESPNData!$R:$AE,9,0))</f>
        <v>--</v>
      </c>
      <c r="J147" s="33" t="str">
        <f>IF(ISERROR(VLOOKUP($A147,ESPNData!$R:$AE,10,0)),"",VLOOKUP($A147,ESPNData!$R:$AE,10,0))</f>
        <v>--</v>
      </c>
      <c r="K147" s="33" t="str">
        <f>IF(ISERROR(VLOOKUP($A147,ESPNData!$R:$AE,11,0)),"",VLOOKUP($A147,ESPNData!$R:$AE,11,0))</f>
        <v>--</v>
      </c>
      <c r="L147" s="33" t="str">
        <f>IF(ISERROR(VLOOKUP($A147,ESPNData!$R:$AE,12,0)),"",VLOOKUP($A147,ESPNData!$R:$AE,12,0))</f>
        <v>--</v>
      </c>
      <c r="M147" s="64" t="str">
        <f>IF(ISERROR(VLOOKUP($A147,ESPNData!$R:$AE,13,0)),"",VLOOKUP($A147,ESPNData!$R:$AE,13,0))</f>
        <v>--</v>
      </c>
      <c r="N147" s="115" t="str">
        <f>IF(OR(($A147=Settings!$A$30),ISERROR(VLOOKUP($B147,SportslineData!$Q:$AB,4,0))),"",VLOOKUP($B147,SportslineData!$Q:$AB,4,0))</f>
        <v/>
      </c>
      <c r="O147" s="82" t="str">
        <f>IF(OR(($A147=Settings!$A$30),ISERROR(VLOOKUP($B147,SportslineData!$Q:$AB,6,0))),"",ROUND(VLOOKUP($B147,SportslineData!$Q:$AB,6,0),0))</f>
        <v/>
      </c>
      <c r="P147" s="82" t="str">
        <f>IF(OR(($A147=Settings!$A$30),ISERROR(VLOOKUP($B147,SportslineData!$Q:$AB,7,0))),"",ROUND(VLOOKUP($B147,SportslineData!$Q:$AB,7,0),0))</f>
        <v/>
      </c>
      <c r="Q147" s="82" t="str">
        <f>IF(OR(($A147=Settings!$A$30),ISERROR(VLOOKUP($B147,SportslineData!$Q:$AB,8,0))),"",VLOOKUP($B147,SportslineData!$Q:$AB,8,0))</f>
        <v/>
      </c>
      <c r="R147" s="82" t="str">
        <f>IF(OR(($A147=Settings!$A$30),ISERROR(VLOOKUP($B147,SportslineData!$Q:$AB,10,0))),"",ROUND(VLOOKUP($B147,SportslineData!$Q:$AB,10,0),0))</f>
        <v/>
      </c>
      <c r="S147" s="74" t="str">
        <f>IF(OR(($A147=Settings!$A$30),ISERROR(VLOOKUP($B147,SportslineData!$Q:$AB,11,0))),"",ROUND(VLOOKUP($B147,SportslineData!$Q:$AB,11,0),0))</f>
        <v/>
      </c>
      <c r="T147" s="117"/>
      <c r="U147" s="131">
        <f t="shared" si="18"/>
        <v>0</v>
      </c>
      <c r="V147" s="38">
        <f>IF(ISERROR(ROUND((((((ROUNDDOWN((D147/5),0)*Settings!$F$7)+(E147*Settings!$I$7))+(F147*Settings!$I$11))+(ROUNDDOWN((G147/5),0)*Settings!$F$11))+(H147*Settings!$F$12)),1)),0,ROUND((((((ROUNDDOWN((D147/5),0)*Settings!$F$7)+(E147*Settings!$I$7))+(F147*Settings!$I$11))+(ROUNDDOWN((G147/5),0)*Settings!$F$11))+(H147*Settings!$F$12)),1))</f>
        <v>0</v>
      </c>
      <c r="W147" s="38">
        <f>IF(ISERROR(ROUND((((((ROUNDDOWN((I147/5),0)*Settings!$F$7)+(J147*Settings!$I$7))+(K147*Settings!$I$11))+(ROUNDDOWN((L147/5),0)*Settings!$F$11))+(M147*Settings!$F$12)),1)),0,ROUND((((((ROUNDDOWN((I147/5),0)*Settings!$F$7)+(J147*Settings!$I$7))+(K147*Settings!$I$11))+(ROUNDDOWN((L147/5),0)*Settings!$F$11))+(M147*Settings!$F$12)),1))</f>
        <v>0</v>
      </c>
      <c r="X147" s="38">
        <f>IF(AND((N147=""),(P147="")),0,((((((ROUND((N147/5),0)*Settings!$F$7)+(O147*Settings!$I$7))+(P147*Settings!$I$11))+(ROUND((Q147/5),0)*Settings!$F$11))+(R147*Settings!$F$12))+(S147*Settings!$F$15)))</f>
        <v>0</v>
      </c>
      <c r="Y147" s="66">
        <f>ROUND((((V147*Settings!$B$21)+(W147*Settings!$B$22))+(X147*Settings!$B$23)),1)</f>
        <v>0</v>
      </c>
      <c r="Z147" s="66">
        <f>IF(ISERROR(VLOOKUP(RANK(Y147,$Y$4:$Y$182),Z$4:Z146,1,0)),RANK(Y147,$Y$4:$Y$182),IF(ISERROR(VLOOKUP((RANK(Y147,$Y$4:$Y$182)+1),Z$4:Z146,1,0)),(RANK(Y147,$Y$4:$Y$182)+1),IF(ISERROR(VLOOKUP((RANK(Y147,$Y$4:$Y$182)+2),Z$4:Z146,1,0)),(RANK(Y147,$Y$4:$Y$182)+2),(RANK(Y147,$Y$4:$Y$182)+3))))</f>
        <v>126</v>
      </c>
      <c r="AA147" t="str">
        <f t="shared" si="19"/>
        <v>Larry Johnson</v>
      </c>
    </row>
    <row r="148" spans="1:27" ht="12.75" customHeight="1">
      <c r="A148" s="33" t="str">
        <f>ESPNData!R153</f>
        <v>Ovie Mughelli, FA RB</v>
      </c>
      <c r="B148" s="33" t="str">
        <f t="shared" si="16"/>
        <v>Ovie Mughelli</v>
      </c>
      <c r="C148" s="64" t="str">
        <f t="shared" si="17"/>
        <v>FA</v>
      </c>
      <c r="D148" s="117" t="str">
        <f>IF(OR(($A148=Settings!$A$30),ISERROR(VLOOKUP($B148,FFTodayData!$P:$Y,5,0))),"",VLOOKUP($B148,FFTodayData!$P:$Y,5,0))</f>
        <v/>
      </c>
      <c r="E148" s="33" t="str">
        <f>IF(OR(($A148=Settings!$A$30),ISERROR(VLOOKUP($B148,FFTodayData!$P:$Y,6,0))),"",VLOOKUP($B148,FFTodayData!$P:$Y,6,0))</f>
        <v/>
      </c>
      <c r="F148" s="33" t="str">
        <f>IF(OR(($A148=Settings!$A$30),ISERROR(VLOOKUP($B148,FFTodayData!$P:$Y,7,0))),"",VLOOKUP($B148,FFTodayData!$P:$Y,7,0))</f>
        <v/>
      </c>
      <c r="G148" s="33" t="str">
        <f>IF(OR(($A148=Settings!$A$30),ISERROR(VLOOKUP($B148,FFTodayData!$P:$Y,8,0))),"",VLOOKUP($B148,FFTodayData!$P:$Y,8,0))</f>
        <v/>
      </c>
      <c r="H148" s="64" t="str">
        <f>IF(OR(($A148=Settings!$A$30),ISERROR(VLOOKUP($B148,FFTodayData!$P:$Y,9,0))),"",VLOOKUP($B148,FFTodayData!$P:$Y,9,0))</f>
        <v/>
      </c>
      <c r="I148" s="117" t="str">
        <f>IF(ISERROR(VLOOKUP($A148,ESPNData!$R:$AE,9,0)),"",VLOOKUP($A148,ESPNData!$R:$AE,9,0))</f>
        <v>--</v>
      </c>
      <c r="J148" s="33" t="str">
        <f>IF(ISERROR(VLOOKUP($A148,ESPNData!$R:$AE,10,0)),"",VLOOKUP($A148,ESPNData!$R:$AE,10,0))</f>
        <v>--</v>
      </c>
      <c r="K148" s="33" t="str">
        <f>IF(ISERROR(VLOOKUP($A148,ESPNData!$R:$AE,11,0)),"",VLOOKUP($A148,ESPNData!$R:$AE,11,0))</f>
        <v>--</v>
      </c>
      <c r="L148" s="33" t="str">
        <f>IF(ISERROR(VLOOKUP($A148,ESPNData!$R:$AE,12,0)),"",VLOOKUP($A148,ESPNData!$R:$AE,12,0))</f>
        <v>--</v>
      </c>
      <c r="M148" s="64" t="str">
        <f>IF(ISERROR(VLOOKUP($A148,ESPNData!$R:$AE,13,0)),"",VLOOKUP($A148,ESPNData!$R:$AE,13,0))</f>
        <v>--</v>
      </c>
      <c r="N148" s="115" t="str">
        <f>IF(OR(($A148=Settings!$A$30),ISERROR(VLOOKUP($B148,SportslineData!$Q:$AB,4,0))),"",VLOOKUP($B148,SportslineData!$Q:$AB,4,0))</f>
        <v/>
      </c>
      <c r="O148" s="82" t="str">
        <f>IF(OR(($A148=Settings!$A$30),ISERROR(VLOOKUP($B148,SportslineData!$Q:$AB,6,0))),"",ROUND(VLOOKUP($B148,SportslineData!$Q:$AB,6,0),0))</f>
        <v/>
      </c>
      <c r="P148" s="82" t="str">
        <f>IF(OR(($A148=Settings!$A$30),ISERROR(VLOOKUP($B148,SportslineData!$Q:$AB,7,0))),"",ROUND(VLOOKUP($B148,SportslineData!$Q:$AB,7,0),0))</f>
        <v/>
      </c>
      <c r="Q148" s="82" t="str">
        <f>IF(OR(($A148=Settings!$A$30),ISERROR(VLOOKUP($B148,SportslineData!$Q:$AB,8,0))),"",VLOOKUP($B148,SportslineData!$Q:$AB,8,0))</f>
        <v/>
      </c>
      <c r="R148" s="82" t="str">
        <f>IF(OR(($A148=Settings!$A$30),ISERROR(VLOOKUP($B148,SportslineData!$Q:$AB,10,0))),"",ROUND(VLOOKUP($B148,SportslineData!$Q:$AB,10,0),0))</f>
        <v/>
      </c>
      <c r="S148" s="74" t="str">
        <f>IF(OR(($A148=Settings!$A$30),ISERROR(VLOOKUP($B148,SportslineData!$Q:$AB,11,0))),"",ROUND(VLOOKUP($B148,SportslineData!$Q:$AB,11,0),0))</f>
        <v/>
      </c>
      <c r="T148" s="117"/>
      <c r="U148" s="131">
        <f t="shared" si="18"/>
        <v>0</v>
      </c>
      <c r="V148" s="38">
        <f>IF(ISERROR(ROUND((((((ROUNDDOWN((D148/5),0)*Settings!$F$7)+(E148*Settings!$I$7))+(F148*Settings!$I$11))+(ROUNDDOWN((G148/5),0)*Settings!$F$11))+(H148*Settings!$F$12)),1)),0,ROUND((((((ROUNDDOWN((D148/5),0)*Settings!$F$7)+(E148*Settings!$I$7))+(F148*Settings!$I$11))+(ROUNDDOWN((G148/5),0)*Settings!$F$11))+(H148*Settings!$F$12)),1))</f>
        <v>0</v>
      </c>
      <c r="W148" s="38">
        <f>IF(ISERROR(ROUND((((((ROUNDDOWN((I148/5),0)*Settings!$F$7)+(J148*Settings!$I$7))+(K148*Settings!$I$11))+(ROUNDDOWN((L148/5),0)*Settings!$F$11))+(M148*Settings!$F$12)),1)),0,ROUND((((((ROUNDDOWN((I148/5),0)*Settings!$F$7)+(J148*Settings!$I$7))+(K148*Settings!$I$11))+(ROUNDDOWN((L148/5),0)*Settings!$F$11))+(M148*Settings!$F$12)),1))</f>
        <v>0</v>
      </c>
      <c r="X148" s="38">
        <f>IF(AND((N148=""),(P148="")),0,((((((ROUND((N148/5),0)*Settings!$F$7)+(O148*Settings!$I$7))+(P148*Settings!$I$11))+(ROUND((Q148/5),0)*Settings!$F$11))+(R148*Settings!$F$12))+(S148*Settings!$F$15)))</f>
        <v>0</v>
      </c>
      <c r="Y148" s="66">
        <f>ROUND((((V148*Settings!$B$21)+(W148*Settings!$B$22))+(X148*Settings!$B$23)),1)</f>
        <v>0</v>
      </c>
      <c r="Z148" s="66">
        <f>IF(ISERROR(VLOOKUP(RANK(Y148,$Y$4:$Y$182),Z$4:Z147,1,0)),RANK(Y148,$Y$4:$Y$182),IF(ISERROR(VLOOKUP((RANK(Y148,$Y$4:$Y$182)+1),Z$4:Z147,1,0)),(RANK(Y148,$Y$4:$Y$182)+1),IF(ISERROR(VLOOKUP((RANK(Y148,$Y$4:$Y$182)+2),Z$4:Z147,1,0)),(RANK(Y148,$Y$4:$Y$182)+2),(RANK(Y148,$Y$4:$Y$182)+3))))</f>
        <v>126</v>
      </c>
      <c r="AA148" t="str">
        <f t="shared" si="19"/>
        <v>Ovie Mughelli</v>
      </c>
    </row>
    <row r="149" spans="1:27" ht="12.75" customHeight="1">
      <c r="A149" s="33" t="str">
        <f>ESPNData!R154</f>
        <v>Earnest Graham, FA RB</v>
      </c>
      <c r="B149" s="33" t="str">
        <f t="shared" si="16"/>
        <v>Earnest Graham</v>
      </c>
      <c r="C149" s="64" t="str">
        <f t="shared" si="17"/>
        <v>FA</v>
      </c>
      <c r="D149" s="117" t="str">
        <f>IF(OR(($A149=Settings!$A$30),ISERROR(VLOOKUP($B149,FFTodayData!$P:$Y,5,0))),"",VLOOKUP($B149,FFTodayData!$P:$Y,5,0))</f>
        <v/>
      </c>
      <c r="E149" s="33" t="str">
        <f>IF(OR(($A149=Settings!$A$30),ISERROR(VLOOKUP($B149,FFTodayData!$P:$Y,6,0))),"",VLOOKUP($B149,FFTodayData!$P:$Y,6,0))</f>
        <v/>
      </c>
      <c r="F149" s="33" t="str">
        <f>IF(OR(($A149=Settings!$A$30),ISERROR(VLOOKUP($B149,FFTodayData!$P:$Y,7,0))),"",VLOOKUP($B149,FFTodayData!$P:$Y,7,0))</f>
        <v/>
      </c>
      <c r="G149" s="33" t="str">
        <f>IF(OR(($A149=Settings!$A$30),ISERROR(VLOOKUP($B149,FFTodayData!$P:$Y,8,0))),"",VLOOKUP($B149,FFTodayData!$P:$Y,8,0))</f>
        <v/>
      </c>
      <c r="H149" s="64" t="str">
        <f>IF(OR(($A149=Settings!$A$30),ISERROR(VLOOKUP($B149,FFTodayData!$P:$Y,9,0))),"",VLOOKUP($B149,FFTodayData!$P:$Y,9,0))</f>
        <v/>
      </c>
      <c r="I149" s="117" t="str">
        <f>IF(ISERROR(VLOOKUP($A149,ESPNData!$R:$AE,9,0)),"",VLOOKUP($A149,ESPNData!$R:$AE,9,0))</f>
        <v>--</v>
      </c>
      <c r="J149" s="33" t="str">
        <f>IF(ISERROR(VLOOKUP($A149,ESPNData!$R:$AE,10,0)),"",VLOOKUP($A149,ESPNData!$R:$AE,10,0))</f>
        <v>--</v>
      </c>
      <c r="K149" s="33" t="str">
        <f>IF(ISERROR(VLOOKUP($A149,ESPNData!$R:$AE,11,0)),"",VLOOKUP($A149,ESPNData!$R:$AE,11,0))</f>
        <v>--</v>
      </c>
      <c r="L149" s="33" t="str">
        <f>IF(ISERROR(VLOOKUP($A149,ESPNData!$R:$AE,12,0)),"",VLOOKUP($A149,ESPNData!$R:$AE,12,0))</f>
        <v>--</v>
      </c>
      <c r="M149" s="64" t="str">
        <f>IF(ISERROR(VLOOKUP($A149,ESPNData!$R:$AE,13,0)),"",VLOOKUP($A149,ESPNData!$R:$AE,13,0))</f>
        <v>--</v>
      </c>
      <c r="N149" s="115" t="str">
        <f>IF(OR(($A149=Settings!$A$30),ISERROR(VLOOKUP($B149,SportslineData!$Q:$AB,4,0))),"",VLOOKUP($B149,SportslineData!$Q:$AB,4,0))</f>
        <v/>
      </c>
      <c r="O149" s="82" t="str">
        <f>IF(OR(($A149=Settings!$A$30),ISERROR(VLOOKUP($B149,SportslineData!$Q:$AB,6,0))),"",ROUND(VLOOKUP($B149,SportslineData!$Q:$AB,6,0),0))</f>
        <v/>
      </c>
      <c r="P149" s="82" t="str">
        <f>IF(OR(($A149=Settings!$A$30),ISERROR(VLOOKUP($B149,SportslineData!$Q:$AB,7,0))),"",ROUND(VLOOKUP($B149,SportslineData!$Q:$AB,7,0),0))</f>
        <v/>
      </c>
      <c r="Q149" s="82" t="str">
        <f>IF(OR(($A149=Settings!$A$30),ISERROR(VLOOKUP($B149,SportslineData!$Q:$AB,8,0))),"",VLOOKUP($B149,SportslineData!$Q:$AB,8,0))</f>
        <v/>
      </c>
      <c r="R149" s="82" t="str">
        <f>IF(OR(($A149=Settings!$A$30),ISERROR(VLOOKUP($B149,SportslineData!$Q:$AB,10,0))),"",ROUND(VLOOKUP($B149,SportslineData!$Q:$AB,10,0),0))</f>
        <v/>
      </c>
      <c r="S149" s="74" t="str">
        <f>IF(OR(($A149=Settings!$A$30),ISERROR(VLOOKUP($B149,SportslineData!$Q:$AB,11,0))),"",ROUND(VLOOKUP($B149,SportslineData!$Q:$AB,11,0),0))</f>
        <v/>
      </c>
      <c r="T149" s="117"/>
      <c r="U149" s="131">
        <f t="shared" si="18"/>
        <v>0</v>
      </c>
      <c r="V149" s="38">
        <f>IF(ISERROR(ROUND((((((ROUNDDOWN((D149/5),0)*Settings!$F$7)+(E149*Settings!$I$7))+(F149*Settings!$I$11))+(ROUNDDOWN((G149/5),0)*Settings!$F$11))+(H149*Settings!$F$12)),1)),0,ROUND((((((ROUNDDOWN((D149/5),0)*Settings!$F$7)+(E149*Settings!$I$7))+(F149*Settings!$I$11))+(ROUNDDOWN((G149/5),0)*Settings!$F$11))+(H149*Settings!$F$12)),1))</f>
        <v>0</v>
      </c>
      <c r="W149" s="38">
        <f>IF(ISERROR(ROUND((((((ROUNDDOWN((I149/5),0)*Settings!$F$7)+(J149*Settings!$I$7))+(K149*Settings!$I$11))+(ROUNDDOWN((L149/5),0)*Settings!$F$11))+(M149*Settings!$F$12)),1)),0,ROUND((((((ROUNDDOWN((I149/5),0)*Settings!$F$7)+(J149*Settings!$I$7))+(K149*Settings!$I$11))+(ROUNDDOWN((L149/5),0)*Settings!$F$11))+(M149*Settings!$F$12)),1))</f>
        <v>0</v>
      </c>
      <c r="X149" s="38">
        <f>IF(AND((N149=""),(P149="")),0,((((((ROUND((N149/5),0)*Settings!$F$7)+(O149*Settings!$I$7))+(P149*Settings!$I$11))+(ROUND((Q149/5),0)*Settings!$F$11))+(R149*Settings!$F$12))+(S149*Settings!$F$15)))</f>
        <v>0</v>
      </c>
      <c r="Y149" s="66">
        <f>ROUND((((V149*Settings!$B$21)+(W149*Settings!$B$22))+(X149*Settings!$B$23)),1)</f>
        <v>0</v>
      </c>
      <c r="Z149" s="66">
        <f>IF(ISERROR(VLOOKUP(RANK(Y149,$Y$4:$Y$182),Z$4:Z148,1,0)),RANK(Y149,$Y$4:$Y$182),IF(ISERROR(VLOOKUP((RANK(Y149,$Y$4:$Y$182)+1),Z$4:Z148,1,0)),(RANK(Y149,$Y$4:$Y$182)+1),IF(ISERROR(VLOOKUP((RANK(Y149,$Y$4:$Y$182)+2),Z$4:Z148,1,0)),(RANK(Y149,$Y$4:$Y$182)+2),(RANK(Y149,$Y$4:$Y$182)+3))))</f>
        <v>126</v>
      </c>
      <c r="AA149" t="str">
        <f t="shared" si="19"/>
        <v>Earnest Graham</v>
      </c>
    </row>
    <row r="150" spans="1:27" ht="12.75" customHeight="1">
      <c r="A150" s="33" t="str">
        <f>ESPNData!R155</f>
        <v>Kevin Jones, FA RB</v>
      </c>
      <c r="B150" s="33" t="str">
        <f t="shared" si="16"/>
        <v>Kevin Jones</v>
      </c>
      <c r="C150" s="64" t="str">
        <f t="shared" si="17"/>
        <v>FA</v>
      </c>
      <c r="D150" s="117" t="str">
        <f>IF(OR(($A150=Settings!$A$30),ISERROR(VLOOKUP($B150,FFTodayData!$P:$Y,5,0))),"",VLOOKUP($B150,FFTodayData!$P:$Y,5,0))</f>
        <v/>
      </c>
      <c r="E150" s="33" t="str">
        <f>IF(OR(($A150=Settings!$A$30),ISERROR(VLOOKUP($B150,FFTodayData!$P:$Y,6,0))),"",VLOOKUP($B150,FFTodayData!$P:$Y,6,0))</f>
        <v/>
      </c>
      <c r="F150" s="33" t="str">
        <f>IF(OR(($A150=Settings!$A$30),ISERROR(VLOOKUP($B150,FFTodayData!$P:$Y,7,0))),"",VLOOKUP($B150,FFTodayData!$P:$Y,7,0))</f>
        <v/>
      </c>
      <c r="G150" s="33" t="str">
        <f>IF(OR(($A150=Settings!$A$30),ISERROR(VLOOKUP($B150,FFTodayData!$P:$Y,8,0))),"",VLOOKUP($B150,FFTodayData!$P:$Y,8,0))</f>
        <v/>
      </c>
      <c r="H150" s="64" t="str">
        <f>IF(OR(($A150=Settings!$A$30),ISERROR(VLOOKUP($B150,FFTodayData!$P:$Y,9,0))),"",VLOOKUP($B150,FFTodayData!$P:$Y,9,0))</f>
        <v/>
      </c>
      <c r="I150" s="117" t="str">
        <f>IF(ISERROR(VLOOKUP($A150,ESPNData!$R:$AE,9,0)),"",VLOOKUP($A150,ESPNData!$R:$AE,9,0))</f>
        <v>--</v>
      </c>
      <c r="J150" s="33" t="str">
        <f>IF(ISERROR(VLOOKUP($A150,ESPNData!$R:$AE,10,0)),"",VLOOKUP($A150,ESPNData!$R:$AE,10,0))</f>
        <v>--</v>
      </c>
      <c r="K150" s="33" t="str">
        <f>IF(ISERROR(VLOOKUP($A150,ESPNData!$R:$AE,11,0)),"",VLOOKUP($A150,ESPNData!$R:$AE,11,0))</f>
        <v>--</v>
      </c>
      <c r="L150" s="33" t="str">
        <f>IF(ISERROR(VLOOKUP($A150,ESPNData!$R:$AE,12,0)),"",VLOOKUP($A150,ESPNData!$R:$AE,12,0))</f>
        <v>--</v>
      </c>
      <c r="M150" s="64" t="str">
        <f>IF(ISERROR(VLOOKUP($A150,ESPNData!$R:$AE,13,0)),"",VLOOKUP($A150,ESPNData!$R:$AE,13,0))</f>
        <v>--</v>
      </c>
      <c r="N150" s="115" t="str">
        <f>IF(OR(($A150=Settings!$A$30),ISERROR(VLOOKUP($B150,SportslineData!$Q:$AB,4,0))),"",VLOOKUP($B150,SportslineData!$Q:$AB,4,0))</f>
        <v/>
      </c>
      <c r="O150" s="82" t="str">
        <f>IF(OR(($A150=Settings!$A$30),ISERROR(VLOOKUP($B150,SportslineData!$Q:$AB,6,0))),"",ROUND(VLOOKUP($B150,SportslineData!$Q:$AB,6,0),0))</f>
        <v/>
      </c>
      <c r="P150" s="82" t="str">
        <f>IF(OR(($A150=Settings!$A$30),ISERROR(VLOOKUP($B150,SportslineData!$Q:$AB,7,0))),"",ROUND(VLOOKUP($B150,SportslineData!$Q:$AB,7,0),0))</f>
        <v/>
      </c>
      <c r="Q150" s="82" t="str">
        <f>IF(OR(($A150=Settings!$A$30),ISERROR(VLOOKUP($B150,SportslineData!$Q:$AB,8,0))),"",VLOOKUP($B150,SportslineData!$Q:$AB,8,0))</f>
        <v/>
      </c>
      <c r="R150" s="82" t="str">
        <f>IF(OR(($A150=Settings!$A$30),ISERROR(VLOOKUP($B150,SportslineData!$Q:$AB,10,0))),"",ROUND(VLOOKUP($B150,SportslineData!$Q:$AB,10,0),0))</f>
        <v/>
      </c>
      <c r="S150" s="74" t="str">
        <f>IF(OR(($A150=Settings!$A$30),ISERROR(VLOOKUP($B150,SportslineData!$Q:$AB,11,0))),"",ROUND(VLOOKUP($B150,SportslineData!$Q:$AB,11,0),0))</f>
        <v/>
      </c>
      <c r="T150" s="117"/>
      <c r="U150" s="131">
        <f t="shared" si="18"/>
        <v>0</v>
      </c>
      <c r="V150" s="38">
        <f>IF(ISERROR(ROUND((((((ROUNDDOWN((D150/5),0)*Settings!$F$7)+(E150*Settings!$I$7))+(F150*Settings!$I$11))+(ROUNDDOWN((G150/5),0)*Settings!$F$11))+(H150*Settings!$F$12)),1)),0,ROUND((((((ROUNDDOWN((D150/5),0)*Settings!$F$7)+(E150*Settings!$I$7))+(F150*Settings!$I$11))+(ROUNDDOWN((G150/5),0)*Settings!$F$11))+(H150*Settings!$F$12)),1))</f>
        <v>0</v>
      </c>
      <c r="W150" s="38">
        <f>IF(ISERROR(ROUND((((((ROUNDDOWN((I150/5),0)*Settings!$F$7)+(J150*Settings!$I$7))+(K150*Settings!$I$11))+(ROUNDDOWN((L150/5),0)*Settings!$F$11))+(M150*Settings!$F$12)),1)),0,ROUND((((((ROUNDDOWN((I150/5),0)*Settings!$F$7)+(J150*Settings!$I$7))+(K150*Settings!$I$11))+(ROUNDDOWN((L150/5),0)*Settings!$F$11))+(M150*Settings!$F$12)),1))</f>
        <v>0</v>
      </c>
      <c r="X150" s="38">
        <f>IF(AND((N150=""),(P150="")),0,((((((ROUND((N150/5),0)*Settings!$F$7)+(O150*Settings!$I$7))+(P150*Settings!$I$11))+(ROUND((Q150/5),0)*Settings!$F$11))+(R150*Settings!$F$12))+(S150*Settings!$F$15)))</f>
        <v>0</v>
      </c>
      <c r="Y150" s="66">
        <f>ROUND((((V150*Settings!$B$21)+(W150*Settings!$B$22))+(X150*Settings!$B$23)),1)</f>
        <v>0</v>
      </c>
      <c r="Z150" s="66">
        <f>IF(ISERROR(VLOOKUP(RANK(Y150,$Y$4:$Y$182),Z$4:Z149,1,0)),RANK(Y150,$Y$4:$Y$182),IF(ISERROR(VLOOKUP((RANK(Y150,$Y$4:$Y$182)+1),Z$4:Z149,1,0)),(RANK(Y150,$Y$4:$Y$182)+1),IF(ISERROR(VLOOKUP((RANK(Y150,$Y$4:$Y$182)+2),Z$4:Z149,1,0)),(RANK(Y150,$Y$4:$Y$182)+2),(RANK(Y150,$Y$4:$Y$182)+3))))</f>
        <v>126</v>
      </c>
      <c r="AA150" t="str">
        <f t="shared" si="19"/>
        <v>Kevin Jones</v>
      </c>
    </row>
    <row r="151" spans="1:27" ht="12.75" customHeight="1">
      <c r="A151" s="33" t="str">
        <f>ESPNData!R156</f>
        <v>Julius Jones, FA RB</v>
      </c>
      <c r="B151" s="33" t="str">
        <f t="shared" si="16"/>
        <v>Julius Jones</v>
      </c>
      <c r="C151" s="64" t="str">
        <f t="shared" si="17"/>
        <v>FA</v>
      </c>
      <c r="D151" s="117" t="str">
        <f>IF(OR(($A151=Settings!$A$30),ISERROR(VLOOKUP($B151,FFTodayData!$P:$Y,5,0))),"",VLOOKUP($B151,FFTodayData!$P:$Y,5,0))</f>
        <v/>
      </c>
      <c r="E151" s="33" t="str">
        <f>IF(OR(($A151=Settings!$A$30),ISERROR(VLOOKUP($B151,FFTodayData!$P:$Y,6,0))),"",VLOOKUP($B151,FFTodayData!$P:$Y,6,0))</f>
        <v/>
      </c>
      <c r="F151" s="33" t="str">
        <f>IF(OR(($A151=Settings!$A$30),ISERROR(VLOOKUP($B151,FFTodayData!$P:$Y,7,0))),"",VLOOKUP($B151,FFTodayData!$P:$Y,7,0))</f>
        <v/>
      </c>
      <c r="G151" s="33" t="str">
        <f>IF(OR(($A151=Settings!$A$30),ISERROR(VLOOKUP($B151,FFTodayData!$P:$Y,8,0))),"",VLOOKUP($B151,FFTodayData!$P:$Y,8,0))</f>
        <v/>
      </c>
      <c r="H151" s="64" t="str">
        <f>IF(OR(($A151=Settings!$A$30),ISERROR(VLOOKUP($B151,FFTodayData!$P:$Y,9,0))),"",VLOOKUP($B151,FFTodayData!$P:$Y,9,0))</f>
        <v/>
      </c>
      <c r="I151" s="117" t="str">
        <f>IF(ISERROR(VLOOKUP($A151,ESPNData!$R:$AE,9,0)),"",VLOOKUP($A151,ESPNData!$R:$AE,9,0))</f>
        <v>--</v>
      </c>
      <c r="J151" s="33" t="str">
        <f>IF(ISERROR(VLOOKUP($A151,ESPNData!$R:$AE,10,0)),"",VLOOKUP($A151,ESPNData!$R:$AE,10,0))</f>
        <v>--</v>
      </c>
      <c r="K151" s="33" t="str">
        <f>IF(ISERROR(VLOOKUP($A151,ESPNData!$R:$AE,11,0)),"",VLOOKUP($A151,ESPNData!$R:$AE,11,0))</f>
        <v>--</v>
      </c>
      <c r="L151" s="33" t="str">
        <f>IF(ISERROR(VLOOKUP($A151,ESPNData!$R:$AE,12,0)),"",VLOOKUP($A151,ESPNData!$R:$AE,12,0))</f>
        <v>--</v>
      </c>
      <c r="M151" s="64" t="str">
        <f>IF(ISERROR(VLOOKUP($A151,ESPNData!$R:$AE,13,0)),"",VLOOKUP($A151,ESPNData!$R:$AE,13,0))</f>
        <v>--</v>
      </c>
      <c r="N151" s="115" t="str">
        <f>IF(OR(($A151=Settings!$A$30),ISERROR(VLOOKUP($B151,SportslineData!$Q:$AB,4,0))),"",VLOOKUP($B151,SportslineData!$Q:$AB,4,0))</f>
        <v/>
      </c>
      <c r="O151" s="82" t="str">
        <f>IF(OR(($A151=Settings!$A$30),ISERROR(VLOOKUP($B151,SportslineData!$Q:$AB,6,0))),"",ROUND(VLOOKUP($B151,SportslineData!$Q:$AB,6,0),0))</f>
        <v/>
      </c>
      <c r="P151" s="82" t="str">
        <f>IF(OR(($A151=Settings!$A$30),ISERROR(VLOOKUP($B151,SportslineData!$Q:$AB,7,0))),"",ROUND(VLOOKUP($B151,SportslineData!$Q:$AB,7,0),0))</f>
        <v/>
      </c>
      <c r="Q151" s="82" t="str">
        <f>IF(OR(($A151=Settings!$A$30),ISERROR(VLOOKUP($B151,SportslineData!$Q:$AB,8,0))),"",VLOOKUP($B151,SportslineData!$Q:$AB,8,0))</f>
        <v/>
      </c>
      <c r="R151" s="82" t="str">
        <f>IF(OR(($A151=Settings!$A$30),ISERROR(VLOOKUP($B151,SportslineData!$Q:$AB,10,0))),"",ROUND(VLOOKUP($B151,SportslineData!$Q:$AB,10,0),0))</f>
        <v/>
      </c>
      <c r="S151" s="74" t="str">
        <f>IF(OR(($A151=Settings!$A$30),ISERROR(VLOOKUP($B151,SportslineData!$Q:$AB,11,0))),"",ROUND(VLOOKUP($B151,SportslineData!$Q:$AB,11,0),0))</f>
        <v/>
      </c>
      <c r="T151" s="117"/>
      <c r="U151" s="131">
        <f t="shared" si="18"/>
        <v>0</v>
      </c>
      <c r="V151" s="38">
        <f>IF(ISERROR(ROUND((((((ROUNDDOWN((D151/5),0)*Settings!$F$7)+(E151*Settings!$I$7))+(F151*Settings!$I$11))+(ROUNDDOWN((G151/5),0)*Settings!$F$11))+(H151*Settings!$F$12)),1)),0,ROUND((((((ROUNDDOWN((D151/5),0)*Settings!$F$7)+(E151*Settings!$I$7))+(F151*Settings!$I$11))+(ROUNDDOWN((G151/5),0)*Settings!$F$11))+(H151*Settings!$F$12)),1))</f>
        <v>0</v>
      </c>
      <c r="W151" s="38">
        <f>IF(ISERROR(ROUND((((((ROUNDDOWN((I151/5),0)*Settings!$F$7)+(J151*Settings!$I$7))+(K151*Settings!$I$11))+(ROUNDDOWN((L151/5),0)*Settings!$F$11))+(M151*Settings!$F$12)),1)),0,ROUND((((((ROUNDDOWN((I151/5),0)*Settings!$F$7)+(J151*Settings!$I$7))+(K151*Settings!$I$11))+(ROUNDDOWN((L151/5),0)*Settings!$F$11))+(M151*Settings!$F$12)),1))</f>
        <v>0</v>
      </c>
      <c r="X151" s="38">
        <f>IF(AND((N151=""),(P151="")),0,((((((ROUND((N151/5),0)*Settings!$F$7)+(O151*Settings!$I$7))+(P151*Settings!$I$11))+(ROUND((Q151/5),0)*Settings!$F$11))+(R151*Settings!$F$12))+(S151*Settings!$F$15)))</f>
        <v>0</v>
      </c>
      <c r="Y151" s="66">
        <f>ROUND((((V151*Settings!$B$21)+(W151*Settings!$B$22))+(X151*Settings!$B$23)),1)</f>
        <v>0</v>
      </c>
      <c r="Z151" s="66">
        <f>IF(ISERROR(VLOOKUP(RANK(Y151,$Y$4:$Y$182),Z$4:Z150,1,0)),RANK(Y151,$Y$4:$Y$182),IF(ISERROR(VLOOKUP((RANK(Y151,$Y$4:$Y$182)+1),Z$4:Z150,1,0)),(RANK(Y151,$Y$4:$Y$182)+1),IF(ISERROR(VLOOKUP((RANK(Y151,$Y$4:$Y$182)+2),Z$4:Z150,1,0)),(RANK(Y151,$Y$4:$Y$182)+2),(RANK(Y151,$Y$4:$Y$182)+3))))</f>
        <v>126</v>
      </c>
      <c r="AA151" t="str">
        <f t="shared" si="19"/>
        <v>Julius Jones</v>
      </c>
    </row>
    <row r="152" spans="1:27" ht="12.75" customHeight="1">
      <c r="A152" s="33" t="str">
        <f>ESPNData!R157</f>
        <v>Greg Jones, Hou RB</v>
      </c>
      <c r="B152" s="33" t="str">
        <f t="shared" si="16"/>
        <v>Greg Jones</v>
      </c>
      <c r="C152" s="64" t="str">
        <f t="shared" si="17"/>
        <v>HOU</v>
      </c>
      <c r="D152" s="117">
        <f>IF(OR(($A152=Settings!$A$30),ISERROR(VLOOKUP($B152,FFTodayData!$P:$Y,5,0))),"",VLOOKUP($B152,FFTodayData!$P:$Y,5,0))</f>
        <v>35</v>
      </c>
      <c r="E152" s="33">
        <f>IF(OR(($A152=Settings!$A$30),ISERROR(VLOOKUP($B152,FFTodayData!$P:$Y,6,0))),"",VLOOKUP($B152,FFTodayData!$P:$Y,6,0))</f>
        <v>0</v>
      </c>
      <c r="F152" s="33">
        <f>IF(OR(($A152=Settings!$A$30),ISERROR(VLOOKUP($B152,FFTodayData!$P:$Y,7,0))),"",VLOOKUP($B152,FFTodayData!$P:$Y,7,0))</f>
        <v>4</v>
      </c>
      <c r="G152" s="33">
        <f>IF(OR(($A152=Settings!$A$30),ISERROR(VLOOKUP($B152,FFTodayData!$P:$Y,8,0))),"",VLOOKUP($B152,FFTodayData!$P:$Y,8,0))</f>
        <v>21</v>
      </c>
      <c r="H152" s="64">
        <f>IF(OR(($A152=Settings!$A$30),ISERROR(VLOOKUP($B152,FFTodayData!$P:$Y,9,0))),"",VLOOKUP($B152,FFTodayData!$P:$Y,9,0))</f>
        <v>0</v>
      </c>
      <c r="I152" s="117" t="str">
        <f>IF(ISERROR(VLOOKUP($A152,ESPNData!$R:$AE,9,0)),"",VLOOKUP($A152,ESPNData!$R:$AE,9,0))</f>
        <v>--</v>
      </c>
      <c r="J152" s="33" t="str">
        <f>IF(ISERROR(VLOOKUP($A152,ESPNData!$R:$AE,10,0)),"",VLOOKUP($A152,ESPNData!$R:$AE,10,0))</f>
        <v>--</v>
      </c>
      <c r="K152" s="33" t="str">
        <f>IF(ISERROR(VLOOKUP($A152,ESPNData!$R:$AE,11,0)),"",VLOOKUP($A152,ESPNData!$R:$AE,11,0))</f>
        <v>--</v>
      </c>
      <c r="L152" s="33" t="str">
        <f>IF(ISERROR(VLOOKUP($A152,ESPNData!$R:$AE,12,0)),"",VLOOKUP($A152,ESPNData!$R:$AE,12,0))</f>
        <v>--</v>
      </c>
      <c r="M152" s="64" t="str">
        <f>IF(ISERROR(VLOOKUP($A152,ESPNData!$R:$AE,13,0)),"",VLOOKUP($A152,ESPNData!$R:$AE,13,0))</f>
        <v>--</v>
      </c>
      <c r="N152" s="115" t="str">
        <f>IF(OR(($A152=Settings!$A$30),ISERROR(VLOOKUP($B152,SportslineData!$Q:$AB,4,0))),"",VLOOKUP($B152,SportslineData!$Q:$AB,4,0))</f>
        <v/>
      </c>
      <c r="O152" s="82" t="str">
        <f>IF(OR(($A152=Settings!$A$30),ISERROR(VLOOKUP($B152,SportslineData!$Q:$AB,6,0))),"",ROUND(VLOOKUP($B152,SportslineData!$Q:$AB,6,0),0))</f>
        <v/>
      </c>
      <c r="P152" s="82" t="str">
        <f>IF(OR(($A152=Settings!$A$30),ISERROR(VLOOKUP($B152,SportslineData!$Q:$AB,7,0))),"",ROUND(VLOOKUP($B152,SportslineData!$Q:$AB,7,0),0))</f>
        <v/>
      </c>
      <c r="Q152" s="82" t="str">
        <f>IF(OR(($A152=Settings!$A$30),ISERROR(VLOOKUP($B152,SportslineData!$Q:$AB,8,0))),"",VLOOKUP($B152,SportslineData!$Q:$AB,8,0))</f>
        <v/>
      </c>
      <c r="R152" s="82" t="str">
        <f>IF(OR(($A152=Settings!$A$30),ISERROR(VLOOKUP($B152,SportslineData!$Q:$AB,10,0))),"",ROUND(VLOOKUP($B152,SportslineData!$Q:$AB,10,0),0))</f>
        <v/>
      </c>
      <c r="S152" s="74" t="str">
        <f>IF(OR(($A152=Settings!$A$30),ISERROR(VLOOKUP($B152,SportslineData!$Q:$AB,11,0))),"",ROUND(VLOOKUP($B152,SportslineData!$Q:$AB,11,0),0))</f>
        <v/>
      </c>
      <c r="T152" s="117"/>
      <c r="U152" s="131">
        <f t="shared" si="18"/>
        <v>4.3301270189221936</v>
      </c>
      <c r="V152" s="38">
        <f>IF(ISERROR(ROUND((((((ROUNDDOWN((D152/5),0)*Settings!$F$7)+(E152*Settings!$I$7))+(F152*Settings!$I$11))+(ROUNDDOWN((G152/5),0)*Settings!$F$11))+(H152*Settings!$F$12)),1)),0,ROUND((((((ROUNDDOWN((D152/5),0)*Settings!$F$7)+(E152*Settings!$I$7))+(F152*Settings!$I$11))+(ROUNDDOWN((G152/5),0)*Settings!$F$11))+(H152*Settings!$F$12)),1))</f>
        <v>7.5</v>
      </c>
      <c r="W152" s="38">
        <f>IF(ISERROR(ROUND((((((ROUNDDOWN((I152/5),0)*Settings!$F$7)+(J152*Settings!$I$7))+(K152*Settings!$I$11))+(ROUNDDOWN((L152/5),0)*Settings!$F$11))+(M152*Settings!$F$12)),1)),0,ROUND((((((ROUNDDOWN((I152/5),0)*Settings!$F$7)+(J152*Settings!$I$7))+(K152*Settings!$I$11))+(ROUNDDOWN((L152/5),0)*Settings!$F$11))+(M152*Settings!$F$12)),1))</f>
        <v>0</v>
      </c>
      <c r="X152" s="38">
        <f>IF(AND((N152=""),(P152="")),0,((((((ROUND((N152/5),0)*Settings!$F$7)+(O152*Settings!$I$7))+(P152*Settings!$I$11))+(ROUND((Q152/5),0)*Settings!$F$11))+(R152*Settings!$F$12))+(S152*Settings!$F$15)))</f>
        <v>0</v>
      </c>
      <c r="Y152" s="66">
        <f>ROUND((((V152*Settings!$B$21)+(W152*Settings!$B$22))+(X152*Settings!$B$23)),1)</f>
        <v>2.5</v>
      </c>
      <c r="Z152" s="66">
        <f>IF(ISERROR(VLOOKUP(RANK(Y152,$Y$4:$Y$182),Z$4:Z151,1,0)),RANK(Y152,$Y$4:$Y$182),IF(ISERROR(VLOOKUP((RANK(Y152,$Y$4:$Y$182)+1),Z$4:Z151,1,0)),(RANK(Y152,$Y$4:$Y$182)+1),IF(ISERROR(VLOOKUP((RANK(Y152,$Y$4:$Y$182)+2),Z$4:Z151,1,0)),(RANK(Y152,$Y$4:$Y$182)+2),(RANK(Y152,$Y$4:$Y$182)+3))))</f>
        <v>120</v>
      </c>
      <c r="AA152" t="str">
        <f t="shared" si="19"/>
        <v>Greg Jones</v>
      </c>
    </row>
    <row r="153" spans="1:27" ht="12.75" customHeight="1">
      <c r="A153" s="33" t="str">
        <f>ESPNData!R158</f>
        <v>Mewelde Moore, FA RB</v>
      </c>
      <c r="B153" s="33" t="str">
        <f t="shared" si="16"/>
        <v>Mewelde Moore</v>
      </c>
      <c r="C153" s="64" t="str">
        <f t="shared" si="17"/>
        <v>FA</v>
      </c>
      <c r="D153" s="117" t="str">
        <f>IF(OR(($A153=Settings!$A$30),ISERROR(VLOOKUP($B153,FFTodayData!$P:$Y,5,0))),"",VLOOKUP($B153,FFTodayData!$P:$Y,5,0))</f>
        <v/>
      </c>
      <c r="E153" s="33" t="str">
        <f>IF(OR(($A153=Settings!$A$30),ISERROR(VLOOKUP($B153,FFTodayData!$P:$Y,6,0))),"",VLOOKUP($B153,FFTodayData!$P:$Y,6,0))</f>
        <v/>
      </c>
      <c r="F153" s="33" t="str">
        <f>IF(OR(($A153=Settings!$A$30),ISERROR(VLOOKUP($B153,FFTodayData!$P:$Y,7,0))),"",VLOOKUP($B153,FFTodayData!$P:$Y,7,0))</f>
        <v/>
      </c>
      <c r="G153" s="33" t="str">
        <f>IF(OR(($A153=Settings!$A$30),ISERROR(VLOOKUP($B153,FFTodayData!$P:$Y,8,0))),"",VLOOKUP($B153,FFTodayData!$P:$Y,8,0))</f>
        <v/>
      </c>
      <c r="H153" s="64" t="str">
        <f>IF(OR(($A153=Settings!$A$30),ISERROR(VLOOKUP($B153,FFTodayData!$P:$Y,9,0))),"",VLOOKUP($B153,FFTodayData!$P:$Y,9,0))</f>
        <v/>
      </c>
      <c r="I153" s="117" t="str">
        <f>IF(ISERROR(VLOOKUP($A153,ESPNData!$R:$AE,9,0)),"",VLOOKUP($A153,ESPNData!$R:$AE,9,0))</f>
        <v>--</v>
      </c>
      <c r="J153" s="33" t="str">
        <f>IF(ISERROR(VLOOKUP($A153,ESPNData!$R:$AE,10,0)),"",VLOOKUP($A153,ESPNData!$R:$AE,10,0))</f>
        <v>--</v>
      </c>
      <c r="K153" s="33" t="str">
        <f>IF(ISERROR(VLOOKUP($A153,ESPNData!$R:$AE,11,0)),"",VLOOKUP($A153,ESPNData!$R:$AE,11,0))</f>
        <v>--</v>
      </c>
      <c r="L153" s="33" t="str">
        <f>IF(ISERROR(VLOOKUP($A153,ESPNData!$R:$AE,12,0)),"",VLOOKUP($A153,ESPNData!$R:$AE,12,0))</f>
        <v>--</v>
      </c>
      <c r="M153" s="64" t="str">
        <f>IF(ISERROR(VLOOKUP($A153,ESPNData!$R:$AE,13,0)),"",VLOOKUP($A153,ESPNData!$R:$AE,13,0))</f>
        <v>--</v>
      </c>
      <c r="N153" s="115" t="str">
        <f>IF(OR(($A153=Settings!$A$30),ISERROR(VLOOKUP($B153,SportslineData!$Q:$AB,4,0))),"",VLOOKUP($B153,SportslineData!$Q:$AB,4,0))</f>
        <v/>
      </c>
      <c r="O153" s="82" t="str">
        <f>IF(OR(($A153=Settings!$A$30),ISERROR(VLOOKUP($B153,SportslineData!$Q:$AB,6,0))),"",ROUND(VLOOKUP($B153,SportslineData!$Q:$AB,6,0),0))</f>
        <v/>
      </c>
      <c r="P153" s="82" t="str">
        <f>IF(OR(($A153=Settings!$A$30),ISERROR(VLOOKUP($B153,SportslineData!$Q:$AB,7,0))),"",ROUND(VLOOKUP($B153,SportslineData!$Q:$AB,7,0),0))</f>
        <v/>
      </c>
      <c r="Q153" s="82" t="str">
        <f>IF(OR(($A153=Settings!$A$30),ISERROR(VLOOKUP($B153,SportslineData!$Q:$AB,8,0))),"",VLOOKUP($B153,SportslineData!$Q:$AB,8,0))</f>
        <v/>
      </c>
      <c r="R153" s="82" t="str">
        <f>IF(OR(($A153=Settings!$A$30),ISERROR(VLOOKUP($B153,SportslineData!$Q:$AB,10,0))),"",ROUND(VLOOKUP($B153,SportslineData!$Q:$AB,10,0),0))</f>
        <v/>
      </c>
      <c r="S153" s="74" t="str">
        <f>IF(OR(($A153=Settings!$A$30),ISERROR(VLOOKUP($B153,SportslineData!$Q:$AB,11,0))),"",ROUND(VLOOKUP($B153,SportslineData!$Q:$AB,11,0),0))</f>
        <v/>
      </c>
      <c r="T153" s="117"/>
      <c r="U153" s="131">
        <f t="shared" si="18"/>
        <v>0</v>
      </c>
      <c r="V153" s="38">
        <f>IF(ISERROR(ROUND((((((ROUNDDOWN((D153/5),0)*Settings!$F$7)+(E153*Settings!$I$7))+(F153*Settings!$I$11))+(ROUNDDOWN((G153/5),0)*Settings!$F$11))+(H153*Settings!$F$12)),1)),0,ROUND((((((ROUNDDOWN((D153/5),0)*Settings!$F$7)+(E153*Settings!$I$7))+(F153*Settings!$I$11))+(ROUNDDOWN((G153/5),0)*Settings!$F$11))+(H153*Settings!$F$12)),1))</f>
        <v>0</v>
      </c>
      <c r="W153" s="38">
        <f>IF(ISERROR(ROUND((((((ROUNDDOWN((I153/5),0)*Settings!$F$7)+(J153*Settings!$I$7))+(K153*Settings!$I$11))+(ROUNDDOWN((L153/5),0)*Settings!$F$11))+(M153*Settings!$F$12)),1)),0,ROUND((((((ROUNDDOWN((I153/5),0)*Settings!$F$7)+(J153*Settings!$I$7))+(K153*Settings!$I$11))+(ROUNDDOWN((L153/5),0)*Settings!$F$11))+(M153*Settings!$F$12)),1))</f>
        <v>0</v>
      </c>
      <c r="X153" s="38">
        <f>IF(AND((N153=""),(P153="")),0,((((((ROUND((N153/5),0)*Settings!$F$7)+(O153*Settings!$I$7))+(P153*Settings!$I$11))+(ROUND((Q153/5),0)*Settings!$F$11))+(R153*Settings!$F$12))+(S153*Settings!$F$15)))</f>
        <v>0</v>
      </c>
      <c r="Y153" s="66">
        <f>ROUND((((V153*Settings!$B$21)+(W153*Settings!$B$22))+(X153*Settings!$B$23)),1)</f>
        <v>0</v>
      </c>
      <c r="Z153" s="66">
        <f>IF(ISERROR(VLOOKUP(RANK(Y153,$Y$4:$Y$182),Z$4:Z152,1,0)),RANK(Y153,$Y$4:$Y$182),IF(ISERROR(VLOOKUP((RANK(Y153,$Y$4:$Y$182)+1),Z$4:Z152,1,0)),(RANK(Y153,$Y$4:$Y$182)+1),IF(ISERROR(VLOOKUP((RANK(Y153,$Y$4:$Y$182)+2),Z$4:Z152,1,0)),(RANK(Y153,$Y$4:$Y$182)+2),(RANK(Y153,$Y$4:$Y$182)+3))))</f>
        <v>126</v>
      </c>
      <c r="AA153" t="str">
        <f t="shared" si="19"/>
        <v>Mewelde Moore</v>
      </c>
    </row>
    <row r="154" spans="1:27" ht="12.75" customHeight="1">
      <c r="A154" s="33" t="str">
        <f>ESPNData!R159</f>
        <v>Michael Turner, FA RB</v>
      </c>
      <c r="B154" s="33" t="str">
        <f t="shared" si="16"/>
        <v>Michael Turner</v>
      </c>
      <c r="C154" s="64" t="str">
        <f t="shared" si="17"/>
        <v>FA</v>
      </c>
      <c r="D154" s="117" t="str">
        <f>IF(OR(($A154=Settings!$A$30),ISERROR(VLOOKUP($B154,FFTodayData!$P:$Y,5,0))),"",VLOOKUP($B154,FFTodayData!$P:$Y,5,0))</f>
        <v/>
      </c>
      <c r="E154" s="33" t="str">
        <f>IF(OR(($A154=Settings!$A$30),ISERROR(VLOOKUP($B154,FFTodayData!$P:$Y,6,0))),"",VLOOKUP($B154,FFTodayData!$P:$Y,6,0))</f>
        <v/>
      </c>
      <c r="F154" s="33" t="str">
        <f>IF(OR(($A154=Settings!$A$30),ISERROR(VLOOKUP($B154,FFTodayData!$P:$Y,7,0))),"",VLOOKUP($B154,FFTodayData!$P:$Y,7,0))</f>
        <v/>
      </c>
      <c r="G154" s="33" t="str">
        <f>IF(OR(($A154=Settings!$A$30),ISERROR(VLOOKUP($B154,FFTodayData!$P:$Y,8,0))),"",VLOOKUP($B154,FFTodayData!$P:$Y,8,0))</f>
        <v/>
      </c>
      <c r="H154" s="64" t="str">
        <f>IF(OR(($A154=Settings!$A$30),ISERROR(VLOOKUP($B154,FFTodayData!$P:$Y,9,0))),"",VLOOKUP($B154,FFTodayData!$P:$Y,9,0))</f>
        <v/>
      </c>
      <c r="I154" s="117" t="str">
        <f>IF(ISERROR(VLOOKUP($A154,ESPNData!$R:$AE,9,0)),"",VLOOKUP($A154,ESPNData!$R:$AE,9,0))</f>
        <v>--</v>
      </c>
      <c r="J154" s="33" t="str">
        <f>IF(ISERROR(VLOOKUP($A154,ESPNData!$R:$AE,10,0)),"",VLOOKUP($A154,ESPNData!$R:$AE,10,0))</f>
        <v>--</v>
      </c>
      <c r="K154" s="33" t="str">
        <f>IF(ISERROR(VLOOKUP($A154,ESPNData!$R:$AE,11,0)),"",VLOOKUP($A154,ESPNData!$R:$AE,11,0))</f>
        <v>--</v>
      </c>
      <c r="L154" s="33" t="str">
        <f>IF(ISERROR(VLOOKUP($A154,ESPNData!$R:$AE,12,0)),"",VLOOKUP($A154,ESPNData!$R:$AE,12,0))</f>
        <v>--</v>
      </c>
      <c r="M154" s="64" t="str">
        <f>IF(ISERROR(VLOOKUP($A154,ESPNData!$R:$AE,13,0)),"",VLOOKUP($A154,ESPNData!$R:$AE,13,0))</f>
        <v>--</v>
      </c>
      <c r="N154" s="115" t="str">
        <f>IF(OR(($A154=Settings!$A$30),ISERROR(VLOOKUP($B154,SportslineData!$Q:$AB,4,0))),"",VLOOKUP($B154,SportslineData!$Q:$AB,4,0))</f>
        <v/>
      </c>
      <c r="O154" s="82" t="str">
        <f>IF(OR(($A154=Settings!$A$30),ISERROR(VLOOKUP($B154,SportslineData!$Q:$AB,6,0))),"",ROUND(VLOOKUP($B154,SportslineData!$Q:$AB,6,0),0))</f>
        <v/>
      </c>
      <c r="P154" s="82" t="str">
        <f>IF(OR(($A154=Settings!$A$30),ISERROR(VLOOKUP($B154,SportslineData!$Q:$AB,7,0))),"",ROUND(VLOOKUP($B154,SportslineData!$Q:$AB,7,0),0))</f>
        <v/>
      </c>
      <c r="Q154" s="82" t="str">
        <f>IF(OR(($A154=Settings!$A$30),ISERROR(VLOOKUP($B154,SportslineData!$Q:$AB,8,0))),"",VLOOKUP($B154,SportslineData!$Q:$AB,8,0))</f>
        <v/>
      </c>
      <c r="R154" s="82" t="str">
        <f>IF(OR(($A154=Settings!$A$30),ISERROR(VLOOKUP($B154,SportslineData!$Q:$AB,10,0))),"",ROUND(VLOOKUP($B154,SportslineData!$Q:$AB,10,0),0))</f>
        <v/>
      </c>
      <c r="S154" s="74" t="str">
        <f>IF(OR(($A154=Settings!$A$30),ISERROR(VLOOKUP($B154,SportslineData!$Q:$AB,11,0))),"",ROUND(VLOOKUP($B154,SportslineData!$Q:$AB,11,0),0))</f>
        <v/>
      </c>
      <c r="T154" s="117"/>
      <c r="U154" s="131">
        <f t="shared" si="18"/>
        <v>0</v>
      </c>
      <c r="V154" s="38">
        <f>IF(ISERROR(ROUND((((((ROUNDDOWN((D154/5),0)*Settings!$F$7)+(E154*Settings!$I$7))+(F154*Settings!$I$11))+(ROUNDDOWN((G154/5),0)*Settings!$F$11))+(H154*Settings!$F$12)),1)),0,ROUND((((((ROUNDDOWN((D154/5),0)*Settings!$F$7)+(E154*Settings!$I$7))+(F154*Settings!$I$11))+(ROUNDDOWN((G154/5),0)*Settings!$F$11))+(H154*Settings!$F$12)),1))</f>
        <v>0</v>
      </c>
      <c r="W154" s="38">
        <f>IF(ISERROR(ROUND((((((ROUNDDOWN((I154/5),0)*Settings!$F$7)+(J154*Settings!$I$7))+(K154*Settings!$I$11))+(ROUNDDOWN((L154/5),0)*Settings!$F$11))+(M154*Settings!$F$12)),1)),0,ROUND((((((ROUNDDOWN((I154/5),0)*Settings!$F$7)+(J154*Settings!$I$7))+(K154*Settings!$I$11))+(ROUNDDOWN((L154/5),0)*Settings!$F$11))+(M154*Settings!$F$12)),1))</f>
        <v>0</v>
      </c>
      <c r="X154" s="38">
        <f>IF(AND((N154=""),(P154="")),0,((((((ROUND((N154/5),0)*Settings!$F$7)+(O154*Settings!$I$7))+(P154*Settings!$I$11))+(ROUND((Q154/5),0)*Settings!$F$11))+(R154*Settings!$F$12))+(S154*Settings!$F$15)))</f>
        <v>0</v>
      </c>
      <c r="Y154" s="66">
        <f>ROUND((((V154*Settings!$B$21)+(W154*Settings!$B$22))+(X154*Settings!$B$23)),1)</f>
        <v>0</v>
      </c>
      <c r="Z154" s="66">
        <f>IF(ISERROR(VLOOKUP(RANK(Y154,$Y$4:$Y$182),Z$4:Z153,1,0)),RANK(Y154,$Y$4:$Y$182),IF(ISERROR(VLOOKUP((RANK(Y154,$Y$4:$Y$182)+1),Z$4:Z153,1,0)),(RANK(Y154,$Y$4:$Y$182)+1),IF(ISERROR(VLOOKUP((RANK(Y154,$Y$4:$Y$182)+2),Z$4:Z153,1,0)),(RANK(Y154,$Y$4:$Y$182)+2),(RANK(Y154,$Y$4:$Y$182)+3))))</f>
        <v>126</v>
      </c>
      <c r="AA154" t="str">
        <f t="shared" si="19"/>
        <v>Michael Turner</v>
      </c>
    </row>
    <row r="155" spans="1:27" ht="12.75" customHeight="1">
      <c r="A155" s="33" t="str">
        <f>ESPNData!R160</f>
        <v>Mike Karney, FA RB</v>
      </c>
      <c r="B155" s="33" t="str">
        <f t="shared" si="16"/>
        <v>Mike Karney</v>
      </c>
      <c r="C155" s="64" t="str">
        <f t="shared" si="17"/>
        <v>FA</v>
      </c>
      <c r="D155" s="117" t="str">
        <f>IF(OR(($A155=Settings!$A$30),ISERROR(VLOOKUP($B155,FFTodayData!$P:$Y,5,0))),"",VLOOKUP($B155,FFTodayData!$P:$Y,5,0))</f>
        <v/>
      </c>
      <c r="E155" s="33" t="str">
        <f>IF(OR(($A155=Settings!$A$30),ISERROR(VLOOKUP($B155,FFTodayData!$P:$Y,6,0))),"",VLOOKUP($B155,FFTodayData!$P:$Y,6,0))</f>
        <v/>
      </c>
      <c r="F155" s="33" t="str">
        <f>IF(OR(($A155=Settings!$A$30),ISERROR(VLOOKUP($B155,FFTodayData!$P:$Y,7,0))),"",VLOOKUP($B155,FFTodayData!$P:$Y,7,0))</f>
        <v/>
      </c>
      <c r="G155" s="33" t="str">
        <f>IF(OR(($A155=Settings!$A$30),ISERROR(VLOOKUP($B155,FFTodayData!$P:$Y,8,0))),"",VLOOKUP($B155,FFTodayData!$P:$Y,8,0))</f>
        <v/>
      </c>
      <c r="H155" s="64" t="str">
        <f>IF(OR(($A155=Settings!$A$30),ISERROR(VLOOKUP($B155,FFTodayData!$P:$Y,9,0))),"",VLOOKUP($B155,FFTodayData!$P:$Y,9,0))</f>
        <v/>
      </c>
      <c r="I155" s="117" t="str">
        <f>IF(ISERROR(VLOOKUP($A155,ESPNData!$R:$AE,9,0)),"",VLOOKUP($A155,ESPNData!$R:$AE,9,0))</f>
        <v>--</v>
      </c>
      <c r="J155" s="33" t="str">
        <f>IF(ISERROR(VLOOKUP($A155,ESPNData!$R:$AE,10,0)),"",VLOOKUP($A155,ESPNData!$R:$AE,10,0))</f>
        <v>--</v>
      </c>
      <c r="K155" s="33" t="str">
        <f>IF(ISERROR(VLOOKUP($A155,ESPNData!$R:$AE,11,0)),"",VLOOKUP($A155,ESPNData!$R:$AE,11,0))</f>
        <v>--</v>
      </c>
      <c r="L155" s="33" t="str">
        <f>IF(ISERROR(VLOOKUP($A155,ESPNData!$R:$AE,12,0)),"",VLOOKUP($A155,ESPNData!$R:$AE,12,0))</f>
        <v>--</v>
      </c>
      <c r="M155" s="64" t="str">
        <f>IF(ISERROR(VLOOKUP($A155,ESPNData!$R:$AE,13,0)),"",VLOOKUP($A155,ESPNData!$R:$AE,13,0))</f>
        <v>--</v>
      </c>
      <c r="N155" s="115" t="str">
        <f>IF(OR(($A155=Settings!$A$30),ISERROR(VLOOKUP($B155,SportslineData!$Q:$AB,4,0))),"",VLOOKUP($B155,SportslineData!$Q:$AB,4,0))</f>
        <v/>
      </c>
      <c r="O155" s="82" t="str">
        <f>IF(OR(($A155=Settings!$A$30),ISERROR(VLOOKUP($B155,SportslineData!$Q:$AB,6,0))),"",ROUND(VLOOKUP($B155,SportslineData!$Q:$AB,6,0),0))</f>
        <v/>
      </c>
      <c r="P155" s="82" t="str">
        <f>IF(OR(($A155=Settings!$A$30),ISERROR(VLOOKUP($B155,SportslineData!$Q:$AB,7,0))),"",ROUND(VLOOKUP($B155,SportslineData!$Q:$AB,7,0),0))</f>
        <v/>
      </c>
      <c r="Q155" s="82" t="str">
        <f>IF(OR(($A155=Settings!$A$30),ISERROR(VLOOKUP($B155,SportslineData!$Q:$AB,8,0))),"",VLOOKUP($B155,SportslineData!$Q:$AB,8,0))</f>
        <v/>
      </c>
      <c r="R155" s="82" t="str">
        <f>IF(OR(($A155=Settings!$A$30),ISERROR(VLOOKUP($B155,SportslineData!$Q:$AB,10,0))),"",ROUND(VLOOKUP($B155,SportslineData!$Q:$AB,10,0),0))</f>
        <v/>
      </c>
      <c r="S155" s="74" t="str">
        <f>IF(OR(($A155=Settings!$A$30),ISERROR(VLOOKUP($B155,SportslineData!$Q:$AB,11,0))),"",ROUND(VLOOKUP($B155,SportslineData!$Q:$AB,11,0),0))</f>
        <v/>
      </c>
      <c r="T155" s="117"/>
      <c r="U155" s="131">
        <f t="shared" si="18"/>
        <v>0</v>
      </c>
      <c r="V155" s="38">
        <f>IF(ISERROR(ROUND((((((ROUNDDOWN((D155/5),0)*Settings!$F$7)+(E155*Settings!$I$7))+(F155*Settings!$I$11))+(ROUNDDOWN((G155/5),0)*Settings!$F$11))+(H155*Settings!$F$12)),1)),0,ROUND((((((ROUNDDOWN((D155/5),0)*Settings!$F$7)+(E155*Settings!$I$7))+(F155*Settings!$I$11))+(ROUNDDOWN((G155/5),0)*Settings!$F$11))+(H155*Settings!$F$12)),1))</f>
        <v>0</v>
      </c>
      <c r="W155" s="38">
        <f>IF(ISERROR(ROUND((((((ROUNDDOWN((I155/5),0)*Settings!$F$7)+(J155*Settings!$I$7))+(K155*Settings!$I$11))+(ROUNDDOWN((L155/5),0)*Settings!$F$11))+(M155*Settings!$F$12)),1)),0,ROUND((((((ROUNDDOWN((I155/5),0)*Settings!$F$7)+(J155*Settings!$I$7))+(K155*Settings!$I$11))+(ROUNDDOWN((L155/5),0)*Settings!$F$11))+(M155*Settings!$F$12)),1))</f>
        <v>0</v>
      </c>
      <c r="X155" s="38">
        <f>IF(AND((N155=""),(P155="")),0,((((((ROUND((N155/5),0)*Settings!$F$7)+(O155*Settings!$I$7))+(P155*Settings!$I$11))+(ROUND((Q155/5),0)*Settings!$F$11))+(R155*Settings!$F$12))+(S155*Settings!$F$15)))</f>
        <v>0</v>
      </c>
      <c r="Y155" s="66">
        <f>ROUND((((V155*Settings!$B$21)+(W155*Settings!$B$22))+(X155*Settings!$B$23)),1)</f>
        <v>0</v>
      </c>
      <c r="Z155" s="66">
        <f>IF(ISERROR(VLOOKUP(RANK(Y155,$Y$4:$Y$182),Z$4:Z154,1,0)),RANK(Y155,$Y$4:$Y$182),IF(ISERROR(VLOOKUP((RANK(Y155,$Y$4:$Y$182)+1),Z$4:Z154,1,0)),(RANK(Y155,$Y$4:$Y$182)+1),IF(ISERROR(VLOOKUP((RANK(Y155,$Y$4:$Y$182)+2),Z$4:Z154,1,0)),(RANK(Y155,$Y$4:$Y$182)+2),(RANK(Y155,$Y$4:$Y$182)+3))))</f>
        <v>126</v>
      </c>
      <c r="AA155" t="str">
        <f t="shared" si="19"/>
        <v>Mike Karney</v>
      </c>
    </row>
    <row r="156" spans="1:27" ht="12.75" customHeight="1">
      <c r="A156" s="33" t="str">
        <f>ESPNData!R161</f>
        <v>Derrick Ward, FA RB</v>
      </c>
      <c r="B156" s="33" t="str">
        <f t="shared" si="16"/>
        <v>Derrick Ward</v>
      </c>
      <c r="C156" s="64" t="str">
        <f t="shared" si="17"/>
        <v>FA</v>
      </c>
      <c r="D156" s="117" t="str">
        <f>IF(OR(($A156=Settings!$A$30),ISERROR(VLOOKUP($B156,FFTodayData!$P:$Y,5,0))),"",VLOOKUP($B156,FFTodayData!$P:$Y,5,0))</f>
        <v/>
      </c>
      <c r="E156" s="33" t="str">
        <f>IF(OR(($A156=Settings!$A$30),ISERROR(VLOOKUP($B156,FFTodayData!$P:$Y,6,0))),"",VLOOKUP($B156,FFTodayData!$P:$Y,6,0))</f>
        <v/>
      </c>
      <c r="F156" s="33" t="str">
        <f>IF(OR(($A156=Settings!$A$30),ISERROR(VLOOKUP($B156,FFTodayData!$P:$Y,7,0))),"",VLOOKUP($B156,FFTodayData!$P:$Y,7,0))</f>
        <v/>
      </c>
      <c r="G156" s="33" t="str">
        <f>IF(OR(($A156=Settings!$A$30),ISERROR(VLOOKUP($B156,FFTodayData!$P:$Y,8,0))),"",VLOOKUP($B156,FFTodayData!$P:$Y,8,0))</f>
        <v/>
      </c>
      <c r="H156" s="64" t="str">
        <f>IF(OR(($A156=Settings!$A$30),ISERROR(VLOOKUP($B156,FFTodayData!$P:$Y,9,0))),"",VLOOKUP($B156,FFTodayData!$P:$Y,9,0))</f>
        <v/>
      </c>
      <c r="I156" s="117" t="str">
        <f>IF(ISERROR(VLOOKUP($A156,ESPNData!$R:$AE,9,0)),"",VLOOKUP($A156,ESPNData!$R:$AE,9,0))</f>
        <v>--</v>
      </c>
      <c r="J156" s="33" t="str">
        <f>IF(ISERROR(VLOOKUP($A156,ESPNData!$R:$AE,10,0)),"",VLOOKUP($A156,ESPNData!$R:$AE,10,0))</f>
        <v>--</v>
      </c>
      <c r="K156" s="33" t="str">
        <f>IF(ISERROR(VLOOKUP($A156,ESPNData!$R:$AE,11,0)),"",VLOOKUP($A156,ESPNData!$R:$AE,11,0))</f>
        <v>--</v>
      </c>
      <c r="L156" s="33" t="str">
        <f>IF(ISERROR(VLOOKUP($A156,ESPNData!$R:$AE,12,0)),"",VLOOKUP($A156,ESPNData!$R:$AE,12,0))</f>
        <v>--</v>
      </c>
      <c r="M156" s="64" t="str">
        <f>IF(ISERROR(VLOOKUP($A156,ESPNData!$R:$AE,13,0)),"",VLOOKUP($A156,ESPNData!$R:$AE,13,0))</f>
        <v>--</v>
      </c>
      <c r="N156" s="115" t="str">
        <f>IF(OR(($A156=Settings!$A$30),ISERROR(VLOOKUP($B156,SportslineData!$Q:$AB,4,0))),"",VLOOKUP($B156,SportslineData!$Q:$AB,4,0))</f>
        <v/>
      </c>
      <c r="O156" s="82" t="str">
        <f>IF(OR(($A156=Settings!$A$30),ISERROR(VLOOKUP($B156,SportslineData!$Q:$AB,6,0))),"",ROUND(VLOOKUP($B156,SportslineData!$Q:$AB,6,0),0))</f>
        <v/>
      </c>
      <c r="P156" s="82" t="str">
        <f>IF(OR(($A156=Settings!$A$30),ISERROR(VLOOKUP($B156,SportslineData!$Q:$AB,7,0))),"",ROUND(VLOOKUP($B156,SportslineData!$Q:$AB,7,0),0))</f>
        <v/>
      </c>
      <c r="Q156" s="82" t="str">
        <f>IF(OR(($A156=Settings!$A$30),ISERROR(VLOOKUP($B156,SportslineData!$Q:$AB,8,0))),"",VLOOKUP($B156,SportslineData!$Q:$AB,8,0))</f>
        <v/>
      </c>
      <c r="R156" s="82" t="str">
        <f>IF(OR(($A156=Settings!$A$30),ISERROR(VLOOKUP($B156,SportslineData!$Q:$AB,10,0))),"",ROUND(VLOOKUP($B156,SportslineData!$Q:$AB,10,0),0))</f>
        <v/>
      </c>
      <c r="S156" s="74" t="str">
        <f>IF(OR(($A156=Settings!$A$30),ISERROR(VLOOKUP($B156,SportslineData!$Q:$AB,11,0))),"",ROUND(VLOOKUP($B156,SportslineData!$Q:$AB,11,0),0))</f>
        <v/>
      </c>
      <c r="T156" s="117"/>
      <c r="U156" s="131">
        <f t="shared" si="18"/>
        <v>0</v>
      </c>
      <c r="V156" s="38">
        <f>IF(ISERROR(ROUND((((((ROUNDDOWN((D156/5),0)*Settings!$F$7)+(E156*Settings!$I$7))+(F156*Settings!$I$11))+(ROUNDDOWN((G156/5),0)*Settings!$F$11))+(H156*Settings!$F$12)),1)),0,ROUND((((((ROUNDDOWN((D156/5),0)*Settings!$F$7)+(E156*Settings!$I$7))+(F156*Settings!$I$11))+(ROUNDDOWN((G156/5),0)*Settings!$F$11))+(H156*Settings!$F$12)),1))</f>
        <v>0</v>
      </c>
      <c r="W156" s="38">
        <f>IF(ISERROR(ROUND((((((ROUNDDOWN((I156/5),0)*Settings!$F$7)+(J156*Settings!$I$7))+(K156*Settings!$I$11))+(ROUNDDOWN((L156/5),0)*Settings!$F$11))+(M156*Settings!$F$12)),1)),0,ROUND((((((ROUNDDOWN((I156/5),0)*Settings!$F$7)+(J156*Settings!$I$7))+(K156*Settings!$I$11))+(ROUNDDOWN((L156/5),0)*Settings!$F$11))+(M156*Settings!$F$12)),1))</f>
        <v>0</v>
      </c>
      <c r="X156" s="38">
        <f>IF(AND((N156=""),(P156="")),0,((((((ROUND((N156/5),0)*Settings!$F$7)+(O156*Settings!$I$7))+(P156*Settings!$I$11))+(ROUND((Q156/5),0)*Settings!$F$11))+(R156*Settings!$F$12))+(S156*Settings!$F$15)))</f>
        <v>0</v>
      </c>
      <c r="Y156" s="66">
        <f>ROUND((((V156*Settings!$B$21)+(W156*Settings!$B$22))+(X156*Settings!$B$23)),1)</f>
        <v>0</v>
      </c>
      <c r="Z156" s="66">
        <f>IF(ISERROR(VLOOKUP(RANK(Y156,$Y$4:$Y$182),Z$4:Z155,1,0)),RANK(Y156,$Y$4:$Y$182),IF(ISERROR(VLOOKUP((RANK(Y156,$Y$4:$Y$182)+1),Z$4:Z155,1,0)),(RANK(Y156,$Y$4:$Y$182)+1),IF(ISERROR(VLOOKUP((RANK(Y156,$Y$4:$Y$182)+2),Z$4:Z155,1,0)),(RANK(Y156,$Y$4:$Y$182)+2),(RANK(Y156,$Y$4:$Y$182)+3))))</f>
        <v>126</v>
      </c>
      <c r="AA156" t="str">
        <f t="shared" si="19"/>
        <v>Derrick Ward</v>
      </c>
    </row>
    <row r="157" spans="1:27" ht="12.75" customHeight="1">
      <c r="A157" s="33" t="str">
        <f>ESPNData!R162</f>
        <v>Lousaka Polite, FA RB</v>
      </c>
      <c r="B157" s="33" t="str">
        <f t="shared" si="16"/>
        <v>Lousaka Polite</v>
      </c>
      <c r="C157" s="64" t="str">
        <f t="shared" si="17"/>
        <v>FA</v>
      </c>
      <c r="D157" s="117" t="str">
        <f>IF(OR(($A157=Settings!$A$30),ISERROR(VLOOKUP($B157,FFTodayData!$P:$Y,5,0))),"",VLOOKUP($B157,FFTodayData!$P:$Y,5,0))</f>
        <v/>
      </c>
      <c r="E157" s="33" t="str">
        <f>IF(OR(($A157=Settings!$A$30),ISERROR(VLOOKUP($B157,FFTodayData!$P:$Y,6,0))),"",VLOOKUP($B157,FFTodayData!$P:$Y,6,0))</f>
        <v/>
      </c>
      <c r="F157" s="33" t="str">
        <f>IF(OR(($A157=Settings!$A$30),ISERROR(VLOOKUP($B157,FFTodayData!$P:$Y,7,0))),"",VLOOKUP($B157,FFTodayData!$P:$Y,7,0))</f>
        <v/>
      </c>
      <c r="G157" s="33" t="str">
        <f>IF(OR(($A157=Settings!$A$30),ISERROR(VLOOKUP($B157,FFTodayData!$P:$Y,8,0))),"",VLOOKUP($B157,FFTodayData!$P:$Y,8,0))</f>
        <v/>
      </c>
      <c r="H157" s="64" t="str">
        <f>IF(OR(($A157=Settings!$A$30),ISERROR(VLOOKUP($B157,FFTodayData!$P:$Y,9,0))),"",VLOOKUP($B157,FFTodayData!$P:$Y,9,0))</f>
        <v/>
      </c>
      <c r="I157" s="117" t="str">
        <f>IF(ISERROR(VLOOKUP($A157,ESPNData!$R:$AE,9,0)),"",VLOOKUP($A157,ESPNData!$R:$AE,9,0))</f>
        <v>--</v>
      </c>
      <c r="J157" s="33" t="str">
        <f>IF(ISERROR(VLOOKUP($A157,ESPNData!$R:$AE,10,0)),"",VLOOKUP($A157,ESPNData!$R:$AE,10,0))</f>
        <v>--</v>
      </c>
      <c r="K157" s="33" t="str">
        <f>IF(ISERROR(VLOOKUP($A157,ESPNData!$R:$AE,11,0)),"",VLOOKUP($A157,ESPNData!$R:$AE,11,0))</f>
        <v>--</v>
      </c>
      <c r="L157" s="33" t="str">
        <f>IF(ISERROR(VLOOKUP($A157,ESPNData!$R:$AE,12,0)),"",VLOOKUP($A157,ESPNData!$R:$AE,12,0))</f>
        <v>--</v>
      </c>
      <c r="M157" s="64" t="str">
        <f>IF(ISERROR(VLOOKUP($A157,ESPNData!$R:$AE,13,0)),"",VLOOKUP($A157,ESPNData!$R:$AE,13,0))</f>
        <v>--</v>
      </c>
      <c r="N157" s="115" t="str">
        <f>IF(OR(($A157=Settings!$A$30),ISERROR(VLOOKUP($B157,SportslineData!$Q:$AB,4,0))),"",VLOOKUP($B157,SportslineData!$Q:$AB,4,0))</f>
        <v/>
      </c>
      <c r="O157" s="82" t="str">
        <f>IF(OR(($A157=Settings!$A$30),ISERROR(VLOOKUP($B157,SportslineData!$Q:$AB,6,0))),"",ROUND(VLOOKUP($B157,SportslineData!$Q:$AB,6,0),0))</f>
        <v/>
      </c>
      <c r="P157" s="82" t="str">
        <f>IF(OR(($A157=Settings!$A$30),ISERROR(VLOOKUP($B157,SportslineData!$Q:$AB,7,0))),"",ROUND(VLOOKUP($B157,SportslineData!$Q:$AB,7,0),0))</f>
        <v/>
      </c>
      <c r="Q157" s="82" t="str">
        <f>IF(OR(($A157=Settings!$A$30),ISERROR(VLOOKUP($B157,SportslineData!$Q:$AB,8,0))),"",VLOOKUP($B157,SportslineData!$Q:$AB,8,0))</f>
        <v/>
      </c>
      <c r="R157" s="82" t="str">
        <f>IF(OR(($A157=Settings!$A$30),ISERROR(VLOOKUP($B157,SportslineData!$Q:$AB,10,0))),"",ROUND(VLOOKUP($B157,SportslineData!$Q:$AB,10,0),0))</f>
        <v/>
      </c>
      <c r="S157" s="74" t="str">
        <f>IF(OR(($A157=Settings!$A$30),ISERROR(VLOOKUP($B157,SportslineData!$Q:$AB,11,0))),"",ROUND(VLOOKUP($B157,SportslineData!$Q:$AB,11,0),0))</f>
        <v/>
      </c>
      <c r="T157" s="117"/>
      <c r="U157" s="131">
        <f t="shared" si="18"/>
        <v>0</v>
      </c>
      <c r="V157" s="38">
        <f>IF(ISERROR(ROUND((((((ROUNDDOWN((D157/5),0)*Settings!$F$7)+(E157*Settings!$I$7))+(F157*Settings!$I$11))+(ROUNDDOWN((G157/5),0)*Settings!$F$11))+(H157*Settings!$F$12)),1)),0,ROUND((((((ROUNDDOWN((D157/5),0)*Settings!$F$7)+(E157*Settings!$I$7))+(F157*Settings!$I$11))+(ROUNDDOWN((G157/5),0)*Settings!$F$11))+(H157*Settings!$F$12)),1))</f>
        <v>0</v>
      </c>
      <c r="W157" s="38">
        <f>IF(ISERROR(ROUND((((((ROUNDDOWN((I157/5),0)*Settings!$F$7)+(J157*Settings!$I$7))+(K157*Settings!$I$11))+(ROUNDDOWN((L157/5),0)*Settings!$F$11))+(M157*Settings!$F$12)),1)),0,ROUND((((((ROUNDDOWN((I157/5),0)*Settings!$F$7)+(J157*Settings!$I$7))+(K157*Settings!$I$11))+(ROUNDDOWN((L157/5),0)*Settings!$F$11))+(M157*Settings!$F$12)),1))</f>
        <v>0</v>
      </c>
      <c r="X157" s="38">
        <f>IF(AND((N157=""),(P157="")),0,((((((ROUND((N157/5),0)*Settings!$F$7)+(O157*Settings!$I$7))+(P157*Settings!$I$11))+(ROUND((Q157/5),0)*Settings!$F$11))+(R157*Settings!$F$12))+(S157*Settings!$F$15)))</f>
        <v>0</v>
      </c>
      <c r="Y157" s="66">
        <f>ROUND((((V157*Settings!$B$21)+(W157*Settings!$B$22))+(X157*Settings!$B$23)),1)</f>
        <v>0</v>
      </c>
      <c r="Z157" s="66">
        <f>IF(ISERROR(VLOOKUP(RANK(Y157,$Y$4:$Y$182),Z$4:Z156,1,0)),RANK(Y157,$Y$4:$Y$182),IF(ISERROR(VLOOKUP((RANK(Y157,$Y$4:$Y$182)+1),Z$4:Z156,1,0)),(RANK(Y157,$Y$4:$Y$182)+1),IF(ISERROR(VLOOKUP((RANK(Y157,$Y$4:$Y$182)+2),Z$4:Z156,1,0)),(RANK(Y157,$Y$4:$Y$182)+2),(RANK(Y157,$Y$4:$Y$182)+3))))</f>
        <v>126</v>
      </c>
      <c r="AA157" t="str">
        <f t="shared" si="19"/>
        <v>Lousaka Polite</v>
      </c>
    </row>
    <row r="158" spans="1:27" ht="12.75" customHeight="1">
      <c r="A158" s="33" t="str">
        <f>ESPNData!R163</f>
        <v>Vonta Leach, Bal RB</v>
      </c>
      <c r="B158" s="33" t="str">
        <f t="shared" si="16"/>
        <v>Vonta Leach</v>
      </c>
      <c r="C158" s="64" t="str">
        <f t="shared" si="17"/>
        <v>BAL</v>
      </c>
      <c r="D158" s="117">
        <f>IF(OR(($A158=Settings!$A$30),ISERROR(VLOOKUP($B158,FFTodayData!$P:$Y,5,0))),"",VLOOKUP($B158,FFTodayData!$P:$Y,5,0))</f>
        <v>52</v>
      </c>
      <c r="E158" s="33">
        <f>IF(OR(($A158=Settings!$A$30),ISERROR(VLOOKUP($B158,FFTodayData!$P:$Y,6,0))),"",VLOOKUP($B158,FFTodayData!$P:$Y,6,0))</f>
        <v>0</v>
      </c>
      <c r="F158" s="33">
        <f>IF(OR(($A158=Settings!$A$30),ISERROR(VLOOKUP($B158,FFTodayData!$P:$Y,7,0))),"",VLOOKUP($B158,FFTodayData!$P:$Y,7,0))</f>
        <v>10</v>
      </c>
      <c r="G158" s="33">
        <f>IF(OR(($A158=Settings!$A$30),ISERROR(VLOOKUP($B158,FFTodayData!$P:$Y,8,0))),"",VLOOKUP($B158,FFTodayData!$P:$Y,8,0))</f>
        <v>77</v>
      </c>
      <c r="H158" s="64">
        <f>IF(OR(($A158=Settings!$A$30),ISERROR(VLOOKUP($B158,FFTodayData!$P:$Y,9,0))),"",VLOOKUP($B158,FFTodayData!$P:$Y,9,0))</f>
        <v>0</v>
      </c>
      <c r="I158" s="117" t="str">
        <f>IF(ISERROR(VLOOKUP($A158,ESPNData!$R:$AE,9,0)),"",VLOOKUP($A158,ESPNData!$R:$AE,9,0))</f>
        <v>--</v>
      </c>
      <c r="J158" s="33" t="str">
        <f>IF(ISERROR(VLOOKUP($A158,ESPNData!$R:$AE,10,0)),"",VLOOKUP($A158,ESPNData!$R:$AE,10,0))</f>
        <v>--</v>
      </c>
      <c r="K158" s="33" t="str">
        <f>IF(ISERROR(VLOOKUP($A158,ESPNData!$R:$AE,11,0)),"",VLOOKUP($A158,ESPNData!$R:$AE,11,0))</f>
        <v>--</v>
      </c>
      <c r="L158" s="33" t="str">
        <f>IF(ISERROR(VLOOKUP($A158,ESPNData!$R:$AE,12,0)),"",VLOOKUP($A158,ESPNData!$R:$AE,12,0))</f>
        <v>--</v>
      </c>
      <c r="M158" s="64" t="str">
        <f>IF(ISERROR(VLOOKUP($A158,ESPNData!$R:$AE,13,0)),"",VLOOKUP($A158,ESPNData!$R:$AE,13,0))</f>
        <v>--</v>
      </c>
      <c r="N158" s="115" t="str">
        <f>IF(OR(($A158=Settings!$A$30),ISERROR(VLOOKUP($B158,SportslineData!$Q:$AB,4,0))),"",VLOOKUP($B158,SportslineData!$Q:$AB,4,0))</f>
        <v/>
      </c>
      <c r="O158" s="82" t="str">
        <f>IF(OR(($A158=Settings!$A$30),ISERROR(VLOOKUP($B158,SportslineData!$Q:$AB,6,0))),"",ROUND(VLOOKUP($B158,SportslineData!$Q:$AB,6,0),0))</f>
        <v/>
      </c>
      <c r="P158" s="82" t="str">
        <f>IF(OR(($A158=Settings!$A$30),ISERROR(VLOOKUP($B158,SportslineData!$Q:$AB,7,0))),"",ROUND(VLOOKUP($B158,SportslineData!$Q:$AB,7,0),0))</f>
        <v/>
      </c>
      <c r="Q158" s="82" t="str">
        <f>IF(OR(($A158=Settings!$A$30),ISERROR(VLOOKUP($B158,SportslineData!$Q:$AB,8,0))),"",VLOOKUP($B158,SportslineData!$Q:$AB,8,0))</f>
        <v/>
      </c>
      <c r="R158" s="82" t="str">
        <f>IF(OR(($A158=Settings!$A$30),ISERROR(VLOOKUP($B158,SportslineData!$Q:$AB,10,0))),"",ROUND(VLOOKUP($B158,SportslineData!$Q:$AB,10,0),0))</f>
        <v/>
      </c>
      <c r="S158" s="74" t="str">
        <f>IF(OR(($A158=Settings!$A$30),ISERROR(VLOOKUP($B158,SportslineData!$Q:$AB,11,0))),"",ROUND(VLOOKUP($B158,SportslineData!$Q:$AB,11,0),0))</f>
        <v/>
      </c>
      <c r="T158" s="117"/>
      <c r="U158" s="131">
        <f t="shared" si="18"/>
        <v>10.103629710818451</v>
      </c>
      <c r="V158" s="38">
        <f>IF(ISERROR(ROUND((((((ROUNDDOWN((D158/5),0)*Settings!$F$7)+(E158*Settings!$I$7))+(F158*Settings!$I$11))+(ROUNDDOWN((G158/5),0)*Settings!$F$11))+(H158*Settings!$F$12)),1)),0,ROUND((((((ROUNDDOWN((D158/5),0)*Settings!$F$7)+(E158*Settings!$I$7))+(F158*Settings!$I$11))+(ROUNDDOWN((G158/5),0)*Settings!$F$11))+(H158*Settings!$F$12)),1))</f>
        <v>17.5</v>
      </c>
      <c r="W158" s="38">
        <f>IF(ISERROR(ROUND((((((ROUNDDOWN((I158/5),0)*Settings!$F$7)+(J158*Settings!$I$7))+(K158*Settings!$I$11))+(ROUNDDOWN((L158/5),0)*Settings!$F$11))+(M158*Settings!$F$12)),1)),0,ROUND((((((ROUNDDOWN((I158/5),0)*Settings!$F$7)+(J158*Settings!$I$7))+(K158*Settings!$I$11))+(ROUNDDOWN((L158/5),0)*Settings!$F$11))+(M158*Settings!$F$12)),1))</f>
        <v>0</v>
      </c>
      <c r="X158" s="38">
        <f>IF(AND((N158=""),(P158="")),0,((((((ROUND((N158/5),0)*Settings!$F$7)+(O158*Settings!$I$7))+(P158*Settings!$I$11))+(ROUND((Q158/5),0)*Settings!$F$11))+(R158*Settings!$F$12))+(S158*Settings!$F$15)))</f>
        <v>0</v>
      </c>
      <c r="Y158" s="66">
        <f>ROUND((((V158*Settings!$B$21)+(W158*Settings!$B$22))+(X158*Settings!$B$23)),1)</f>
        <v>5.8</v>
      </c>
      <c r="Z158" s="66">
        <f>IF(ISERROR(VLOOKUP(RANK(Y158,$Y$4:$Y$182),Z$4:Z157,1,0)),RANK(Y158,$Y$4:$Y$182),IF(ISERROR(VLOOKUP((RANK(Y158,$Y$4:$Y$182)+1),Z$4:Z157,1,0)),(RANK(Y158,$Y$4:$Y$182)+1),IF(ISERROR(VLOOKUP((RANK(Y158,$Y$4:$Y$182)+2),Z$4:Z157,1,0)),(RANK(Y158,$Y$4:$Y$182)+2),(RANK(Y158,$Y$4:$Y$182)+3))))</f>
        <v>114</v>
      </c>
      <c r="AA158" t="str">
        <f t="shared" si="19"/>
        <v>Vonta Leach</v>
      </c>
    </row>
    <row r="159" spans="1:27" ht="12.75" customHeight="1">
      <c r="A159" s="33" t="str">
        <f>ESPNData!R164</f>
        <v>Cedric Benson, FA RB</v>
      </c>
      <c r="B159" s="33" t="str">
        <f t="shared" si="16"/>
        <v>Cedric Benson</v>
      </c>
      <c r="C159" s="64" t="str">
        <f t="shared" si="17"/>
        <v>FA</v>
      </c>
      <c r="D159" s="117" t="str">
        <f>IF(OR(($A159=Settings!$A$30),ISERROR(VLOOKUP($B159,FFTodayData!$P:$Y,5,0))),"",VLOOKUP($B159,FFTodayData!$P:$Y,5,0))</f>
        <v/>
      </c>
      <c r="E159" s="33" t="str">
        <f>IF(OR(($A159=Settings!$A$30),ISERROR(VLOOKUP($B159,FFTodayData!$P:$Y,6,0))),"",VLOOKUP($B159,FFTodayData!$P:$Y,6,0))</f>
        <v/>
      </c>
      <c r="F159" s="33" t="str">
        <f>IF(OR(($A159=Settings!$A$30),ISERROR(VLOOKUP($B159,FFTodayData!$P:$Y,7,0))),"",VLOOKUP($B159,FFTodayData!$P:$Y,7,0))</f>
        <v/>
      </c>
      <c r="G159" s="33" t="str">
        <f>IF(OR(($A159=Settings!$A$30),ISERROR(VLOOKUP($B159,FFTodayData!$P:$Y,8,0))),"",VLOOKUP($B159,FFTodayData!$P:$Y,8,0))</f>
        <v/>
      </c>
      <c r="H159" s="64" t="str">
        <f>IF(OR(($A159=Settings!$A$30),ISERROR(VLOOKUP($B159,FFTodayData!$P:$Y,9,0))),"",VLOOKUP($B159,FFTodayData!$P:$Y,9,0))</f>
        <v/>
      </c>
      <c r="I159" s="117" t="str">
        <f>IF(ISERROR(VLOOKUP($A159,ESPNData!$R:$AE,9,0)),"",VLOOKUP($A159,ESPNData!$R:$AE,9,0))</f>
        <v>--</v>
      </c>
      <c r="J159" s="33" t="str">
        <f>IF(ISERROR(VLOOKUP($A159,ESPNData!$R:$AE,10,0)),"",VLOOKUP($A159,ESPNData!$R:$AE,10,0))</f>
        <v>--</v>
      </c>
      <c r="K159" s="33" t="str">
        <f>IF(ISERROR(VLOOKUP($A159,ESPNData!$R:$AE,11,0)),"",VLOOKUP($A159,ESPNData!$R:$AE,11,0))</f>
        <v>--</v>
      </c>
      <c r="L159" s="33" t="str">
        <f>IF(ISERROR(VLOOKUP($A159,ESPNData!$R:$AE,12,0)),"",VLOOKUP($A159,ESPNData!$R:$AE,12,0))</f>
        <v>--</v>
      </c>
      <c r="M159" s="64" t="str">
        <f>IF(ISERROR(VLOOKUP($A159,ESPNData!$R:$AE,13,0)),"",VLOOKUP($A159,ESPNData!$R:$AE,13,0))</f>
        <v>--</v>
      </c>
      <c r="N159" s="115" t="str">
        <f>IF(OR(($A159=Settings!$A$30),ISERROR(VLOOKUP($B159,SportslineData!$Q:$AB,4,0))),"",VLOOKUP($B159,SportslineData!$Q:$AB,4,0))</f>
        <v/>
      </c>
      <c r="O159" s="82" t="str">
        <f>IF(OR(($A159=Settings!$A$30),ISERROR(VLOOKUP($B159,SportslineData!$Q:$AB,6,0))),"",ROUND(VLOOKUP($B159,SportslineData!$Q:$AB,6,0),0))</f>
        <v/>
      </c>
      <c r="P159" s="82" t="str">
        <f>IF(OR(($A159=Settings!$A$30),ISERROR(VLOOKUP($B159,SportslineData!$Q:$AB,7,0))),"",ROUND(VLOOKUP($B159,SportslineData!$Q:$AB,7,0),0))</f>
        <v/>
      </c>
      <c r="Q159" s="82" t="str">
        <f>IF(OR(($A159=Settings!$A$30),ISERROR(VLOOKUP($B159,SportslineData!$Q:$AB,8,0))),"",VLOOKUP($B159,SportslineData!$Q:$AB,8,0))</f>
        <v/>
      </c>
      <c r="R159" s="82" t="str">
        <f>IF(OR(($A159=Settings!$A$30),ISERROR(VLOOKUP($B159,SportslineData!$Q:$AB,10,0))),"",ROUND(VLOOKUP($B159,SportslineData!$Q:$AB,10,0),0))</f>
        <v/>
      </c>
      <c r="S159" s="74" t="str">
        <f>IF(OR(($A159=Settings!$A$30),ISERROR(VLOOKUP($B159,SportslineData!$Q:$AB,11,0))),"",ROUND(VLOOKUP($B159,SportslineData!$Q:$AB,11,0),0))</f>
        <v/>
      </c>
      <c r="T159" s="117"/>
      <c r="U159" s="131">
        <f t="shared" si="18"/>
        <v>0</v>
      </c>
      <c r="V159" s="38">
        <f>IF(ISERROR(ROUND((((((ROUNDDOWN((D159/5),0)*Settings!$F$7)+(E159*Settings!$I$7))+(F159*Settings!$I$11))+(ROUNDDOWN((G159/5),0)*Settings!$F$11))+(H159*Settings!$F$12)),1)),0,ROUND((((((ROUNDDOWN((D159/5),0)*Settings!$F$7)+(E159*Settings!$I$7))+(F159*Settings!$I$11))+(ROUNDDOWN((G159/5),0)*Settings!$F$11))+(H159*Settings!$F$12)),1))</f>
        <v>0</v>
      </c>
      <c r="W159" s="38">
        <f>IF(ISERROR(ROUND((((((ROUNDDOWN((I159/5),0)*Settings!$F$7)+(J159*Settings!$I$7))+(K159*Settings!$I$11))+(ROUNDDOWN((L159/5),0)*Settings!$F$11))+(M159*Settings!$F$12)),1)),0,ROUND((((((ROUNDDOWN((I159/5),0)*Settings!$F$7)+(J159*Settings!$I$7))+(K159*Settings!$I$11))+(ROUNDDOWN((L159/5),0)*Settings!$F$11))+(M159*Settings!$F$12)),1))</f>
        <v>0</v>
      </c>
      <c r="X159" s="38">
        <f>IF(AND((N159=""),(P159="")),0,((((((ROUND((N159/5),0)*Settings!$F$7)+(O159*Settings!$I$7))+(P159*Settings!$I$11))+(ROUND((Q159/5),0)*Settings!$F$11))+(R159*Settings!$F$12))+(S159*Settings!$F$15)))</f>
        <v>0</v>
      </c>
      <c r="Y159" s="66">
        <f>ROUND((((V159*Settings!$B$21)+(W159*Settings!$B$22))+(X159*Settings!$B$23)),1)</f>
        <v>0</v>
      </c>
      <c r="Z159" s="66">
        <f>IF(ISERROR(VLOOKUP(RANK(Y159,$Y$4:$Y$182),Z$4:Z158,1,0)),RANK(Y159,$Y$4:$Y$182),IF(ISERROR(VLOOKUP((RANK(Y159,$Y$4:$Y$182)+1),Z$4:Z158,1,0)),(RANK(Y159,$Y$4:$Y$182)+1),IF(ISERROR(VLOOKUP((RANK(Y159,$Y$4:$Y$182)+2),Z$4:Z158,1,0)),(RANK(Y159,$Y$4:$Y$182)+2),(RANK(Y159,$Y$4:$Y$182)+3))))</f>
        <v>126</v>
      </c>
      <c r="AA159" t="str">
        <f t="shared" si="19"/>
        <v>Cedric Benson</v>
      </c>
    </row>
    <row r="160" spans="1:27" ht="12.75" customHeight="1">
      <c r="A160" s="33" t="str">
        <f>ESPNData!R165</f>
        <v>Cadillac Williams, FA RB</v>
      </c>
      <c r="B160" s="33" t="str">
        <f t="shared" si="16"/>
        <v>Cadillac Williams</v>
      </c>
      <c r="C160" s="64" t="str">
        <f t="shared" si="17"/>
        <v>FA</v>
      </c>
      <c r="D160" s="117" t="str">
        <f>IF(OR(($A160=Settings!$A$30),ISERROR(VLOOKUP($B160,FFTodayData!$P:$Y,5,0))),"",VLOOKUP($B160,FFTodayData!$P:$Y,5,0))</f>
        <v/>
      </c>
      <c r="E160" s="33" t="str">
        <f>IF(OR(($A160=Settings!$A$30),ISERROR(VLOOKUP($B160,FFTodayData!$P:$Y,6,0))),"",VLOOKUP($B160,FFTodayData!$P:$Y,6,0))</f>
        <v/>
      </c>
      <c r="F160" s="33" t="str">
        <f>IF(OR(($A160=Settings!$A$30),ISERROR(VLOOKUP($B160,FFTodayData!$P:$Y,7,0))),"",VLOOKUP($B160,FFTodayData!$P:$Y,7,0))</f>
        <v/>
      </c>
      <c r="G160" s="33" t="str">
        <f>IF(OR(($A160=Settings!$A$30),ISERROR(VLOOKUP($B160,FFTodayData!$P:$Y,8,0))),"",VLOOKUP($B160,FFTodayData!$P:$Y,8,0))</f>
        <v/>
      </c>
      <c r="H160" s="64" t="str">
        <f>IF(OR(($A160=Settings!$A$30),ISERROR(VLOOKUP($B160,FFTodayData!$P:$Y,9,0))),"",VLOOKUP($B160,FFTodayData!$P:$Y,9,0))</f>
        <v/>
      </c>
      <c r="I160" s="117" t="str">
        <f>IF(ISERROR(VLOOKUP($A160,ESPNData!$R:$AE,9,0)),"",VLOOKUP($A160,ESPNData!$R:$AE,9,0))</f>
        <v>--</v>
      </c>
      <c r="J160" s="33" t="str">
        <f>IF(ISERROR(VLOOKUP($A160,ESPNData!$R:$AE,10,0)),"",VLOOKUP($A160,ESPNData!$R:$AE,10,0))</f>
        <v>--</v>
      </c>
      <c r="K160" s="33" t="str">
        <f>IF(ISERROR(VLOOKUP($A160,ESPNData!$R:$AE,11,0)),"",VLOOKUP($A160,ESPNData!$R:$AE,11,0))</f>
        <v>--</v>
      </c>
      <c r="L160" s="33" t="str">
        <f>IF(ISERROR(VLOOKUP($A160,ESPNData!$R:$AE,12,0)),"",VLOOKUP($A160,ESPNData!$R:$AE,12,0))</f>
        <v>--</v>
      </c>
      <c r="M160" s="64" t="str">
        <f>IF(ISERROR(VLOOKUP($A160,ESPNData!$R:$AE,13,0)),"",VLOOKUP($A160,ESPNData!$R:$AE,13,0))</f>
        <v>--</v>
      </c>
      <c r="N160" s="115" t="str">
        <f>IF(OR(($A160=Settings!$A$30),ISERROR(VLOOKUP($B160,SportslineData!$Q:$AB,4,0))),"",VLOOKUP($B160,SportslineData!$Q:$AB,4,0))</f>
        <v/>
      </c>
      <c r="O160" s="82" t="str">
        <f>IF(OR(($A160=Settings!$A$30),ISERROR(VLOOKUP($B160,SportslineData!$Q:$AB,6,0))),"",ROUND(VLOOKUP($B160,SportslineData!$Q:$AB,6,0),0))</f>
        <v/>
      </c>
      <c r="P160" s="82" t="str">
        <f>IF(OR(($A160=Settings!$A$30),ISERROR(VLOOKUP($B160,SportslineData!$Q:$AB,7,0))),"",ROUND(VLOOKUP($B160,SportslineData!$Q:$AB,7,0),0))</f>
        <v/>
      </c>
      <c r="Q160" s="82" t="str">
        <f>IF(OR(($A160=Settings!$A$30),ISERROR(VLOOKUP($B160,SportslineData!$Q:$AB,8,0))),"",VLOOKUP($B160,SportslineData!$Q:$AB,8,0))</f>
        <v/>
      </c>
      <c r="R160" s="82" t="str">
        <f>IF(OR(($A160=Settings!$A$30),ISERROR(VLOOKUP($B160,SportslineData!$Q:$AB,10,0))),"",ROUND(VLOOKUP($B160,SportslineData!$Q:$AB,10,0),0))</f>
        <v/>
      </c>
      <c r="S160" s="74" t="str">
        <f>IF(OR(($A160=Settings!$A$30),ISERROR(VLOOKUP($B160,SportslineData!$Q:$AB,11,0))),"",ROUND(VLOOKUP($B160,SportslineData!$Q:$AB,11,0),0))</f>
        <v/>
      </c>
      <c r="T160" s="117"/>
      <c r="U160" s="131">
        <f t="shared" si="18"/>
        <v>0</v>
      </c>
      <c r="V160" s="38">
        <f>IF(ISERROR(ROUND((((((ROUNDDOWN((D160/5),0)*Settings!$F$7)+(E160*Settings!$I$7))+(F160*Settings!$I$11))+(ROUNDDOWN((G160/5),0)*Settings!$F$11))+(H160*Settings!$F$12)),1)),0,ROUND((((((ROUNDDOWN((D160/5),0)*Settings!$F$7)+(E160*Settings!$I$7))+(F160*Settings!$I$11))+(ROUNDDOWN((G160/5),0)*Settings!$F$11))+(H160*Settings!$F$12)),1))</f>
        <v>0</v>
      </c>
      <c r="W160" s="38">
        <f>IF(ISERROR(ROUND((((((ROUNDDOWN((I160/5),0)*Settings!$F$7)+(J160*Settings!$I$7))+(K160*Settings!$I$11))+(ROUNDDOWN((L160/5),0)*Settings!$F$11))+(M160*Settings!$F$12)),1)),0,ROUND((((((ROUNDDOWN((I160/5),0)*Settings!$F$7)+(J160*Settings!$I$7))+(K160*Settings!$I$11))+(ROUNDDOWN((L160/5),0)*Settings!$F$11))+(M160*Settings!$F$12)),1))</f>
        <v>0</v>
      </c>
      <c r="X160" s="38">
        <f>IF(AND((N160=""),(P160="")),0,((((((ROUND((N160/5),0)*Settings!$F$7)+(O160*Settings!$I$7))+(P160*Settings!$I$11))+(ROUND((Q160/5),0)*Settings!$F$11))+(R160*Settings!$F$12))+(S160*Settings!$F$15)))</f>
        <v>0</v>
      </c>
      <c r="Y160" s="66">
        <f>ROUND((((V160*Settings!$B$21)+(W160*Settings!$B$22))+(X160*Settings!$B$23)),1)</f>
        <v>0</v>
      </c>
      <c r="Z160" s="66">
        <f>IF(ISERROR(VLOOKUP(RANK(Y160,$Y$4:$Y$182),Z$4:Z159,1,0)),RANK(Y160,$Y$4:$Y$182),IF(ISERROR(VLOOKUP((RANK(Y160,$Y$4:$Y$182)+1),Z$4:Z159,1,0)),(RANK(Y160,$Y$4:$Y$182)+1),IF(ISERROR(VLOOKUP((RANK(Y160,$Y$4:$Y$182)+2),Z$4:Z159,1,0)),(RANK(Y160,$Y$4:$Y$182)+2),(RANK(Y160,$Y$4:$Y$182)+3))))</f>
        <v>126</v>
      </c>
      <c r="AA160" t="str">
        <f t="shared" si="19"/>
        <v>Cadillac Williams</v>
      </c>
    </row>
    <row r="161" spans="1:27" ht="12.75" customHeight="1">
      <c r="A161" s="33" t="str">
        <f>ESPNData!R166</f>
        <v>Brandon Jacobs, NYG RB  Q</v>
      </c>
      <c r="B161" s="33" t="str">
        <f t="shared" si="16"/>
        <v>Brandon Jacobs</v>
      </c>
      <c r="C161" s="64" t="str">
        <f t="shared" si="17"/>
        <v>NYG</v>
      </c>
      <c r="D161" s="117">
        <f>IF(OR(($A161=Settings!$A$30),ISERROR(VLOOKUP($B161,FFTodayData!$P:$Y,5,0))),"",VLOOKUP($B161,FFTodayData!$P:$Y,5,0))</f>
        <v>188</v>
      </c>
      <c r="E161" s="33">
        <f>IF(OR(($A161=Settings!$A$30),ISERROR(VLOOKUP($B161,FFTodayData!$P:$Y,6,0))),"",VLOOKUP($B161,FFTodayData!$P:$Y,6,0))</f>
        <v>4</v>
      </c>
      <c r="F161" s="33">
        <f>IF(OR(($A161=Settings!$A$30),ISERROR(VLOOKUP($B161,FFTodayData!$P:$Y,7,0))),"",VLOOKUP($B161,FFTodayData!$P:$Y,7,0))</f>
        <v>0</v>
      </c>
      <c r="G161" s="33">
        <f>IF(OR(($A161=Settings!$A$30),ISERROR(VLOOKUP($B161,FFTodayData!$P:$Y,8,0))),"",VLOOKUP($B161,FFTodayData!$P:$Y,8,0))</f>
        <v>0</v>
      </c>
      <c r="H161" s="64">
        <f>IF(OR(($A161=Settings!$A$30),ISERROR(VLOOKUP($B161,FFTodayData!$P:$Y,9,0))),"",VLOOKUP($B161,FFTodayData!$P:$Y,9,0))</f>
        <v>0</v>
      </c>
      <c r="I161" s="117" t="str">
        <f>IF(ISERROR(VLOOKUP($A161,ESPNData!$R:$AE,9,0)),"",VLOOKUP($A161,ESPNData!$R:$AE,9,0))</f>
        <v>--</v>
      </c>
      <c r="J161" s="33" t="str">
        <f>IF(ISERROR(VLOOKUP($A161,ESPNData!$R:$AE,10,0)),"",VLOOKUP($A161,ESPNData!$R:$AE,10,0))</f>
        <v>--</v>
      </c>
      <c r="K161" s="33" t="str">
        <f>IF(ISERROR(VLOOKUP($A161,ESPNData!$R:$AE,11,0)),"",VLOOKUP($A161,ESPNData!$R:$AE,11,0))</f>
        <v>--</v>
      </c>
      <c r="L161" s="33" t="str">
        <f>IF(ISERROR(VLOOKUP($A161,ESPNData!$R:$AE,12,0)),"",VLOOKUP($A161,ESPNData!$R:$AE,12,0))</f>
        <v>--</v>
      </c>
      <c r="M161" s="64" t="str">
        <f>IF(ISERROR(VLOOKUP($A161,ESPNData!$R:$AE,13,0)),"",VLOOKUP($A161,ESPNData!$R:$AE,13,0))</f>
        <v>--</v>
      </c>
      <c r="N161" s="115" t="str">
        <f>IF(OR(($A161=Settings!$A$30),ISERROR(VLOOKUP($B161,SportslineData!$Q:$AB,4,0))),"",VLOOKUP($B161,SportslineData!$Q:$AB,4,0))</f>
        <v/>
      </c>
      <c r="O161" s="82" t="str">
        <f>IF(OR(($A161=Settings!$A$30),ISERROR(VLOOKUP($B161,SportslineData!$Q:$AB,6,0))),"",ROUND(VLOOKUP($B161,SportslineData!$Q:$AB,6,0),0))</f>
        <v/>
      </c>
      <c r="P161" s="82" t="str">
        <f>IF(OR(($A161=Settings!$A$30),ISERROR(VLOOKUP($B161,SportslineData!$Q:$AB,7,0))),"",ROUND(VLOOKUP($B161,SportslineData!$Q:$AB,7,0),0))</f>
        <v/>
      </c>
      <c r="Q161" s="82" t="str">
        <f>IF(OR(($A161=Settings!$A$30),ISERROR(VLOOKUP($B161,SportslineData!$Q:$AB,8,0))),"",VLOOKUP($B161,SportslineData!$Q:$AB,8,0))</f>
        <v/>
      </c>
      <c r="R161" s="82" t="str">
        <f>IF(OR(($A161=Settings!$A$30),ISERROR(VLOOKUP($B161,SportslineData!$Q:$AB,10,0))),"",ROUND(VLOOKUP($B161,SportslineData!$Q:$AB,10,0),0))</f>
        <v/>
      </c>
      <c r="S161" s="74" t="str">
        <f>IF(OR(($A161=Settings!$A$30),ISERROR(VLOOKUP($B161,SportslineData!$Q:$AB,11,0))),"",ROUND(VLOOKUP($B161,SportslineData!$Q:$AB,11,0),0))</f>
        <v/>
      </c>
      <c r="T161" s="117"/>
      <c r="U161" s="131">
        <f t="shared" si="18"/>
        <v>24.537386440559093</v>
      </c>
      <c r="V161" s="38">
        <f>IF(ISERROR(ROUND((((((ROUNDDOWN((D161/5),0)*Settings!$F$7)+(E161*Settings!$I$7))+(F161*Settings!$I$11))+(ROUNDDOWN((G161/5),0)*Settings!$F$11))+(H161*Settings!$F$12)),1)),0,ROUND((((((ROUNDDOWN((D161/5),0)*Settings!$F$7)+(E161*Settings!$I$7))+(F161*Settings!$I$11))+(ROUNDDOWN((G161/5),0)*Settings!$F$11))+(H161*Settings!$F$12)),1))</f>
        <v>42.5</v>
      </c>
      <c r="W161" s="38">
        <f>IF(ISERROR(ROUND((((((ROUNDDOWN((I161/5),0)*Settings!$F$7)+(J161*Settings!$I$7))+(K161*Settings!$I$11))+(ROUNDDOWN((L161/5),0)*Settings!$F$11))+(M161*Settings!$F$12)),1)),0,ROUND((((((ROUNDDOWN((I161/5),0)*Settings!$F$7)+(J161*Settings!$I$7))+(K161*Settings!$I$11))+(ROUNDDOWN((L161/5),0)*Settings!$F$11))+(M161*Settings!$F$12)),1))</f>
        <v>0</v>
      </c>
      <c r="X161" s="38">
        <f>IF(AND((N161=""),(P161="")),0,((((((ROUND((N161/5),0)*Settings!$F$7)+(O161*Settings!$I$7))+(P161*Settings!$I$11))+(ROUND((Q161/5),0)*Settings!$F$11))+(R161*Settings!$F$12))+(S161*Settings!$F$15)))</f>
        <v>0</v>
      </c>
      <c r="Y161" s="66">
        <f>ROUND((((V161*Settings!$B$21)+(W161*Settings!$B$22))+(X161*Settings!$B$23)),1)</f>
        <v>14</v>
      </c>
      <c r="Z161" s="66">
        <f>IF(ISERROR(VLOOKUP(RANK(Y161,$Y$4:$Y$182),Z$4:Z160,1,0)),RANK(Y161,$Y$4:$Y$182),IF(ISERROR(VLOOKUP((RANK(Y161,$Y$4:$Y$182)+1),Z$4:Z160,1,0)),(RANK(Y161,$Y$4:$Y$182)+1),IF(ISERROR(VLOOKUP((RANK(Y161,$Y$4:$Y$182)+2),Z$4:Z160,1,0)),(RANK(Y161,$Y$4:$Y$182)+2),(RANK(Y161,$Y$4:$Y$182)+3))))</f>
        <v>105</v>
      </c>
      <c r="AA161" t="str">
        <f t="shared" si="19"/>
        <v>Brandon Jacobs</v>
      </c>
    </row>
    <row r="162" spans="1:27" ht="12.75" customHeight="1">
      <c r="A162" s="33" t="str">
        <f>ESPNData!R167</f>
        <v>Madison Hedgecock, FA RB</v>
      </c>
      <c r="B162" s="33" t="str">
        <f t="shared" si="16"/>
        <v>Madison Hedgecock</v>
      </c>
      <c r="C162" s="64" t="str">
        <f t="shared" si="17"/>
        <v>FA</v>
      </c>
      <c r="D162" s="117" t="str">
        <f>IF(OR(($A162=Settings!$A$30),ISERROR(VLOOKUP($B162,FFTodayData!$P:$Y,5,0))),"",VLOOKUP($B162,FFTodayData!$P:$Y,5,0))</f>
        <v/>
      </c>
      <c r="E162" s="33" t="str">
        <f>IF(OR(($A162=Settings!$A$30),ISERROR(VLOOKUP($B162,FFTodayData!$P:$Y,6,0))),"",VLOOKUP($B162,FFTodayData!$P:$Y,6,0))</f>
        <v/>
      </c>
      <c r="F162" s="33" t="str">
        <f>IF(OR(($A162=Settings!$A$30),ISERROR(VLOOKUP($B162,FFTodayData!$P:$Y,7,0))),"",VLOOKUP($B162,FFTodayData!$P:$Y,7,0))</f>
        <v/>
      </c>
      <c r="G162" s="33" t="str">
        <f>IF(OR(($A162=Settings!$A$30),ISERROR(VLOOKUP($B162,FFTodayData!$P:$Y,8,0))),"",VLOOKUP($B162,FFTodayData!$P:$Y,8,0))</f>
        <v/>
      </c>
      <c r="H162" s="64" t="str">
        <f>IF(OR(($A162=Settings!$A$30),ISERROR(VLOOKUP($B162,FFTodayData!$P:$Y,9,0))),"",VLOOKUP($B162,FFTodayData!$P:$Y,9,0))</f>
        <v/>
      </c>
      <c r="I162" s="117" t="str">
        <f>IF(ISERROR(VLOOKUP($A162,ESPNData!$R:$AE,9,0)),"",VLOOKUP($A162,ESPNData!$R:$AE,9,0))</f>
        <v>--</v>
      </c>
      <c r="J162" s="33" t="str">
        <f>IF(ISERROR(VLOOKUP($A162,ESPNData!$R:$AE,10,0)),"",VLOOKUP($A162,ESPNData!$R:$AE,10,0))</f>
        <v>--</v>
      </c>
      <c r="K162" s="33" t="str">
        <f>IF(ISERROR(VLOOKUP($A162,ESPNData!$R:$AE,11,0)),"",VLOOKUP($A162,ESPNData!$R:$AE,11,0))</f>
        <v>--</v>
      </c>
      <c r="L162" s="33" t="str">
        <f>IF(ISERROR(VLOOKUP($A162,ESPNData!$R:$AE,12,0)),"",VLOOKUP($A162,ESPNData!$R:$AE,12,0))</f>
        <v>--</v>
      </c>
      <c r="M162" s="64" t="str">
        <f>IF(ISERROR(VLOOKUP($A162,ESPNData!$R:$AE,13,0)),"",VLOOKUP($A162,ESPNData!$R:$AE,13,0))</f>
        <v>--</v>
      </c>
      <c r="N162" s="115" t="str">
        <f>IF(OR(($A162=Settings!$A$30),ISERROR(VLOOKUP($B162,SportslineData!$Q:$AB,4,0))),"",VLOOKUP($B162,SportslineData!$Q:$AB,4,0))</f>
        <v/>
      </c>
      <c r="O162" s="82" t="str">
        <f>IF(OR(($A162=Settings!$A$30),ISERROR(VLOOKUP($B162,SportslineData!$Q:$AB,6,0))),"",ROUND(VLOOKUP($B162,SportslineData!$Q:$AB,6,0),0))</f>
        <v/>
      </c>
      <c r="P162" s="82" t="str">
        <f>IF(OR(($A162=Settings!$A$30),ISERROR(VLOOKUP($B162,SportslineData!$Q:$AB,7,0))),"",ROUND(VLOOKUP($B162,SportslineData!$Q:$AB,7,0),0))</f>
        <v/>
      </c>
      <c r="Q162" s="82" t="str">
        <f>IF(OR(($A162=Settings!$A$30),ISERROR(VLOOKUP($B162,SportslineData!$Q:$AB,8,0))),"",VLOOKUP($B162,SportslineData!$Q:$AB,8,0))</f>
        <v/>
      </c>
      <c r="R162" s="82" t="str">
        <f>IF(OR(($A162=Settings!$A$30),ISERROR(VLOOKUP($B162,SportslineData!$Q:$AB,10,0))),"",ROUND(VLOOKUP($B162,SportslineData!$Q:$AB,10,0),0))</f>
        <v/>
      </c>
      <c r="S162" s="74" t="str">
        <f>IF(OR(($A162=Settings!$A$30),ISERROR(VLOOKUP($B162,SportslineData!$Q:$AB,11,0))),"",ROUND(VLOOKUP($B162,SportslineData!$Q:$AB,11,0),0))</f>
        <v/>
      </c>
      <c r="T162" s="117"/>
      <c r="U162" s="131">
        <f t="shared" si="18"/>
        <v>0</v>
      </c>
      <c r="V162" s="38">
        <f>IF(ISERROR(ROUND((((((ROUNDDOWN((D162/5),0)*Settings!$F$7)+(E162*Settings!$I$7))+(F162*Settings!$I$11))+(ROUNDDOWN((G162/5),0)*Settings!$F$11))+(H162*Settings!$F$12)),1)),0,ROUND((((((ROUNDDOWN((D162/5),0)*Settings!$F$7)+(E162*Settings!$I$7))+(F162*Settings!$I$11))+(ROUNDDOWN((G162/5),0)*Settings!$F$11))+(H162*Settings!$F$12)),1))</f>
        <v>0</v>
      </c>
      <c r="W162" s="38">
        <f>IF(ISERROR(ROUND((((((ROUNDDOWN((I162/5),0)*Settings!$F$7)+(J162*Settings!$I$7))+(K162*Settings!$I$11))+(ROUNDDOWN((L162/5),0)*Settings!$F$11))+(M162*Settings!$F$12)),1)),0,ROUND((((((ROUNDDOWN((I162/5),0)*Settings!$F$7)+(J162*Settings!$I$7))+(K162*Settings!$I$11))+(ROUNDDOWN((L162/5),0)*Settings!$F$11))+(M162*Settings!$F$12)),1))</f>
        <v>0</v>
      </c>
      <c r="X162" s="38">
        <f>IF(AND((N162=""),(P162="")),0,((((((ROUND((N162/5),0)*Settings!$F$7)+(O162*Settings!$I$7))+(P162*Settings!$I$11))+(ROUND((Q162/5),0)*Settings!$F$11))+(R162*Settings!$F$12))+(S162*Settings!$F$15)))</f>
        <v>0</v>
      </c>
      <c r="Y162" s="66">
        <f>ROUND((((V162*Settings!$B$21)+(W162*Settings!$B$22))+(X162*Settings!$B$23)),1)</f>
        <v>0</v>
      </c>
      <c r="Z162" s="66">
        <f>IF(ISERROR(VLOOKUP(RANK(Y162,$Y$4:$Y$182),Z$4:Z161,1,0)),RANK(Y162,$Y$4:$Y$182),IF(ISERROR(VLOOKUP((RANK(Y162,$Y$4:$Y$182)+1),Z$4:Z161,1,0)),(RANK(Y162,$Y$4:$Y$182)+1),IF(ISERROR(VLOOKUP((RANK(Y162,$Y$4:$Y$182)+2),Z$4:Z161,1,0)),(RANK(Y162,$Y$4:$Y$182)+2),(RANK(Y162,$Y$4:$Y$182)+3))))</f>
        <v>126</v>
      </c>
      <c r="AA162" t="str">
        <f t="shared" si="19"/>
        <v>Madison Hedgecock</v>
      </c>
    </row>
    <row r="163" spans="1:27" ht="12.75" customHeight="1">
      <c r="A163" s="33" t="str">
        <f>ESPNData!R168</f>
        <v>Leonard Weaver, FA RB</v>
      </c>
      <c r="B163" s="33" t="str">
        <f t="shared" si="16"/>
        <v>Leonard Weaver</v>
      </c>
      <c r="C163" s="64" t="str">
        <f t="shared" si="17"/>
        <v>FA</v>
      </c>
      <c r="D163" s="117" t="str">
        <f>IF(OR(($A163=Settings!$A$30),ISERROR(VLOOKUP($B163,FFTodayData!$P:$Y,5,0))),"",VLOOKUP($B163,FFTodayData!$P:$Y,5,0))</f>
        <v/>
      </c>
      <c r="E163" s="33" t="str">
        <f>IF(OR(($A163=Settings!$A$30),ISERROR(VLOOKUP($B163,FFTodayData!$P:$Y,6,0))),"",VLOOKUP($B163,FFTodayData!$P:$Y,6,0))</f>
        <v/>
      </c>
      <c r="F163" s="33" t="str">
        <f>IF(OR(($A163=Settings!$A$30),ISERROR(VLOOKUP($B163,FFTodayData!$P:$Y,7,0))),"",VLOOKUP($B163,FFTodayData!$P:$Y,7,0))</f>
        <v/>
      </c>
      <c r="G163" s="33" t="str">
        <f>IF(OR(($A163=Settings!$A$30),ISERROR(VLOOKUP($B163,FFTodayData!$P:$Y,8,0))),"",VLOOKUP($B163,FFTodayData!$P:$Y,8,0))</f>
        <v/>
      </c>
      <c r="H163" s="64" t="str">
        <f>IF(OR(($A163=Settings!$A$30),ISERROR(VLOOKUP($B163,FFTodayData!$P:$Y,9,0))),"",VLOOKUP($B163,FFTodayData!$P:$Y,9,0))</f>
        <v/>
      </c>
      <c r="I163" s="117" t="str">
        <f>IF(ISERROR(VLOOKUP($A163,ESPNData!$R:$AE,9,0)),"",VLOOKUP($A163,ESPNData!$R:$AE,9,0))</f>
        <v>--</v>
      </c>
      <c r="J163" s="33" t="str">
        <f>IF(ISERROR(VLOOKUP($A163,ESPNData!$R:$AE,10,0)),"",VLOOKUP($A163,ESPNData!$R:$AE,10,0))</f>
        <v>--</v>
      </c>
      <c r="K163" s="33" t="str">
        <f>IF(ISERROR(VLOOKUP($A163,ESPNData!$R:$AE,11,0)),"",VLOOKUP($A163,ESPNData!$R:$AE,11,0))</f>
        <v>--</v>
      </c>
      <c r="L163" s="33" t="str">
        <f>IF(ISERROR(VLOOKUP($A163,ESPNData!$R:$AE,12,0)),"",VLOOKUP($A163,ESPNData!$R:$AE,12,0))</f>
        <v>--</v>
      </c>
      <c r="M163" s="64" t="str">
        <f>IF(ISERROR(VLOOKUP($A163,ESPNData!$R:$AE,13,0)),"",VLOOKUP($A163,ESPNData!$R:$AE,13,0))</f>
        <v>--</v>
      </c>
      <c r="N163" s="115" t="str">
        <f>IF(OR(($A163=Settings!$A$30),ISERROR(VLOOKUP($B163,SportslineData!$Q:$AB,4,0))),"",VLOOKUP($B163,SportslineData!$Q:$AB,4,0))</f>
        <v/>
      </c>
      <c r="O163" s="82" t="str">
        <f>IF(OR(($A163=Settings!$A$30),ISERROR(VLOOKUP($B163,SportslineData!$Q:$AB,6,0))),"",ROUND(VLOOKUP($B163,SportslineData!$Q:$AB,6,0),0))</f>
        <v/>
      </c>
      <c r="P163" s="82" t="str">
        <f>IF(OR(($A163=Settings!$A$30),ISERROR(VLOOKUP($B163,SportslineData!$Q:$AB,7,0))),"",ROUND(VLOOKUP($B163,SportslineData!$Q:$AB,7,0),0))</f>
        <v/>
      </c>
      <c r="Q163" s="82" t="str">
        <f>IF(OR(($A163=Settings!$A$30),ISERROR(VLOOKUP($B163,SportslineData!$Q:$AB,8,0))),"",VLOOKUP($B163,SportslineData!$Q:$AB,8,0))</f>
        <v/>
      </c>
      <c r="R163" s="82" t="str">
        <f>IF(OR(($A163=Settings!$A$30),ISERROR(VLOOKUP($B163,SportslineData!$Q:$AB,10,0))),"",ROUND(VLOOKUP($B163,SportslineData!$Q:$AB,10,0),0))</f>
        <v/>
      </c>
      <c r="S163" s="74" t="str">
        <f>IF(OR(($A163=Settings!$A$30),ISERROR(VLOOKUP($B163,SportslineData!$Q:$AB,11,0))),"",ROUND(VLOOKUP($B163,SportslineData!$Q:$AB,11,0),0))</f>
        <v/>
      </c>
      <c r="T163" s="117"/>
      <c r="U163" s="131">
        <f t="shared" si="18"/>
        <v>0</v>
      </c>
      <c r="V163" s="38">
        <f>IF(ISERROR(ROUND((((((ROUNDDOWN((D163/5),0)*Settings!$F$7)+(E163*Settings!$I$7))+(F163*Settings!$I$11))+(ROUNDDOWN((G163/5),0)*Settings!$F$11))+(H163*Settings!$F$12)),1)),0,ROUND((((((ROUNDDOWN((D163/5),0)*Settings!$F$7)+(E163*Settings!$I$7))+(F163*Settings!$I$11))+(ROUNDDOWN((G163/5),0)*Settings!$F$11))+(H163*Settings!$F$12)),1))</f>
        <v>0</v>
      </c>
      <c r="W163" s="38">
        <f>IF(ISERROR(ROUND((((((ROUNDDOWN((I163/5),0)*Settings!$F$7)+(J163*Settings!$I$7))+(K163*Settings!$I$11))+(ROUNDDOWN((L163/5),0)*Settings!$F$11))+(M163*Settings!$F$12)),1)),0,ROUND((((((ROUNDDOWN((I163/5),0)*Settings!$F$7)+(J163*Settings!$I$7))+(K163*Settings!$I$11))+(ROUNDDOWN((L163/5),0)*Settings!$F$11))+(M163*Settings!$F$12)),1))</f>
        <v>0</v>
      </c>
      <c r="X163" s="38">
        <f>IF(AND((N163=""),(P163="")),0,((((((ROUND((N163/5),0)*Settings!$F$7)+(O163*Settings!$I$7))+(P163*Settings!$I$11))+(ROUND((Q163/5),0)*Settings!$F$11))+(R163*Settings!$F$12))+(S163*Settings!$F$15)))</f>
        <v>0</v>
      </c>
      <c r="Y163" s="66">
        <f>ROUND((((V163*Settings!$B$21)+(W163*Settings!$B$22))+(X163*Settings!$B$23)),1)</f>
        <v>0</v>
      </c>
      <c r="Z163" s="66">
        <f>IF(ISERROR(VLOOKUP(RANK(Y163,$Y$4:$Y$182),Z$4:Z162,1,0)),RANK(Y163,$Y$4:$Y$182),IF(ISERROR(VLOOKUP((RANK(Y163,$Y$4:$Y$182)+1),Z$4:Z162,1,0)),(RANK(Y163,$Y$4:$Y$182)+1),IF(ISERROR(VLOOKUP((RANK(Y163,$Y$4:$Y$182)+2),Z$4:Z162,1,0)),(RANK(Y163,$Y$4:$Y$182)+2),(RANK(Y163,$Y$4:$Y$182)+3))))</f>
        <v>126</v>
      </c>
      <c r="AA163" t="str">
        <f t="shared" si="19"/>
        <v>Leonard Weaver</v>
      </c>
    </row>
    <row r="164" spans="1:27" ht="12.75" customHeight="1">
      <c r="A164" s="33">
        <f>ESPNData!R303</f>
        <v>0</v>
      </c>
      <c r="B164" s="33" t="str">
        <f t="shared" ref="B164:B195" si="20">IF(OR((A164=""),(A164=0)),"",IF(ISERROR(FIND("*",A164)),LEFT(A164,(FIND(",",A164)-1)),LEFT(A164,(FIND("*",A164)-1))))</f>
        <v/>
      </c>
      <c r="C164" s="64" t="e">
        <f t="shared" ref="C164:C182" si="21">IF((A164=""),"",UPPER(RIGHT(LEFT(A164,(FIND("RB",A164)-2)),(LEN(LEFT(A164,(FIND("RB",A164)-2)))-(FIND(",",LEFT(A164,(FIND("RB",A164)-2)))+1)))))</f>
        <v>#VALUE!</v>
      </c>
      <c r="D164" s="117" t="str">
        <f>IF(OR(($A164=Settings!$A$30),ISERROR(VLOOKUP($B164,FFTodayData!$P:$Y,5,0))),"",VLOOKUP($B164,FFTodayData!$P:$Y,5,0))</f>
        <v/>
      </c>
      <c r="E164" s="33" t="str">
        <f>IF(OR(($A164=Settings!$A$30),ISERROR(VLOOKUP($B164,FFTodayData!$P:$Y,6,0))),"",VLOOKUP($B164,FFTodayData!$P:$Y,6,0))</f>
        <v/>
      </c>
      <c r="F164" s="33" t="str">
        <f>IF(OR(($A164=Settings!$A$30),ISERROR(VLOOKUP($B164,FFTodayData!$P:$Y,7,0))),"",VLOOKUP($B164,FFTodayData!$P:$Y,7,0))</f>
        <v/>
      </c>
      <c r="G164" s="33" t="str">
        <f>IF(OR(($A164=Settings!$A$30),ISERROR(VLOOKUP($B164,FFTodayData!$P:$Y,8,0))),"",VLOOKUP($B164,FFTodayData!$P:$Y,8,0))</f>
        <v/>
      </c>
      <c r="H164" s="64" t="str">
        <f>IF(OR(($A164=Settings!$A$30),ISERROR(VLOOKUP($B164,FFTodayData!$P:$Y,9,0))),"",VLOOKUP($B164,FFTodayData!$P:$Y,9,0))</f>
        <v/>
      </c>
      <c r="I164" s="117" t="str">
        <f>IF(ISERROR(VLOOKUP($A164,ESPNData!$R:$AE,9,0)),"",VLOOKUP($A164,ESPNData!$R:$AE,9,0))</f>
        <v/>
      </c>
      <c r="J164" s="33" t="str">
        <f>IF(ISERROR(VLOOKUP($A164,ESPNData!$R:$AE,10,0)),"",VLOOKUP($A164,ESPNData!$R:$AE,10,0))</f>
        <v/>
      </c>
      <c r="K164" s="33" t="str">
        <f>IF(ISERROR(VLOOKUP($A164,ESPNData!$R:$AE,11,0)),"",VLOOKUP($A164,ESPNData!$R:$AE,11,0))</f>
        <v/>
      </c>
      <c r="L164" s="33" t="str">
        <f>IF(ISERROR(VLOOKUP($A164,ESPNData!$R:$AE,12,0)),"",VLOOKUP($A164,ESPNData!$R:$AE,12,0))</f>
        <v/>
      </c>
      <c r="M164" s="64" t="str">
        <f>IF(ISERROR(VLOOKUP($A164,ESPNData!$R:$AE,13,0)),"",VLOOKUP($A164,ESPNData!$R:$AE,13,0))</f>
        <v/>
      </c>
      <c r="N164" s="115" t="str">
        <f>IF(OR(($A164=Settings!$A$30),ISERROR(VLOOKUP($B164,SportslineData!$Q:$AB,4,0))),"",VLOOKUP($B164,SportslineData!$Q:$AB,4,0))</f>
        <v/>
      </c>
      <c r="O164" s="82" t="str">
        <f>IF(OR(($A164=Settings!$A$30),ISERROR(VLOOKUP($B164,SportslineData!$Q:$AB,6,0))),"",ROUND(VLOOKUP($B164,SportslineData!$Q:$AB,6,0),0))</f>
        <v/>
      </c>
      <c r="P164" s="82" t="str">
        <f>IF(OR(($A164=Settings!$A$30),ISERROR(VLOOKUP($B164,SportslineData!$Q:$AB,7,0))),"",ROUND(VLOOKUP($B164,SportslineData!$Q:$AB,7,0),0))</f>
        <v/>
      </c>
      <c r="Q164" s="82" t="str">
        <f>IF(OR(($A164=Settings!$A$30),ISERROR(VLOOKUP($B164,SportslineData!$Q:$AB,8,0))),"",VLOOKUP($B164,SportslineData!$Q:$AB,8,0))</f>
        <v/>
      </c>
      <c r="R164" s="82" t="str">
        <f>IF(OR(($A164=Settings!$A$30),ISERROR(VLOOKUP($B164,SportslineData!$Q:$AB,10,0))),"",ROUND(VLOOKUP($B164,SportslineData!$Q:$AB,10,0),0))</f>
        <v/>
      </c>
      <c r="S164" s="74" t="str">
        <f>IF(OR(($A164=Settings!$A$30),ISERROR(VLOOKUP($B164,SportslineData!$Q:$AB,11,0))),"",ROUND(VLOOKUP($B164,SportslineData!$Q:$AB,11,0),0))</f>
        <v/>
      </c>
      <c r="T164" s="117"/>
      <c r="U164" s="131">
        <f t="shared" ref="U164:U195" si="22">STDEV(V164:X164)</f>
        <v>0</v>
      </c>
      <c r="V164" s="38">
        <f>IF(ISERROR(ROUND((((((ROUNDDOWN((D164/5),0)*Settings!$F$7)+(E164*Settings!$I$7))+(F164*Settings!$I$11))+(ROUNDDOWN((G164/5),0)*Settings!$F$11))+(H164*Settings!$F$12)),1)),0,ROUND((((((ROUNDDOWN((D164/5),0)*Settings!$F$7)+(E164*Settings!$I$7))+(F164*Settings!$I$11))+(ROUNDDOWN((G164/5),0)*Settings!$F$11))+(H164*Settings!$F$12)),1))</f>
        <v>0</v>
      </c>
      <c r="W164" s="38">
        <f>IF(ISERROR(ROUND((((((ROUNDDOWN((I164/5),0)*Settings!$F$7)+(J164*Settings!$I$7))+(K164*Settings!$I$11))+(ROUNDDOWN((L164/5),0)*Settings!$F$11))+(M164*Settings!$F$12)),1)),0,ROUND((((((ROUNDDOWN((I164/5),0)*Settings!$F$7)+(J164*Settings!$I$7))+(K164*Settings!$I$11))+(ROUNDDOWN((L164/5),0)*Settings!$F$11))+(M164*Settings!$F$12)),1))</f>
        <v>0</v>
      </c>
      <c r="X164" s="38">
        <f>IF(AND((N164=""),(P164="")),0,((((((ROUND((N164/5),0)*Settings!$F$7)+(O164*Settings!$I$7))+(P164*Settings!$I$11))+(ROUND((Q164/5),0)*Settings!$F$11))+(R164*Settings!$F$12))+(S164*Settings!$F$15)))</f>
        <v>0</v>
      </c>
      <c r="Y164" s="66">
        <f>ROUND((((V164*Settings!$B$21)+(W164*Settings!$B$22))+(X164*Settings!$B$23)),1)</f>
        <v>0</v>
      </c>
      <c r="Z164" s="66">
        <f>IF(ISERROR(VLOOKUP(RANK(Y164,$Y$4:$Y$182),Z$4:Z163,1,0)),RANK(Y164,$Y$4:$Y$182),IF(ISERROR(VLOOKUP((RANK(Y164,$Y$4:$Y$182)+1),Z$4:Z163,1,0)),(RANK(Y164,$Y$4:$Y$182)+1),IF(ISERROR(VLOOKUP((RANK(Y164,$Y$4:$Y$182)+2),Z$4:Z163,1,0)),(RANK(Y164,$Y$4:$Y$182)+2),(RANK(Y164,$Y$4:$Y$182)+3))))</f>
        <v>126</v>
      </c>
      <c r="AA164" t="str">
        <f t="shared" ref="AA164:AA182" si="23">B164</f>
        <v/>
      </c>
    </row>
    <row r="165" spans="1:27" ht="12.75" customHeight="1">
      <c r="A165" s="33">
        <f>ESPNData!R304</f>
        <v>0</v>
      </c>
      <c r="B165" s="33" t="str">
        <f t="shared" si="20"/>
        <v/>
      </c>
      <c r="C165" s="64" t="e">
        <f t="shared" si="21"/>
        <v>#VALUE!</v>
      </c>
      <c r="D165" s="117" t="str">
        <f>IF(OR(($A165=Settings!$A$30),ISERROR(VLOOKUP($B165,FFTodayData!$P:$Y,5,0))),"",VLOOKUP($B165,FFTodayData!$P:$Y,5,0))</f>
        <v/>
      </c>
      <c r="E165" s="33" t="str">
        <f>IF(OR(($A165=Settings!$A$30),ISERROR(VLOOKUP($B165,FFTodayData!$P:$Y,6,0))),"",VLOOKUP($B165,FFTodayData!$P:$Y,6,0))</f>
        <v/>
      </c>
      <c r="F165" s="33" t="str">
        <f>IF(OR(($A165=Settings!$A$30),ISERROR(VLOOKUP($B165,FFTodayData!$P:$Y,7,0))),"",VLOOKUP($B165,FFTodayData!$P:$Y,7,0))</f>
        <v/>
      </c>
      <c r="G165" s="33" t="str">
        <f>IF(OR(($A165=Settings!$A$30),ISERROR(VLOOKUP($B165,FFTodayData!$P:$Y,8,0))),"",VLOOKUP($B165,FFTodayData!$P:$Y,8,0))</f>
        <v/>
      </c>
      <c r="H165" s="64" t="str">
        <f>IF(OR(($A165=Settings!$A$30),ISERROR(VLOOKUP($B165,FFTodayData!$P:$Y,9,0))),"",VLOOKUP($B165,FFTodayData!$P:$Y,9,0))</f>
        <v/>
      </c>
      <c r="I165" s="117" t="str">
        <f>IF(ISERROR(VLOOKUP($A165,ESPNData!$R:$AE,9,0)),"",VLOOKUP($A165,ESPNData!$R:$AE,9,0))</f>
        <v/>
      </c>
      <c r="J165" s="33" t="str">
        <f>IF(ISERROR(VLOOKUP($A165,ESPNData!$R:$AE,10,0)),"",VLOOKUP($A165,ESPNData!$R:$AE,10,0))</f>
        <v/>
      </c>
      <c r="K165" s="33" t="str">
        <f>IF(ISERROR(VLOOKUP($A165,ESPNData!$R:$AE,11,0)),"",VLOOKUP($A165,ESPNData!$R:$AE,11,0))</f>
        <v/>
      </c>
      <c r="L165" s="33" t="str">
        <f>IF(ISERROR(VLOOKUP($A165,ESPNData!$R:$AE,12,0)),"",VLOOKUP($A165,ESPNData!$R:$AE,12,0))</f>
        <v/>
      </c>
      <c r="M165" s="64" t="str">
        <f>IF(ISERROR(VLOOKUP($A165,ESPNData!$R:$AE,13,0)),"",VLOOKUP($A165,ESPNData!$R:$AE,13,0))</f>
        <v/>
      </c>
      <c r="N165" s="115" t="str">
        <f>IF(OR(($A165=Settings!$A$30),ISERROR(VLOOKUP($B165,SportslineData!$Q:$AB,4,0))),"",VLOOKUP($B165,SportslineData!$Q:$AB,4,0))</f>
        <v/>
      </c>
      <c r="O165" s="82" t="str">
        <f>IF(OR(($A165=Settings!$A$30),ISERROR(VLOOKUP($B165,SportslineData!$Q:$AB,6,0))),"",ROUND(VLOOKUP($B165,SportslineData!$Q:$AB,6,0),0))</f>
        <v/>
      </c>
      <c r="P165" s="82" t="str">
        <f>IF(OR(($A165=Settings!$A$30),ISERROR(VLOOKUP($B165,SportslineData!$Q:$AB,7,0))),"",ROUND(VLOOKUP($B165,SportslineData!$Q:$AB,7,0),0))</f>
        <v/>
      </c>
      <c r="Q165" s="82" t="str">
        <f>IF(OR(($A165=Settings!$A$30),ISERROR(VLOOKUP($B165,SportslineData!$Q:$AB,8,0))),"",VLOOKUP($B165,SportslineData!$Q:$AB,8,0))</f>
        <v/>
      </c>
      <c r="R165" s="82" t="str">
        <f>IF(OR(($A165=Settings!$A$30),ISERROR(VLOOKUP($B165,SportslineData!$Q:$AB,10,0))),"",ROUND(VLOOKUP($B165,SportslineData!$Q:$AB,10,0),0))</f>
        <v/>
      </c>
      <c r="S165" s="74" t="str">
        <f>IF(OR(($A165=Settings!$A$30),ISERROR(VLOOKUP($B165,SportslineData!$Q:$AB,11,0))),"",ROUND(VLOOKUP($B165,SportslineData!$Q:$AB,11,0),0))</f>
        <v/>
      </c>
      <c r="T165" s="117"/>
      <c r="U165" s="131">
        <f t="shared" si="22"/>
        <v>0</v>
      </c>
      <c r="V165" s="38">
        <f>IF(ISERROR(ROUND((((((ROUNDDOWN((D165/5),0)*Settings!$F$7)+(E165*Settings!$I$7))+(F165*Settings!$I$11))+(ROUNDDOWN((G165/5),0)*Settings!$F$11))+(H165*Settings!$F$12)),1)),0,ROUND((((((ROUNDDOWN((D165/5),0)*Settings!$F$7)+(E165*Settings!$I$7))+(F165*Settings!$I$11))+(ROUNDDOWN((G165/5),0)*Settings!$F$11))+(H165*Settings!$F$12)),1))</f>
        <v>0</v>
      </c>
      <c r="W165" s="38">
        <f>IF(ISERROR(ROUND((((((ROUNDDOWN((I165/5),0)*Settings!$F$7)+(J165*Settings!$I$7))+(K165*Settings!$I$11))+(ROUNDDOWN((L165/5),0)*Settings!$F$11))+(M165*Settings!$F$12)),1)),0,ROUND((((((ROUNDDOWN((I165/5),0)*Settings!$F$7)+(J165*Settings!$I$7))+(K165*Settings!$I$11))+(ROUNDDOWN((L165/5),0)*Settings!$F$11))+(M165*Settings!$F$12)),1))</f>
        <v>0</v>
      </c>
      <c r="X165" s="38">
        <f>IF(AND((N165=""),(P165="")),0,((((((ROUND((N165/5),0)*Settings!$F$7)+(O165*Settings!$I$7))+(P165*Settings!$I$11))+(ROUND((Q165/5),0)*Settings!$F$11))+(R165*Settings!$F$12))+(S165*Settings!$F$15)))</f>
        <v>0</v>
      </c>
      <c r="Y165" s="66">
        <f>ROUND((((V165*Settings!$B$21)+(W165*Settings!$B$22))+(X165*Settings!$B$23)),1)</f>
        <v>0</v>
      </c>
      <c r="Z165" s="66">
        <f>IF(ISERROR(VLOOKUP(RANK(Y165,$Y$4:$Y$182),Z$4:Z164,1,0)),RANK(Y165,$Y$4:$Y$182),IF(ISERROR(VLOOKUP((RANK(Y165,$Y$4:$Y$182)+1),Z$4:Z164,1,0)),(RANK(Y165,$Y$4:$Y$182)+1),IF(ISERROR(VLOOKUP((RANK(Y165,$Y$4:$Y$182)+2),Z$4:Z164,1,0)),(RANK(Y165,$Y$4:$Y$182)+2),(RANK(Y165,$Y$4:$Y$182)+3))))</f>
        <v>126</v>
      </c>
      <c r="AA165" t="str">
        <f t="shared" si="23"/>
        <v/>
      </c>
    </row>
    <row r="166" spans="1:27" ht="12.75" customHeight="1">
      <c r="A166" s="33">
        <f>ESPNData!R305</f>
        <v>0</v>
      </c>
      <c r="B166" s="33" t="str">
        <f t="shared" si="20"/>
        <v/>
      </c>
      <c r="C166" s="64" t="e">
        <f t="shared" si="21"/>
        <v>#VALUE!</v>
      </c>
      <c r="D166" s="117" t="str">
        <f>IF(OR(($A166=Settings!$A$30),ISERROR(VLOOKUP($B166,FFTodayData!$P:$Y,5,0))),"",VLOOKUP($B166,FFTodayData!$P:$Y,5,0))</f>
        <v/>
      </c>
      <c r="E166" s="33" t="str">
        <f>IF(OR(($A166=Settings!$A$30),ISERROR(VLOOKUP($B166,FFTodayData!$P:$Y,6,0))),"",VLOOKUP($B166,FFTodayData!$P:$Y,6,0))</f>
        <v/>
      </c>
      <c r="F166" s="33" t="str">
        <f>IF(OR(($A166=Settings!$A$30),ISERROR(VLOOKUP($B166,FFTodayData!$P:$Y,7,0))),"",VLOOKUP($B166,FFTodayData!$P:$Y,7,0))</f>
        <v/>
      </c>
      <c r="G166" s="33" t="str">
        <f>IF(OR(($A166=Settings!$A$30),ISERROR(VLOOKUP($B166,FFTodayData!$P:$Y,8,0))),"",VLOOKUP($B166,FFTodayData!$P:$Y,8,0))</f>
        <v/>
      </c>
      <c r="H166" s="64" t="str">
        <f>IF(OR(($A166=Settings!$A$30),ISERROR(VLOOKUP($B166,FFTodayData!$P:$Y,9,0))),"",VLOOKUP($B166,FFTodayData!$P:$Y,9,0))</f>
        <v/>
      </c>
      <c r="I166" s="117" t="str">
        <f>IF(ISERROR(VLOOKUP($A166,ESPNData!$R:$AE,9,0)),"",VLOOKUP($A166,ESPNData!$R:$AE,9,0))</f>
        <v/>
      </c>
      <c r="J166" s="33" t="str">
        <f>IF(ISERROR(VLOOKUP($A166,ESPNData!$R:$AE,10,0)),"",VLOOKUP($A166,ESPNData!$R:$AE,10,0))</f>
        <v/>
      </c>
      <c r="K166" s="33" t="str">
        <f>IF(ISERROR(VLOOKUP($A166,ESPNData!$R:$AE,11,0)),"",VLOOKUP($A166,ESPNData!$R:$AE,11,0))</f>
        <v/>
      </c>
      <c r="L166" s="33" t="str">
        <f>IF(ISERROR(VLOOKUP($A166,ESPNData!$R:$AE,12,0)),"",VLOOKUP($A166,ESPNData!$R:$AE,12,0))</f>
        <v/>
      </c>
      <c r="M166" s="64" t="str">
        <f>IF(ISERROR(VLOOKUP($A166,ESPNData!$R:$AE,13,0)),"",VLOOKUP($A166,ESPNData!$R:$AE,13,0))</f>
        <v/>
      </c>
      <c r="N166" s="115" t="str">
        <f>IF(OR(($A166=Settings!$A$30),ISERROR(VLOOKUP($B166,SportslineData!$Q:$AB,4,0))),"",VLOOKUP($B166,SportslineData!$Q:$AB,4,0))</f>
        <v/>
      </c>
      <c r="O166" s="82" t="str">
        <f>IF(OR(($A166=Settings!$A$30),ISERROR(VLOOKUP($B166,SportslineData!$Q:$AB,6,0))),"",ROUND(VLOOKUP($B166,SportslineData!$Q:$AB,6,0),0))</f>
        <v/>
      </c>
      <c r="P166" s="82" t="str">
        <f>IF(OR(($A166=Settings!$A$30),ISERROR(VLOOKUP($B166,SportslineData!$Q:$AB,7,0))),"",ROUND(VLOOKUP($B166,SportslineData!$Q:$AB,7,0),0))</f>
        <v/>
      </c>
      <c r="Q166" s="82" t="str">
        <f>IF(OR(($A166=Settings!$A$30),ISERROR(VLOOKUP($B166,SportslineData!$Q:$AB,8,0))),"",VLOOKUP($B166,SportslineData!$Q:$AB,8,0))</f>
        <v/>
      </c>
      <c r="R166" s="82" t="str">
        <f>IF(OR(($A166=Settings!$A$30),ISERROR(VLOOKUP($B166,SportslineData!$Q:$AB,10,0))),"",ROUND(VLOOKUP($B166,SportslineData!$Q:$AB,10,0),0))</f>
        <v/>
      </c>
      <c r="S166" s="74" t="str">
        <f>IF(OR(($A166=Settings!$A$30),ISERROR(VLOOKUP($B166,SportslineData!$Q:$AB,11,0))),"",ROUND(VLOOKUP($B166,SportslineData!$Q:$AB,11,0),0))</f>
        <v/>
      </c>
      <c r="T166" s="117"/>
      <c r="U166" s="131">
        <f t="shared" si="22"/>
        <v>0</v>
      </c>
      <c r="V166" s="38">
        <f>IF(ISERROR(ROUND((((((ROUNDDOWN((D166/5),0)*Settings!$F$7)+(E166*Settings!$I$7))+(F166*Settings!$I$11))+(ROUNDDOWN((G166/5),0)*Settings!$F$11))+(H166*Settings!$F$12)),1)),0,ROUND((((((ROUNDDOWN((D166/5),0)*Settings!$F$7)+(E166*Settings!$I$7))+(F166*Settings!$I$11))+(ROUNDDOWN((G166/5),0)*Settings!$F$11))+(H166*Settings!$F$12)),1))</f>
        <v>0</v>
      </c>
      <c r="W166" s="38">
        <f>IF(ISERROR(ROUND((((((ROUNDDOWN((I166/5),0)*Settings!$F$7)+(J166*Settings!$I$7))+(K166*Settings!$I$11))+(ROUNDDOWN((L166/5),0)*Settings!$F$11))+(M166*Settings!$F$12)),1)),0,ROUND((((((ROUNDDOWN((I166/5),0)*Settings!$F$7)+(J166*Settings!$I$7))+(K166*Settings!$I$11))+(ROUNDDOWN((L166/5),0)*Settings!$F$11))+(M166*Settings!$F$12)),1))</f>
        <v>0</v>
      </c>
      <c r="X166" s="38">
        <f>IF(AND((N166=""),(P166="")),0,((((((ROUND((N166/5),0)*Settings!$F$7)+(O166*Settings!$I$7))+(P166*Settings!$I$11))+(ROUND((Q166/5),0)*Settings!$F$11))+(R166*Settings!$F$12))+(S166*Settings!$F$15)))</f>
        <v>0</v>
      </c>
      <c r="Y166" s="66">
        <f>ROUND((((V166*Settings!$B$21)+(W166*Settings!$B$22))+(X166*Settings!$B$23)),1)</f>
        <v>0</v>
      </c>
      <c r="Z166" s="66">
        <f>IF(ISERROR(VLOOKUP(RANK(Y166,$Y$4:$Y$182),Z$4:Z165,1,0)),RANK(Y166,$Y$4:$Y$182),IF(ISERROR(VLOOKUP((RANK(Y166,$Y$4:$Y$182)+1),Z$4:Z165,1,0)),(RANK(Y166,$Y$4:$Y$182)+1),IF(ISERROR(VLOOKUP((RANK(Y166,$Y$4:$Y$182)+2),Z$4:Z165,1,0)),(RANK(Y166,$Y$4:$Y$182)+2),(RANK(Y166,$Y$4:$Y$182)+3))))</f>
        <v>126</v>
      </c>
      <c r="AA166" t="str">
        <f t="shared" si="23"/>
        <v/>
      </c>
    </row>
    <row r="167" spans="1:27" ht="12.75" customHeight="1">
      <c r="A167" s="33">
        <f>ESPNData!R306</f>
        <v>0</v>
      </c>
      <c r="B167" s="33" t="str">
        <f t="shared" si="20"/>
        <v/>
      </c>
      <c r="C167" s="64" t="e">
        <f t="shared" si="21"/>
        <v>#VALUE!</v>
      </c>
      <c r="D167" s="117" t="str">
        <f>IF(OR(($A167=Settings!$A$30),ISERROR(VLOOKUP($B167,FFTodayData!$P:$Y,5,0))),"",VLOOKUP($B167,FFTodayData!$P:$Y,5,0))</f>
        <v/>
      </c>
      <c r="E167" s="33" t="str">
        <f>IF(OR(($A167=Settings!$A$30),ISERROR(VLOOKUP($B167,FFTodayData!$P:$Y,6,0))),"",VLOOKUP($B167,FFTodayData!$P:$Y,6,0))</f>
        <v/>
      </c>
      <c r="F167" s="33" t="str">
        <f>IF(OR(($A167=Settings!$A$30),ISERROR(VLOOKUP($B167,FFTodayData!$P:$Y,7,0))),"",VLOOKUP($B167,FFTodayData!$P:$Y,7,0))</f>
        <v/>
      </c>
      <c r="G167" s="33" t="str">
        <f>IF(OR(($A167=Settings!$A$30),ISERROR(VLOOKUP($B167,FFTodayData!$P:$Y,8,0))),"",VLOOKUP($B167,FFTodayData!$P:$Y,8,0))</f>
        <v/>
      </c>
      <c r="H167" s="64" t="str">
        <f>IF(OR(($A167=Settings!$A$30),ISERROR(VLOOKUP($B167,FFTodayData!$P:$Y,9,0))),"",VLOOKUP($B167,FFTodayData!$P:$Y,9,0))</f>
        <v/>
      </c>
      <c r="I167" s="117" t="str">
        <f>IF(ISERROR(VLOOKUP($A167,ESPNData!$R:$AE,9,0)),"",VLOOKUP($A167,ESPNData!$R:$AE,9,0))</f>
        <v/>
      </c>
      <c r="J167" s="33" t="str">
        <f>IF(ISERROR(VLOOKUP($A167,ESPNData!$R:$AE,10,0)),"",VLOOKUP($A167,ESPNData!$R:$AE,10,0))</f>
        <v/>
      </c>
      <c r="K167" s="33" t="str">
        <f>IF(ISERROR(VLOOKUP($A167,ESPNData!$R:$AE,11,0)),"",VLOOKUP($A167,ESPNData!$R:$AE,11,0))</f>
        <v/>
      </c>
      <c r="L167" s="33" t="str">
        <f>IF(ISERROR(VLOOKUP($A167,ESPNData!$R:$AE,12,0)),"",VLOOKUP($A167,ESPNData!$R:$AE,12,0))</f>
        <v/>
      </c>
      <c r="M167" s="64" t="str">
        <f>IF(ISERROR(VLOOKUP($A167,ESPNData!$R:$AE,13,0)),"",VLOOKUP($A167,ESPNData!$R:$AE,13,0))</f>
        <v/>
      </c>
      <c r="N167" s="115" t="str">
        <f>IF(OR(($A167=Settings!$A$30),ISERROR(VLOOKUP($B167,SportslineData!$Q:$AB,4,0))),"",VLOOKUP($B167,SportslineData!$Q:$AB,4,0))</f>
        <v/>
      </c>
      <c r="O167" s="82" t="str">
        <f>IF(OR(($A167=Settings!$A$30),ISERROR(VLOOKUP($B167,SportslineData!$Q:$AB,6,0))),"",ROUND(VLOOKUP($B167,SportslineData!$Q:$AB,6,0),0))</f>
        <v/>
      </c>
      <c r="P167" s="82" t="str">
        <f>IF(OR(($A167=Settings!$A$30),ISERROR(VLOOKUP($B167,SportslineData!$Q:$AB,7,0))),"",ROUND(VLOOKUP($B167,SportslineData!$Q:$AB,7,0),0))</f>
        <v/>
      </c>
      <c r="Q167" s="82" t="str">
        <f>IF(OR(($A167=Settings!$A$30),ISERROR(VLOOKUP($B167,SportslineData!$Q:$AB,8,0))),"",VLOOKUP($B167,SportslineData!$Q:$AB,8,0))</f>
        <v/>
      </c>
      <c r="R167" s="82" t="str">
        <f>IF(OR(($A167=Settings!$A$30),ISERROR(VLOOKUP($B167,SportslineData!$Q:$AB,10,0))),"",ROUND(VLOOKUP($B167,SportslineData!$Q:$AB,10,0),0))</f>
        <v/>
      </c>
      <c r="S167" s="74" t="str">
        <f>IF(OR(($A167=Settings!$A$30),ISERROR(VLOOKUP($B167,SportslineData!$Q:$AB,11,0))),"",ROUND(VLOOKUP($B167,SportslineData!$Q:$AB,11,0),0))</f>
        <v/>
      </c>
      <c r="T167" s="117"/>
      <c r="U167" s="131">
        <f t="shared" si="22"/>
        <v>0</v>
      </c>
      <c r="V167" s="38">
        <f>IF(ISERROR(ROUND((((((ROUNDDOWN((D167/5),0)*Settings!$F$7)+(E167*Settings!$I$7))+(F167*Settings!$I$11))+(ROUNDDOWN((G167/5),0)*Settings!$F$11))+(H167*Settings!$F$12)),1)),0,ROUND((((((ROUNDDOWN((D167/5),0)*Settings!$F$7)+(E167*Settings!$I$7))+(F167*Settings!$I$11))+(ROUNDDOWN((G167/5),0)*Settings!$F$11))+(H167*Settings!$F$12)),1))</f>
        <v>0</v>
      </c>
      <c r="W167" s="38">
        <f>IF(ISERROR(ROUND((((((ROUNDDOWN((I167/5),0)*Settings!$F$7)+(J167*Settings!$I$7))+(K167*Settings!$I$11))+(ROUNDDOWN((L167/5),0)*Settings!$F$11))+(M167*Settings!$F$12)),1)),0,ROUND((((((ROUNDDOWN((I167/5),0)*Settings!$F$7)+(J167*Settings!$I$7))+(K167*Settings!$I$11))+(ROUNDDOWN((L167/5),0)*Settings!$F$11))+(M167*Settings!$F$12)),1))</f>
        <v>0</v>
      </c>
      <c r="X167" s="38">
        <f>IF(AND((N167=""),(P167="")),0,((((((ROUND((N167/5),0)*Settings!$F$7)+(O167*Settings!$I$7))+(P167*Settings!$I$11))+(ROUND((Q167/5),0)*Settings!$F$11))+(R167*Settings!$F$12))+(S167*Settings!$F$15)))</f>
        <v>0</v>
      </c>
      <c r="Y167" s="66">
        <f>ROUND((((V167*Settings!$B$21)+(W167*Settings!$B$22))+(X167*Settings!$B$23)),1)</f>
        <v>0</v>
      </c>
      <c r="Z167" s="66">
        <f>IF(ISERROR(VLOOKUP(RANK(Y167,$Y$4:$Y$182),Z$4:Z166,1,0)),RANK(Y167,$Y$4:$Y$182),IF(ISERROR(VLOOKUP((RANK(Y167,$Y$4:$Y$182)+1),Z$4:Z166,1,0)),(RANK(Y167,$Y$4:$Y$182)+1),IF(ISERROR(VLOOKUP((RANK(Y167,$Y$4:$Y$182)+2),Z$4:Z166,1,0)),(RANK(Y167,$Y$4:$Y$182)+2),(RANK(Y167,$Y$4:$Y$182)+3))))</f>
        <v>126</v>
      </c>
      <c r="AA167" t="str">
        <f t="shared" si="23"/>
        <v/>
      </c>
    </row>
    <row r="168" spans="1:27" ht="12.75" customHeight="1">
      <c r="A168" s="33">
        <f>ESPNData!R307</f>
        <v>0</v>
      </c>
      <c r="B168" s="33" t="str">
        <f t="shared" si="20"/>
        <v/>
      </c>
      <c r="C168" s="64" t="e">
        <f t="shared" si="21"/>
        <v>#VALUE!</v>
      </c>
      <c r="D168" s="117" t="str">
        <f>IF(OR(($A168=Settings!$A$30),ISERROR(VLOOKUP($B168,FFTodayData!$P:$Y,5,0))),"",VLOOKUP($B168,FFTodayData!$P:$Y,5,0))</f>
        <v/>
      </c>
      <c r="E168" s="33" t="str">
        <f>IF(OR(($A168=Settings!$A$30),ISERROR(VLOOKUP($B168,FFTodayData!$P:$Y,6,0))),"",VLOOKUP($B168,FFTodayData!$P:$Y,6,0))</f>
        <v/>
      </c>
      <c r="F168" s="33" t="str">
        <f>IF(OR(($A168=Settings!$A$30),ISERROR(VLOOKUP($B168,FFTodayData!$P:$Y,7,0))),"",VLOOKUP($B168,FFTodayData!$P:$Y,7,0))</f>
        <v/>
      </c>
      <c r="G168" s="33" t="str">
        <f>IF(OR(($A168=Settings!$A$30),ISERROR(VLOOKUP($B168,FFTodayData!$P:$Y,8,0))),"",VLOOKUP($B168,FFTodayData!$P:$Y,8,0))</f>
        <v/>
      </c>
      <c r="H168" s="64" t="str">
        <f>IF(OR(($A168=Settings!$A$30),ISERROR(VLOOKUP($B168,FFTodayData!$P:$Y,9,0))),"",VLOOKUP($B168,FFTodayData!$P:$Y,9,0))</f>
        <v/>
      </c>
      <c r="I168" s="117" t="str">
        <f>IF(ISERROR(VLOOKUP($A168,ESPNData!$R:$AE,9,0)),"",VLOOKUP($A168,ESPNData!$R:$AE,9,0))</f>
        <v/>
      </c>
      <c r="J168" s="33" t="str">
        <f>IF(ISERROR(VLOOKUP($A168,ESPNData!$R:$AE,10,0)),"",VLOOKUP($A168,ESPNData!$R:$AE,10,0))</f>
        <v/>
      </c>
      <c r="K168" s="33" t="str">
        <f>IF(ISERROR(VLOOKUP($A168,ESPNData!$R:$AE,11,0)),"",VLOOKUP($A168,ESPNData!$R:$AE,11,0))</f>
        <v/>
      </c>
      <c r="L168" s="33" t="str">
        <f>IF(ISERROR(VLOOKUP($A168,ESPNData!$R:$AE,12,0)),"",VLOOKUP($A168,ESPNData!$R:$AE,12,0))</f>
        <v/>
      </c>
      <c r="M168" s="64" t="str">
        <f>IF(ISERROR(VLOOKUP($A168,ESPNData!$R:$AE,13,0)),"",VLOOKUP($A168,ESPNData!$R:$AE,13,0))</f>
        <v/>
      </c>
      <c r="N168" s="115" t="str">
        <f>IF(OR(($A168=Settings!$A$30),ISERROR(VLOOKUP($B168,SportslineData!$Q:$AB,4,0))),"",VLOOKUP($B168,SportslineData!$Q:$AB,4,0))</f>
        <v/>
      </c>
      <c r="O168" s="82" t="str">
        <f>IF(OR(($A168=Settings!$A$30),ISERROR(VLOOKUP($B168,SportslineData!$Q:$AB,6,0))),"",ROUND(VLOOKUP($B168,SportslineData!$Q:$AB,6,0),0))</f>
        <v/>
      </c>
      <c r="P168" s="82" t="str">
        <f>IF(OR(($A168=Settings!$A$30),ISERROR(VLOOKUP($B168,SportslineData!$Q:$AB,7,0))),"",ROUND(VLOOKUP($B168,SportslineData!$Q:$AB,7,0),0))</f>
        <v/>
      </c>
      <c r="Q168" s="82" t="str">
        <f>IF(OR(($A168=Settings!$A$30),ISERROR(VLOOKUP($B168,SportslineData!$Q:$AB,8,0))),"",VLOOKUP($B168,SportslineData!$Q:$AB,8,0))</f>
        <v/>
      </c>
      <c r="R168" s="82" t="str">
        <f>IF(OR(($A168=Settings!$A$30),ISERROR(VLOOKUP($B168,SportslineData!$Q:$AB,10,0))),"",ROUND(VLOOKUP($B168,SportslineData!$Q:$AB,10,0),0))</f>
        <v/>
      </c>
      <c r="S168" s="74" t="str">
        <f>IF(OR(($A168=Settings!$A$30),ISERROR(VLOOKUP($B168,SportslineData!$Q:$AB,11,0))),"",ROUND(VLOOKUP($B168,SportslineData!$Q:$AB,11,0),0))</f>
        <v/>
      </c>
      <c r="T168" s="117"/>
      <c r="U168" s="131">
        <f t="shared" si="22"/>
        <v>0</v>
      </c>
      <c r="V168" s="38">
        <f>IF(ISERROR(ROUND((((((ROUNDDOWN((D168/5),0)*Settings!$F$7)+(E168*Settings!$I$7))+(F168*Settings!$I$11))+(ROUNDDOWN((G168/5),0)*Settings!$F$11))+(H168*Settings!$F$12)),1)),0,ROUND((((((ROUNDDOWN((D168/5),0)*Settings!$F$7)+(E168*Settings!$I$7))+(F168*Settings!$I$11))+(ROUNDDOWN((G168/5),0)*Settings!$F$11))+(H168*Settings!$F$12)),1))</f>
        <v>0</v>
      </c>
      <c r="W168" s="38">
        <f>IF(ISERROR(ROUND((((((ROUNDDOWN((I168/5),0)*Settings!$F$7)+(J168*Settings!$I$7))+(K168*Settings!$I$11))+(ROUNDDOWN((L168/5),0)*Settings!$F$11))+(M168*Settings!$F$12)),1)),0,ROUND((((((ROUNDDOWN((I168/5),0)*Settings!$F$7)+(J168*Settings!$I$7))+(K168*Settings!$I$11))+(ROUNDDOWN((L168/5),0)*Settings!$F$11))+(M168*Settings!$F$12)),1))</f>
        <v>0</v>
      </c>
      <c r="X168" s="38">
        <f>IF(AND((N168=""),(P168="")),0,((((((ROUND((N168/5),0)*Settings!$F$7)+(O168*Settings!$I$7))+(P168*Settings!$I$11))+(ROUND((Q168/5),0)*Settings!$F$11))+(R168*Settings!$F$12))+(S168*Settings!$F$15)))</f>
        <v>0</v>
      </c>
      <c r="Y168" s="66">
        <f>ROUND((((V168*Settings!$B$21)+(W168*Settings!$B$22))+(X168*Settings!$B$23)),1)</f>
        <v>0</v>
      </c>
      <c r="Z168" s="66">
        <f>IF(ISERROR(VLOOKUP(RANK(Y168,$Y$4:$Y$182),Z$4:Z167,1,0)),RANK(Y168,$Y$4:$Y$182),IF(ISERROR(VLOOKUP((RANK(Y168,$Y$4:$Y$182)+1),Z$4:Z167,1,0)),(RANK(Y168,$Y$4:$Y$182)+1),IF(ISERROR(VLOOKUP((RANK(Y168,$Y$4:$Y$182)+2),Z$4:Z167,1,0)),(RANK(Y168,$Y$4:$Y$182)+2),(RANK(Y168,$Y$4:$Y$182)+3))))</f>
        <v>126</v>
      </c>
      <c r="AA168" t="str">
        <f t="shared" si="23"/>
        <v/>
      </c>
    </row>
    <row r="169" spans="1:27" ht="12.75" customHeight="1">
      <c r="A169" s="33">
        <f>ESPNData!R308</f>
        <v>0</v>
      </c>
      <c r="B169" s="33" t="str">
        <f t="shared" si="20"/>
        <v/>
      </c>
      <c r="C169" s="64" t="e">
        <f t="shared" si="21"/>
        <v>#VALUE!</v>
      </c>
      <c r="D169" s="117" t="str">
        <f>IF(OR(($A169=Settings!$A$30),ISERROR(VLOOKUP($B169,FFTodayData!$P:$Y,5,0))),"",VLOOKUP($B169,FFTodayData!$P:$Y,5,0))</f>
        <v/>
      </c>
      <c r="E169" s="33" t="str">
        <f>IF(OR(($A169=Settings!$A$30),ISERROR(VLOOKUP($B169,FFTodayData!$P:$Y,6,0))),"",VLOOKUP($B169,FFTodayData!$P:$Y,6,0))</f>
        <v/>
      </c>
      <c r="F169" s="33" t="str">
        <f>IF(OR(($A169=Settings!$A$30),ISERROR(VLOOKUP($B169,FFTodayData!$P:$Y,7,0))),"",VLOOKUP($B169,FFTodayData!$P:$Y,7,0))</f>
        <v/>
      </c>
      <c r="G169" s="33" t="str">
        <f>IF(OR(($A169=Settings!$A$30),ISERROR(VLOOKUP($B169,FFTodayData!$P:$Y,8,0))),"",VLOOKUP($B169,FFTodayData!$P:$Y,8,0))</f>
        <v/>
      </c>
      <c r="H169" s="64" t="str">
        <f>IF(OR(($A169=Settings!$A$30),ISERROR(VLOOKUP($B169,FFTodayData!$P:$Y,9,0))),"",VLOOKUP($B169,FFTodayData!$P:$Y,9,0))</f>
        <v/>
      </c>
      <c r="I169" s="117" t="str">
        <f>IF(ISERROR(VLOOKUP($A169,ESPNData!$R:$AE,9,0)),"",VLOOKUP($A169,ESPNData!$R:$AE,9,0))</f>
        <v/>
      </c>
      <c r="J169" s="33" t="str">
        <f>IF(ISERROR(VLOOKUP($A169,ESPNData!$R:$AE,10,0)),"",VLOOKUP($A169,ESPNData!$R:$AE,10,0))</f>
        <v/>
      </c>
      <c r="K169" s="33" t="str">
        <f>IF(ISERROR(VLOOKUP($A169,ESPNData!$R:$AE,11,0)),"",VLOOKUP($A169,ESPNData!$R:$AE,11,0))</f>
        <v/>
      </c>
      <c r="L169" s="33" t="str">
        <f>IF(ISERROR(VLOOKUP($A169,ESPNData!$R:$AE,12,0)),"",VLOOKUP($A169,ESPNData!$R:$AE,12,0))</f>
        <v/>
      </c>
      <c r="M169" s="64" t="str">
        <f>IF(ISERROR(VLOOKUP($A169,ESPNData!$R:$AE,13,0)),"",VLOOKUP($A169,ESPNData!$R:$AE,13,0))</f>
        <v/>
      </c>
      <c r="N169" s="115" t="str">
        <f>IF(OR(($A169=Settings!$A$30),ISERROR(VLOOKUP($B169,SportslineData!$Q:$AB,4,0))),"",VLOOKUP($B169,SportslineData!$Q:$AB,4,0))</f>
        <v/>
      </c>
      <c r="O169" s="82" t="str">
        <f>IF(OR(($A169=Settings!$A$30),ISERROR(VLOOKUP($B169,SportslineData!$Q:$AB,6,0))),"",ROUND(VLOOKUP($B169,SportslineData!$Q:$AB,6,0),0))</f>
        <v/>
      </c>
      <c r="P169" s="82" t="str">
        <f>IF(OR(($A169=Settings!$A$30),ISERROR(VLOOKUP($B169,SportslineData!$Q:$AB,7,0))),"",ROUND(VLOOKUP($B169,SportslineData!$Q:$AB,7,0),0))</f>
        <v/>
      </c>
      <c r="Q169" s="82" t="str">
        <f>IF(OR(($A169=Settings!$A$30),ISERROR(VLOOKUP($B169,SportslineData!$Q:$AB,8,0))),"",VLOOKUP($B169,SportslineData!$Q:$AB,8,0))</f>
        <v/>
      </c>
      <c r="R169" s="82" t="str">
        <f>IF(OR(($A169=Settings!$A$30),ISERROR(VLOOKUP($B169,SportslineData!$Q:$AB,10,0))),"",ROUND(VLOOKUP($B169,SportslineData!$Q:$AB,10,0),0))</f>
        <v/>
      </c>
      <c r="S169" s="74" t="str">
        <f>IF(OR(($A169=Settings!$A$30),ISERROR(VLOOKUP($B169,SportslineData!$Q:$AB,11,0))),"",ROUND(VLOOKUP($B169,SportslineData!$Q:$AB,11,0),0))</f>
        <v/>
      </c>
      <c r="T169" s="117"/>
      <c r="U169" s="131">
        <f t="shared" si="22"/>
        <v>0</v>
      </c>
      <c r="V169" s="38">
        <f>IF(ISERROR(ROUND((((((ROUNDDOWN((D169/5),0)*Settings!$F$7)+(E169*Settings!$I$7))+(F169*Settings!$I$11))+(ROUNDDOWN((G169/5),0)*Settings!$F$11))+(H169*Settings!$F$12)),1)),0,ROUND((((((ROUNDDOWN((D169/5),0)*Settings!$F$7)+(E169*Settings!$I$7))+(F169*Settings!$I$11))+(ROUNDDOWN((G169/5),0)*Settings!$F$11))+(H169*Settings!$F$12)),1))</f>
        <v>0</v>
      </c>
      <c r="W169" s="38">
        <f>IF(ISERROR(ROUND((((((ROUNDDOWN((I169/5),0)*Settings!$F$7)+(J169*Settings!$I$7))+(K169*Settings!$I$11))+(ROUNDDOWN((L169/5),0)*Settings!$F$11))+(M169*Settings!$F$12)),1)),0,ROUND((((((ROUNDDOWN((I169/5),0)*Settings!$F$7)+(J169*Settings!$I$7))+(K169*Settings!$I$11))+(ROUNDDOWN((L169/5),0)*Settings!$F$11))+(M169*Settings!$F$12)),1))</f>
        <v>0</v>
      </c>
      <c r="X169" s="38">
        <f>IF(AND((N169=""),(P169="")),0,((((((ROUND((N169/5),0)*Settings!$F$7)+(O169*Settings!$I$7))+(P169*Settings!$I$11))+(ROUND((Q169/5),0)*Settings!$F$11))+(R169*Settings!$F$12))+(S169*Settings!$F$15)))</f>
        <v>0</v>
      </c>
      <c r="Y169" s="66">
        <f>ROUND((((V169*Settings!$B$21)+(W169*Settings!$B$22))+(X169*Settings!$B$23)),1)</f>
        <v>0</v>
      </c>
      <c r="Z169" s="66">
        <f>IF(ISERROR(VLOOKUP(RANK(Y169,$Y$4:$Y$182),Z$4:Z168,1,0)),RANK(Y169,$Y$4:$Y$182),IF(ISERROR(VLOOKUP((RANK(Y169,$Y$4:$Y$182)+1),Z$4:Z168,1,0)),(RANK(Y169,$Y$4:$Y$182)+1),IF(ISERROR(VLOOKUP((RANK(Y169,$Y$4:$Y$182)+2),Z$4:Z168,1,0)),(RANK(Y169,$Y$4:$Y$182)+2),(RANK(Y169,$Y$4:$Y$182)+3))))</f>
        <v>126</v>
      </c>
      <c r="AA169" t="str">
        <f t="shared" si="23"/>
        <v/>
      </c>
    </row>
    <row r="170" spans="1:27" ht="12.75" customHeight="1">
      <c r="A170" s="33">
        <f>ESPNData!R309</f>
        <v>0</v>
      </c>
      <c r="B170" s="33" t="str">
        <f t="shared" si="20"/>
        <v/>
      </c>
      <c r="C170" s="64" t="e">
        <f t="shared" si="21"/>
        <v>#VALUE!</v>
      </c>
      <c r="D170" s="117" t="str">
        <f>IF(OR(($A170=Settings!$A$30),ISERROR(VLOOKUP($B170,FFTodayData!$P:$Y,5,0))),"",VLOOKUP($B170,FFTodayData!$P:$Y,5,0))</f>
        <v/>
      </c>
      <c r="E170" s="33" t="str">
        <f>IF(OR(($A170=Settings!$A$30),ISERROR(VLOOKUP($B170,FFTodayData!$P:$Y,6,0))),"",VLOOKUP($B170,FFTodayData!$P:$Y,6,0))</f>
        <v/>
      </c>
      <c r="F170" s="33" t="str">
        <f>IF(OR(($A170=Settings!$A$30),ISERROR(VLOOKUP($B170,FFTodayData!$P:$Y,7,0))),"",VLOOKUP($B170,FFTodayData!$P:$Y,7,0))</f>
        <v/>
      </c>
      <c r="G170" s="33" t="str">
        <f>IF(OR(($A170=Settings!$A$30),ISERROR(VLOOKUP($B170,FFTodayData!$P:$Y,8,0))),"",VLOOKUP($B170,FFTodayData!$P:$Y,8,0))</f>
        <v/>
      </c>
      <c r="H170" s="64" t="str">
        <f>IF(OR(($A170=Settings!$A$30),ISERROR(VLOOKUP($B170,FFTodayData!$P:$Y,9,0))),"",VLOOKUP($B170,FFTodayData!$P:$Y,9,0))</f>
        <v/>
      </c>
      <c r="I170" s="117" t="str">
        <f>IF(ISERROR(VLOOKUP($A170,ESPNData!$R:$AE,9,0)),"",VLOOKUP($A170,ESPNData!$R:$AE,9,0))</f>
        <v/>
      </c>
      <c r="J170" s="33" t="str">
        <f>IF(ISERROR(VLOOKUP($A170,ESPNData!$R:$AE,10,0)),"",VLOOKUP($A170,ESPNData!$R:$AE,10,0))</f>
        <v/>
      </c>
      <c r="K170" s="33" t="str">
        <f>IF(ISERROR(VLOOKUP($A170,ESPNData!$R:$AE,11,0)),"",VLOOKUP($A170,ESPNData!$R:$AE,11,0))</f>
        <v/>
      </c>
      <c r="L170" s="33" t="str">
        <f>IF(ISERROR(VLOOKUP($A170,ESPNData!$R:$AE,12,0)),"",VLOOKUP($A170,ESPNData!$R:$AE,12,0))</f>
        <v/>
      </c>
      <c r="M170" s="64" t="str">
        <f>IF(ISERROR(VLOOKUP($A170,ESPNData!$R:$AE,13,0)),"",VLOOKUP($A170,ESPNData!$R:$AE,13,0))</f>
        <v/>
      </c>
      <c r="N170" s="115" t="str">
        <f>IF(OR(($A170=Settings!$A$30),ISERROR(VLOOKUP($B170,SportslineData!$Q:$AB,4,0))),"",VLOOKUP($B170,SportslineData!$Q:$AB,4,0))</f>
        <v/>
      </c>
      <c r="O170" s="82" t="str">
        <f>IF(OR(($A170=Settings!$A$30),ISERROR(VLOOKUP($B170,SportslineData!$Q:$AB,6,0))),"",ROUND(VLOOKUP($B170,SportslineData!$Q:$AB,6,0),0))</f>
        <v/>
      </c>
      <c r="P170" s="82" t="str">
        <f>IF(OR(($A170=Settings!$A$30),ISERROR(VLOOKUP($B170,SportslineData!$Q:$AB,7,0))),"",ROUND(VLOOKUP($B170,SportslineData!$Q:$AB,7,0),0))</f>
        <v/>
      </c>
      <c r="Q170" s="82" t="str">
        <f>IF(OR(($A170=Settings!$A$30),ISERROR(VLOOKUP($B170,SportslineData!$Q:$AB,8,0))),"",VLOOKUP($B170,SportslineData!$Q:$AB,8,0))</f>
        <v/>
      </c>
      <c r="R170" s="82" t="str">
        <f>IF(OR(($A170=Settings!$A$30),ISERROR(VLOOKUP($B170,SportslineData!$Q:$AB,10,0))),"",ROUND(VLOOKUP($B170,SportslineData!$Q:$AB,10,0),0))</f>
        <v/>
      </c>
      <c r="S170" s="74" t="str">
        <f>IF(OR(($A170=Settings!$A$30),ISERROR(VLOOKUP($B170,SportslineData!$Q:$AB,11,0))),"",ROUND(VLOOKUP($B170,SportslineData!$Q:$AB,11,0),0))</f>
        <v/>
      </c>
      <c r="T170" s="117"/>
      <c r="U170" s="131">
        <f t="shared" si="22"/>
        <v>0</v>
      </c>
      <c r="V170" s="38">
        <f>IF(ISERROR(ROUND((((((ROUNDDOWN((D170/5),0)*Settings!$F$7)+(E170*Settings!$I$7))+(F170*Settings!$I$11))+(ROUNDDOWN((G170/5),0)*Settings!$F$11))+(H170*Settings!$F$12)),1)),0,ROUND((((((ROUNDDOWN((D170/5),0)*Settings!$F$7)+(E170*Settings!$I$7))+(F170*Settings!$I$11))+(ROUNDDOWN((G170/5),0)*Settings!$F$11))+(H170*Settings!$F$12)),1))</f>
        <v>0</v>
      </c>
      <c r="W170" s="38">
        <f>IF(ISERROR(ROUND((((((ROUNDDOWN((I170/5),0)*Settings!$F$7)+(J170*Settings!$I$7))+(K170*Settings!$I$11))+(ROUNDDOWN((L170/5),0)*Settings!$F$11))+(M170*Settings!$F$12)),1)),0,ROUND((((((ROUNDDOWN((I170/5),0)*Settings!$F$7)+(J170*Settings!$I$7))+(K170*Settings!$I$11))+(ROUNDDOWN((L170/5),0)*Settings!$F$11))+(M170*Settings!$F$12)),1))</f>
        <v>0</v>
      </c>
      <c r="X170" s="38">
        <f>IF(AND((N170=""),(P170="")),0,((((((ROUND((N170/5),0)*Settings!$F$7)+(O170*Settings!$I$7))+(P170*Settings!$I$11))+(ROUND((Q170/5),0)*Settings!$F$11))+(R170*Settings!$F$12))+(S170*Settings!$F$15)))</f>
        <v>0</v>
      </c>
      <c r="Y170" s="66">
        <f>ROUND((((V170*Settings!$B$21)+(W170*Settings!$B$22))+(X170*Settings!$B$23)),1)</f>
        <v>0</v>
      </c>
      <c r="Z170" s="66">
        <f>IF(ISERROR(VLOOKUP(RANK(Y170,$Y$4:$Y$182),Z$4:Z169,1,0)),RANK(Y170,$Y$4:$Y$182),IF(ISERROR(VLOOKUP((RANK(Y170,$Y$4:$Y$182)+1),Z$4:Z169,1,0)),(RANK(Y170,$Y$4:$Y$182)+1),IF(ISERROR(VLOOKUP((RANK(Y170,$Y$4:$Y$182)+2),Z$4:Z169,1,0)),(RANK(Y170,$Y$4:$Y$182)+2),(RANK(Y170,$Y$4:$Y$182)+3))))</f>
        <v>126</v>
      </c>
      <c r="AA170" t="str">
        <f t="shared" si="23"/>
        <v/>
      </c>
    </row>
    <row r="171" spans="1:27" ht="12.75" customHeight="1">
      <c r="A171" s="33">
        <f>ESPNData!R310</f>
        <v>0</v>
      </c>
      <c r="B171" s="33" t="str">
        <f t="shared" si="20"/>
        <v/>
      </c>
      <c r="C171" s="64" t="e">
        <f t="shared" si="21"/>
        <v>#VALUE!</v>
      </c>
      <c r="D171" s="117" t="str">
        <f>IF(OR(($A171=Settings!$A$30),ISERROR(VLOOKUP($B171,FFTodayData!$P:$Y,5,0))),"",VLOOKUP($B171,FFTodayData!$P:$Y,5,0))</f>
        <v/>
      </c>
      <c r="E171" s="33" t="str">
        <f>IF(OR(($A171=Settings!$A$30),ISERROR(VLOOKUP($B171,FFTodayData!$P:$Y,6,0))),"",VLOOKUP($B171,FFTodayData!$P:$Y,6,0))</f>
        <v/>
      </c>
      <c r="F171" s="33" t="str">
        <f>IF(OR(($A171=Settings!$A$30),ISERROR(VLOOKUP($B171,FFTodayData!$P:$Y,7,0))),"",VLOOKUP($B171,FFTodayData!$P:$Y,7,0))</f>
        <v/>
      </c>
      <c r="G171" s="33" t="str">
        <f>IF(OR(($A171=Settings!$A$30),ISERROR(VLOOKUP($B171,FFTodayData!$P:$Y,8,0))),"",VLOOKUP($B171,FFTodayData!$P:$Y,8,0))</f>
        <v/>
      </c>
      <c r="H171" s="64" t="str">
        <f>IF(OR(($A171=Settings!$A$30),ISERROR(VLOOKUP($B171,FFTodayData!$P:$Y,9,0))),"",VLOOKUP($B171,FFTodayData!$P:$Y,9,0))</f>
        <v/>
      </c>
      <c r="I171" s="117" t="str">
        <f>IF(ISERROR(VLOOKUP($A171,ESPNData!$R:$AE,9,0)),"",VLOOKUP($A171,ESPNData!$R:$AE,9,0))</f>
        <v/>
      </c>
      <c r="J171" s="33" t="str">
        <f>IF(ISERROR(VLOOKUP($A171,ESPNData!$R:$AE,10,0)),"",VLOOKUP($A171,ESPNData!$R:$AE,10,0))</f>
        <v/>
      </c>
      <c r="K171" s="33" t="str">
        <f>IF(ISERROR(VLOOKUP($A171,ESPNData!$R:$AE,11,0)),"",VLOOKUP($A171,ESPNData!$R:$AE,11,0))</f>
        <v/>
      </c>
      <c r="L171" s="33" t="str">
        <f>IF(ISERROR(VLOOKUP($A171,ESPNData!$R:$AE,12,0)),"",VLOOKUP($A171,ESPNData!$R:$AE,12,0))</f>
        <v/>
      </c>
      <c r="M171" s="64" t="str">
        <f>IF(ISERROR(VLOOKUP($A171,ESPNData!$R:$AE,13,0)),"",VLOOKUP($A171,ESPNData!$R:$AE,13,0))</f>
        <v/>
      </c>
      <c r="N171" s="115" t="str">
        <f>IF(OR(($A171=Settings!$A$30),ISERROR(VLOOKUP($B171,SportslineData!$Q:$AB,4,0))),"",VLOOKUP($B171,SportslineData!$Q:$AB,4,0))</f>
        <v/>
      </c>
      <c r="O171" s="82" t="str">
        <f>IF(OR(($A171=Settings!$A$30),ISERROR(VLOOKUP($B171,SportslineData!$Q:$AB,6,0))),"",ROUND(VLOOKUP($B171,SportslineData!$Q:$AB,6,0),0))</f>
        <v/>
      </c>
      <c r="P171" s="82" t="str">
        <f>IF(OR(($A171=Settings!$A$30),ISERROR(VLOOKUP($B171,SportslineData!$Q:$AB,7,0))),"",ROUND(VLOOKUP($B171,SportslineData!$Q:$AB,7,0),0))</f>
        <v/>
      </c>
      <c r="Q171" s="82" t="str">
        <f>IF(OR(($A171=Settings!$A$30),ISERROR(VLOOKUP($B171,SportslineData!$Q:$AB,8,0))),"",VLOOKUP($B171,SportslineData!$Q:$AB,8,0))</f>
        <v/>
      </c>
      <c r="R171" s="82" t="str">
        <f>IF(OR(($A171=Settings!$A$30),ISERROR(VLOOKUP($B171,SportslineData!$Q:$AB,10,0))),"",ROUND(VLOOKUP($B171,SportslineData!$Q:$AB,10,0),0))</f>
        <v/>
      </c>
      <c r="S171" s="74" t="str">
        <f>IF(OR(($A171=Settings!$A$30),ISERROR(VLOOKUP($B171,SportslineData!$Q:$AB,11,0))),"",ROUND(VLOOKUP($B171,SportslineData!$Q:$AB,11,0),0))</f>
        <v/>
      </c>
      <c r="T171" s="117"/>
      <c r="U171" s="131">
        <f t="shared" si="22"/>
        <v>0</v>
      </c>
      <c r="V171" s="38">
        <f>IF(ISERROR(ROUND((((((ROUNDDOWN((D171/5),0)*Settings!$F$7)+(E171*Settings!$I$7))+(F171*Settings!$I$11))+(ROUNDDOWN((G171/5),0)*Settings!$F$11))+(H171*Settings!$F$12)),1)),0,ROUND((((((ROUNDDOWN((D171/5),0)*Settings!$F$7)+(E171*Settings!$I$7))+(F171*Settings!$I$11))+(ROUNDDOWN((G171/5),0)*Settings!$F$11))+(H171*Settings!$F$12)),1))</f>
        <v>0</v>
      </c>
      <c r="W171" s="38">
        <f>IF(ISERROR(ROUND((((((ROUNDDOWN((I171/5),0)*Settings!$F$7)+(J171*Settings!$I$7))+(K171*Settings!$I$11))+(ROUNDDOWN((L171/5),0)*Settings!$F$11))+(M171*Settings!$F$12)),1)),0,ROUND((((((ROUNDDOWN((I171/5),0)*Settings!$F$7)+(J171*Settings!$I$7))+(K171*Settings!$I$11))+(ROUNDDOWN((L171/5),0)*Settings!$F$11))+(M171*Settings!$F$12)),1))</f>
        <v>0</v>
      </c>
      <c r="X171" s="38">
        <f>IF(AND((N171=""),(P171="")),0,((((((ROUND((N171/5),0)*Settings!$F$7)+(O171*Settings!$I$7))+(P171*Settings!$I$11))+(ROUND((Q171/5),0)*Settings!$F$11))+(R171*Settings!$F$12))+(S171*Settings!$F$15)))</f>
        <v>0</v>
      </c>
      <c r="Y171" s="66">
        <f>ROUND((((V171*Settings!$B$21)+(W171*Settings!$B$22))+(X171*Settings!$B$23)),1)</f>
        <v>0</v>
      </c>
      <c r="Z171" s="66">
        <f>IF(ISERROR(VLOOKUP(RANK(Y171,$Y$4:$Y$182),Z$4:Z170,1,0)),RANK(Y171,$Y$4:$Y$182),IF(ISERROR(VLOOKUP((RANK(Y171,$Y$4:$Y$182)+1),Z$4:Z170,1,0)),(RANK(Y171,$Y$4:$Y$182)+1),IF(ISERROR(VLOOKUP((RANK(Y171,$Y$4:$Y$182)+2),Z$4:Z170,1,0)),(RANK(Y171,$Y$4:$Y$182)+2),(RANK(Y171,$Y$4:$Y$182)+3))))</f>
        <v>126</v>
      </c>
      <c r="AA171" t="str">
        <f t="shared" si="23"/>
        <v/>
      </c>
    </row>
    <row r="172" spans="1:27" ht="12.75" customHeight="1">
      <c r="A172" s="33">
        <f>ESPNData!R311</f>
        <v>0</v>
      </c>
      <c r="B172" s="33" t="str">
        <f t="shared" si="20"/>
        <v/>
      </c>
      <c r="C172" s="64" t="e">
        <f t="shared" si="21"/>
        <v>#VALUE!</v>
      </c>
      <c r="D172" s="117" t="str">
        <f>IF(OR(($A172=Settings!$A$30),ISERROR(VLOOKUP($B172,FFTodayData!$P:$Y,5,0))),"",VLOOKUP($B172,FFTodayData!$P:$Y,5,0))</f>
        <v/>
      </c>
      <c r="E172" s="33" t="str">
        <f>IF(OR(($A172=Settings!$A$30),ISERROR(VLOOKUP($B172,FFTodayData!$P:$Y,6,0))),"",VLOOKUP($B172,FFTodayData!$P:$Y,6,0))</f>
        <v/>
      </c>
      <c r="F172" s="33" t="str">
        <f>IF(OR(($A172=Settings!$A$30),ISERROR(VLOOKUP($B172,FFTodayData!$P:$Y,7,0))),"",VLOOKUP($B172,FFTodayData!$P:$Y,7,0))</f>
        <v/>
      </c>
      <c r="G172" s="33" t="str">
        <f>IF(OR(($A172=Settings!$A$30),ISERROR(VLOOKUP($B172,FFTodayData!$P:$Y,8,0))),"",VLOOKUP($B172,FFTodayData!$P:$Y,8,0))</f>
        <v/>
      </c>
      <c r="H172" s="64" t="str">
        <f>IF(OR(($A172=Settings!$A$30),ISERROR(VLOOKUP($B172,FFTodayData!$P:$Y,9,0))),"",VLOOKUP($B172,FFTodayData!$P:$Y,9,0))</f>
        <v/>
      </c>
      <c r="I172" s="117" t="str">
        <f>IF(ISERROR(VLOOKUP($A172,ESPNData!$R:$AE,9,0)),"",VLOOKUP($A172,ESPNData!$R:$AE,9,0))</f>
        <v/>
      </c>
      <c r="J172" s="33" t="str">
        <f>IF(ISERROR(VLOOKUP($A172,ESPNData!$R:$AE,10,0)),"",VLOOKUP($A172,ESPNData!$R:$AE,10,0))</f>
        <v/>
      </c>
      <c r="K172" s="33" t="str">
        <f>IF(ISERROR(VLOOKUP($A172,ESPNData!$R:$AE,11,0)),"",VLOOKUP($A172,ESPNData!$R:$AE,11,0))</f>
        <v/>
      </c>
      <c r="L172" s="33" t="str">
        <f>IF(ISERROR(VLOOKUP($A172,ESPNData!$R:$AE,12,0)),"",VLOOKUP($A172,ESPNData!$R:$AE,12,0))</f>
        <v/>
      </c>
      <c r="M172" s="64" t="str">
        <f>IF(ISERROR(VLOOKUP($A172,ESPNData!$R:$AE,13,0)),"",VLOOKUP($A172,ESPNData!$R:$AE,13,0))</f>
        <v/>
      </c>
      <c r="N172" s="115" t="str">
        <f>IF(OR(($A172=Settings!$A$30),ISERROR(VLOOKUP($B172,SportslineData!$Q:$AB,4,0))),"",VLOOKUP($B172,SportslineData!$Q:$AB,4,0))</f>
        <v/>
      </c>
      <c r="O172" s="82" t="str">
        <f>IF(OR(($A172=Settings!$A$30),ISERROR(VLOOKUP($B172,SportslineData!$Q:$AB,6,0))),"",ROUND(VLOOKUP($B172,SportslineData!$Q:$AB,6,0),0))</f>
        <v/>
      </c>
      <c r="P172" s="82" t="str">
        <f>IF(OR(($A172=Settings!$A$30),ISERROR(VLOOKUP($B172,SportslineData!$Q:$AB,7,0))),"",ROUND(VLOOKUP($B172,SportslineData!$Q:$AB,7,0),0))</f>
        <v/>
      </c>
      <c r="Q172" s="82" t="str">
        <f>IF(OR(($A172=Settings!$A$30),ISERROR(VLOOKUP($B172,SportslineData!$Q:$AB,8,0))),"",VLOOKUP($B172,SportslineData!$Q:$AB,8,0))</f>
        <v/>
      </c>
      <c r="R172" s="82" t="str">
        <f>IF(OR(($A172=Settings!$A$30),ISERROR(VLOOKUP($B172,SportslineData!$Q:$AB,10,0))),"",ROUND(VLOOKUP($B172,SportslineData!$Q:$AB,10,0),0))</f>
        <v/>
      </c>
      <c r="S172" s="74" t="str">
        <f>IF(OR(($A172=Settings!$A$30),ISERROR(VLOOKUP($B172,SportslineData!$Q:$AB,11,0))),"",ROUND(VLOOKUP($B172,SportslineData!$Q:$AB,11,0),0))</f>
        <v/>
      </c>
      <c r="T172" s="117"/>
      <c r="U172" s="131">
        <f t="shared" si="22"/>
        <v>0</v>
      </c>
      <c r="V172" s="38">
        <f>IF(ISERROR(ROUND((((((ROUNDDOWN((D172/5),0)*Settings!$F$7)+(E172*Settings!$I$7))+(F172*Settings!$I$11))+(ROUNDDOWN((G172/5),0)*Settings!$F$11))+(H172*Settings!$F$12)),1)),0,ROUND((((((ROUNDDOWN((D172/5),0)*Settings!$F$7)+(E172*Settings!$I$7))+(F172*Settings!$I$11))+(ROUNDDOWN((G172/5),0)*Settings!$F$11))+(H172*Settings!$F$12)),1))</f>
        <v>0</v>
      </c>
      <c r="W172" s="38">
        <f>IF(ISERROR(ROUND((((((ROUNDDOWN((I172/5),0)*Settings!$F$7)+(J172*Settings!$I$7))+(K172*Settings!$I$11))+(ROUNDDOWN((L172/5),0)*Settings!$F$11))+(M172*Settings!$F$12)),1)),0,ROUND((((((ROUNDDOWN((I172/5),0)*Settings!$F$7)+(J172*Settings!$I$7))+(K172*Settings!$I$11))+(ROUNDDOWN((L172/5),0)*Settings!$F$11))+(M172*Settings!$F$12)),1))</f>
        <v>0</v>
      </c>
      <c r="X172" s="38">
        <f>IF(AND((N172=""),(P172="")),0,((((((ROUND((N172/5),0)*Settings!$F$7)+(O172*Settings!$I$7))+(P172*Settings!$I$11))+(ROUND((Q172/5),0)*Settings!$F$11))+(R172*Settings!$F$12))+(S172*Settings!$F$15)))</f>
        <v>0</v>
      </c>
      <c r="Y172" s="66">
        <f>ROUND((((V172*Settings!$B$21)+(W172*Settings!$B$22))+(X172*Settings!$B$23)),1)</f>
        <v>0</v>
      </c>
      <c r="Z172" s="66">
        <f>IF(ISERROR(VLOOKUP(RANK(Y172,$Y$4:$Y$182),Z$4:Z171,1,0)),RANK(Y172,$Y$4:$Y$182),IF(ISERROR(VLOOKUP((RANK(Y172,$Y$4:$Y$182)+1),Z$4:Z171,1,0)),(RANK(Y172,$Y$4:$Y$182)+1),IF(ISERROR(VLOOKUP((RANK(Y172,$Y$4:$Y$182)+2),Z$4:Z171,1,0)),(RANK(Y172,$Y$4:$Y$182)+2),(RANK(Y172,$Y$4:$Y$182)+3))))</f>
        <v>126</v>
      </c>
      <c r="AA172" t="str">
        <f t="shared" si="23"/>
        <v/>
      </c>
    </row>
    <row r="173" spans="1:27" ht="12.75" customHeight="1">
      <c r="A173" s="33">
        <f>ESPNData!R312</f>
        <v>0</v>
      </c>
      <c r="B173" s="33" t="str">
        <f t="shared" si="20"/>
        <v/>
      </c>
      <c r="C173" s="64" t="e">
        <f t="shared" si="21"/>
        <v>#VALUE!</v>
      </c>
      <c r="D173" s="117" t="str">
        <f>IF(OR(($A173=Settings!$A$30),ISERROR(VLOOKUP($B173,FFTodayData!$P:$Y,5,0))),"",VLOOKUP($B173,FFTodayData!$P:$Y,5,0))</f>
        <v/>
      </c>
      <c r="E173" s="33" t="str">
        <f>IF(OR(($A173=Settings!$A$30),ISERROR(VLOOKUP($B173,FFTodayData!$P:$Y,6,0))),"",VLOOKUP($B173,FFTodayData!$P:$Y,6,0))</f>
        <v/>
      </c>
      <c r="F173" s="33" t="str">
        <f>IF(OR(($A173=Settings!$A$30),ISERROR(VLOOKUP($B173,FFTodayData!$P:$Y,7,0))),"",VLOOKUP($B173,FFTodayData!$P:$Y,7,0))</f>
        <v/>
      </c>
      <c r="G173" s="33" t="str">
        <f>IF(OR(($A173=Settings!$A$30),ISERROR(VLOOKUP($B173,FFTodayData!$P:$Y,8,0))),"",VLOOKUP($B173,FFTodayData!$P:$Y,8,0))</f>
        <v/>
      </c>
      <c r="H173" s="64" t="str">
        <f>IF(OR(($A173=Settings!$A$30),ISERROR(VLOOKUP($B173,FFTodayData!$P:$Y,9,0))),"",VLOOKUP($B173,FFTodayData!$P:$Y,9,0))</f>
        <v/>
      </c>
      <c r="I173" s="117" t="str">
        <f>IF(ISERROR(VLOOKUP($A173,ESPNData!$R:$AE,9,0)),"",VLOOKUP($A173,ESPNData!$R:$AE,9,0))</f>
        <v/>
      </c>
      <c r="J173" s="33" t="str">
        <f>IF(ISERROR(VLOOKUP($A173,ESPNData!$R:$AE,10,0)),"",VLOOKUP($A173,ESPNData!$R:$AE,10,0))</f>
        <v/>
      </c>
      <c r="K173" s="33" t="str">
        <f>IF(ISERROR(VLOOKUP($A173,ESPNData!$R:$AE,11,0)),"",VLOOKUP($A173,ESPNData!$R:$AE,11,0))</f>
        <v/>
      </c>
      <c r="L173" s="33" t="str">
        <f>IF(ISERROR(VLOOKUP($A173,ESPNData!$R:$AE,12,0)),"",VLOOKUP($A173,ESPNData!$R:$AE,12,0))</f>
        <v/>
      </c>
      <c r="M173" s="64" t="str">
        <f>IF(ISERROR(VLOOKUP($A173,ESPNData!$R:$AE,13,0)),"",VLOOKUP($A173,ESPNData!$R:$AE,13,0))</f>
        <v/>
      </c>
      <c r="N173" s="115" t="str">
        <f>IF(OR(($A173=Settings!$A$30),ISERROR(VLOOKUP($B173,SportslineData!$Q:$AB,4,0))),"",VLOOKUP($B173,SportslineData!$Q:$AB,4,0))</f>
        <v/>
      </c>
      <c r="O173" s="82" t="str">
        <f>IF(OR(($A173=Settings!$A$30),ISERROR(VLOOKUP($B173,SportslineData!$Q:$AB,6,0))),"",ROUND(VLOOKUP($B173,SportslineData!$Q:$AB,6,0),0))</f>
        <v/>
      </c>
      <c r="P173" s="82" t="str">
        <f>IF(OR(($A173=Settings!$A$30),ISERROR(VLOOKUP($B173,SportslineData!$Q:$AB,7,0))),"",ROUND(VLOOKUP($B173,SportslineData!$Q:$AB,7,0),0))</f>
        <v/>
      </c>
      <c r="Q173" s="82" t="str">
        <f>IF(OR(($A173=Settings!$A$30),ISERROR(VLOOKUP($B173,SportslineData!$Q:$AB,8,0))),"",VLOOKUP($B173,SportslineData!$Q:$AB,8,0))</f>
        <v/>
      </c>
      <c r="R173" s="82" t="str">
        <f>IF(OR(($A173=Settings!$A$30),ISERROR(VLOOKUP($B173,SportslineData!$Q:$AB,10,0))),"",ROUND(VLOOKUP($B173,SportslineData!$Q:$AB,10,0),0))</f>
        <v/>
      </c>
      <c r="S173" s="74" t="str">
        <f>IF(OR(($A173=Settings!$A$30),ISERROR(VLOOKUP($B173,SportslineData!$Q:$AB,11,0))),"",ROUND(VLOOKUP($B173,SportslineData!$Q:$AB,11,0),0))</f>
        <v/>
      </c>
      <c r="T173" s="117"/>
      <c r="U173" s="131">
        <f t="shared" si="22"/>
        <v>0</v>
      </c>
      <c r="V173" s="38">
        <f>IF(ISERROR(ROUND((((((ROUNDDOWN((D173/5),0)*Settings!$F$7)+(E173*Settings!$I$7))+(F173*Settings!$I$11))+(ROUNDDOWN((G173/5),0)*Settings!$F$11))+(H173*Settings!$F$12)),1)),0,ROUND((((((ROUNDDOWN((D173/5),0)*Settings!$F$7)+(E173*Settings!$I$7))+(F173*Settings!$I$11))+(ROUNDDOWN((G173/5),0)*Settings!$F$11))+(H173*Settings!$F$12)),1))</f>
        <v>0</v>
      </c>
      <c r="W173" s="38">
        <f>IF(ISERROR(ROUND((((((ROUNDDOWN((I173/5),0)*Settings!$F$7)+(J173*Settings!$I$7))+(K173*Settings!$I$11))+(ROUNDDOWN((L173/5),0)*Settings!$F$11))+(M173*Settings!$F$12)),1)),0,ROUND((((((ROUNDDOWN((I173/5),0)*Settings!$F$7)+(J173*Settings!$I$7))+(K173*Settings!$I$11))+(ROUNDDOWN((L173/5),0)*Settings!$F$11))+(M173*Settings!$F$12)),1))</f>
        <v>0</v>
      </c>
      <c r="X173" s="38">
        <f>IF(AND((N173=""),(P173="")),0,((((((ROUND((N173/5),0)*Settings!$F$7)+(O173*Settings!$I$7))+(P173*Settings!$I$11))+(ROUND((Q173/5),0)*Settings!$F$11))+(R173*Settings!$F$12))+(S173*Settings!$F$15)))</f>
        <v>0</v>
      </c>
      <c r="Y173" s="66">
        <f>ROUND((((V173*Settings!$B$21)+(W173*Settings!$B$22))+(X173*Settings!$B$23)),1)</f>
        <v>0</v>
      </c>
      <c r="Z173" s="66">
        <f>IF(ISERROR(VLOOKUP(RANK(Y173,$Y$4:$Y$182),Z$4:Z172,1,0)),RANK(Y173,$Y$4:$Y$182),IF(ISERROR(VLOOKUP((RANK(Y173,$Y$4:$Y$182)+1),Z$4:Z172,1,0)),(RANK(Y173,$Y$4:$Y$182)+1),IF(ISERROR(VLOOKUP((RANK(Y173,$Y$4:$Y$182)+2),Z$4:Z172,1,0)),(RANK(Y173,$Y$4:$Y$182)+2),(RANK(Y173,$Y$4:$Y$182)+3))))</f>
        <v>126</v>
      </c>
      <c r="AA173" t="str">
        <f t="shared" si="23"/>
        <v/>
      </c>
    </row>
    <row r="174" spans="1:27" ht="12.75" customHeight="1">
      <c r="A174" s="33">
        <f>ESPNData!R313</f>
        <v>0</v>
      </c>
      <c r="B174" s="33" t="str">
        <f t="shared" si="20"/>
        <v/>
      </c>
      <c r="C174" s="64" t="e">
        <f t="shared" si="21"/>
        <v>#VALUE!</v>
      </c>
      <c r="D174" s="117" t="str">
        <f>IF(OR(($A174=Settings!$A$30),ISERROR(VLOOKUP($B174,FFTodayData!$P:$Y,5,0))),"",VLOOKUP($B174,FFTodayData!$P:$Y,5,0))</f>
        <v/>
      </c>
      <c r="E174" s="33" t="str">
        <f>IF(OR(($A174=Settings!$A$30),ISERROR(VLOOKUP($B174,FFTodayData!$P:$Y,6,0))),"",VLOOKUP($B174,FFTodayData!$P:$Y,6,0))</f>
        <v/>
      </c>
      <c r="F174" s="33" t="str">
        <f>IF(OR(($A174=Settings!$A$30),ISERROR(VLOOKUP($B174,FFTodayData!$P:$Y,7,0))),"",VLOOKUP($B174,FFTodayData!$P:$Y,7,0))</f>
        <v/>
      </c>
      <c r="G174" s="33" t="str">
        <f>IF(OR(($A174=Settings!$A$30),ISERROR(VLOOKUP($B174,FFTodayData!$P:$Y,8,0))),"",VLOOKUP($B174,FFTodayData!$P:$Y,8,0))</f>
        <v/>
      </c>
      <c r="H174" s="64" t="str">
        <f>IF(OR(($A174=Settings!$A$30),ISERROR(VLOOKUP($B174,FFTodayData!$P:$Y,9,0))),"",VLOOKUP($B174,FFTodayData!$P:$Y,9,0))</f>
        <v/>
      </c>
      <c r="I174" s="117" t="str">
        <f>IF(ISERROR(VLOOKUP($A174,ESPNData!$R:$AE,9,0)),"",VLOOKUP($A174,ESPNData!$R:$AE,9,0))</f>
        <v/>
      </c>
      <c r="J174" s="33" t="str">
        <f>IF(ISERROR(VLOOKUP($A174,ESPNData!$R:$AE,10,0)),"",VLOOKUP($A174,ESPNData!$R:$AE,10,0))</f>
        <v/>
      </c>
      <c r="K174" s="33" t="str">
        <f>IF(ISERROR(VLOOKUP($A174,ESPNData!$R:$AE,11,0)),"",VLOOKUP($A174,ESPNData!$R:$AE,11,0))</f>
        <v/>
      </c>
      <c r="L174" s="33" t="str">
        <f>IF(ISERROR(VLOOKUP($A174,ESPNData!$R:$AE,12,0)),"",VLOOKUP($A174,ESPNData!$R:$AE,12,0))</f>
        <v/>
      </c>
      <c r="M174" s="64" t="str">
        <f>IF(ISERROR(VLOOKUP($A174,ESPNData!$R:$AE,13,0)),"",VLOOKUP($A174,ESPNData!$R:$AE,13,0))</f>
        <v/>
      </c>
      <c r="N174" s="115" t="str">
        <f>IF(OR(($A174=Settings!$A$30),ISERROR(VLOOKUP($B174,SportslineData!$Q:$AB,4,0))),"",VLOOKUP($B174,SportslineData!$Q:$AB,4,0))</f>
        <v/>
      </c>
      <c r="O174" s="82" t="str">
        <f>IF(OR(($A174=Settings!$A$30),ISERROR(VLOOKUP($B174,SportslineData!$Q:$AB,6,0))),"",ROUND(VLOOKUP($B174,SportslineData!$Q:$AB,6,0),0))</f>
        <v/>
      </c>
      <c r="P174" s="82" t="str">
        <f>IF(OR(($A174=Settings!$A$30),ISERROR(VLOOKUP($B174,SportslineData!$Q:$AB,7,0))),"",ROUND(VLOOKUP($B174,SportslineData!$Q:$AB,7,0),0))</f>
        <v/>
      </c>
      <c r="Q174" s="82" t="str">
        <f>IF(OR(($A174=Settings!$A$30),ISERROR(VLOOKUP($B174,SportslineData!$Q:$AB,8,0))),"",VLOOKUP($B174,SportslineData!$Q:$AB,8,0))</f>
        <v/>
      </c>
      <c r="R174" s="82" t="str">
        <f>IF(OR(($A174=Settings!$A$30),ISERROR(VLOOKUP($B174,SportslineData!$Q:$AB,10,0))),"",ROUND(VLOOKUP($B174,SportslineData!$Q:$AB,10,0),0))</f>
        <v/>
      </c>
      <c r="S174" s="74" t="str">
        <f>IF(OR(($A174=Settings!$A$30),ISERROR(VLOOKUP($B174,SportslineData!$Q:$AB,11,0))),"",ROUND(VLOOKUP($B174,SportslineData!$Q:$AB,11,0),0))</f>
        <v/>
      </c>
      <c r="T174" s="117"/>
      <c r="U174" s="131">
        <f t="shared" si="22"/>
        <v>0</v>
      </c>
      <c r="V174" s="38">
        <f>IF(ISERROR(ROUND((((((ROUNDDOWN((D174/5),0)*Settings!$F$7)+(E174*Settings!$I$7))+(F174*Settings!$I$11))+(ROUNDDOWN((G174/5),0)*Settings!$F$11))+(H174*Settings!$F$12)),1)),0,ROUND((((((ROUNDDOWN((D174/5),0)*Settings!$F$7)+(E174*Settings!$I$7))+(F174*Settings!$I$11))+(ROUNDDOWN((G174/5),0)*Settings!$F$11))+(H174*Settings!$F$12)),1))</f>
        <v>0</v>
      </c>
      <c r="W174" s="38">
        <f>IF(ISERROR(ROUND((((((ROUNDDOWN((I174/5),0)*Settings!$F$7)+(J174*Settings!$I$7))+(K174*Settings!$I$11))+(ROUNDDOWN((L174/5),0)*Settings!$F$11))+(M174*Settings!$F$12)),1)),0,ROUND((((((ROUNDDOWN((I174/5),0)*Settings!$F$7)+(J174*Settings!$I$7))+(K174*Settings!$I$11))+(ROUNDDOWN((L174/5),0)*Settings!$F$11))+(M174*Settings!$F$12)),1))</f>
        <v>0</v>
      </c>
      <c r="X174" s="38">
        <f>IF(AND((N174=""),(P174="")),0,((((((ROUND((N174/5),0)*Settings!$F$7)+(O174*Settings!$I$7))+(P174*Settings!$I$11))+(ROUND((Q174/5),0)*Settings!$F$11))+(R174*Settings!$F$12))+(S174*Settings!$F$15)))</f>
        <v>0</v>
      </c>
      <c r="Y174" s="66">
        <f>ROUND((((V174*Settings!$B$21)+(W174*Settings!$B$22))+(X174*Settings!$B$23)),1)</f>
        <v>0</v>
      </c>
      <c r="Z174" s="66">
        <f>IF(ISERROR(VLOOKUP(RANK(Y174,$Y$4:$Y$182),Z$4:Z173,1,0)),RANK(Y174,$Y$4:$Y$182),IF(ISERROR(VLOOKUP((RANK(Y174,$Y$4:$Y$182)+1),Z$4:Z173,1,0)),(RANK(Y174,$Y$4:$Y$182)+1),IF(ISERROR(VLOOKUP((RANK(Y174,$Y$4:$Y$182)+2),Z$4:Z173,1,0)),(RANK(Y174,$Y$4:$Y$182)+2),(RANK(Y174,$Y$4:$Y$182)+3))))</f>
        <v>126</v>
      </c>
      <c r="AA174" t="str">
        <f t="shared" si="23"/>
        <v/>
      </c>
    </row>
    <row r="175" spans="1:27" ht="12.75" customHeight="1">
      <c r="A175" s="33">
        <f>ESPNData!R314</f>
        <v>0</v>
      </c>
      <c r="B175" s="33" t="str">
        <f t="shared" si="20"/>
        <v/>
      </c>
      <c r="C175" s="64" t="e">
        <f t="shared" si="21"/>
        <v>#VALUE!</v>
      </c>
      <c r="D175" s="117" t="str">
        <f>IF(OR(($A175=Settings!$A$30),ISERROR(VLOOKUP($B175,FFTodayData!$P:$Y,5,0))),"",VLOOKUP($B175,FFTodayData!$P:$Y,5,0))</f>
        <v/>
      </c>
      <c r="E175" s="33" t="str">
        <f>IF(OR(($A175=Settings!$A$30),ISERROR(VLOOKUP($B175,FFTodayData!$P:$Y,6,0))),"",VLOOKUP($B175,FFTodayData!$P:$Y,6,0))</f>
        <v/>
      </c>
      <c r="F175" s="33" t="str">
        <f>IF(OR(($A175=Settings!$A$30),ISERROR(VLOOKUP($B175,FFTodayData!$P:$Y,7,0))),"",VLOOKUP($B175,FFTodayData!$P:$Y,7,0))</f>
        <v/>
      </c>
      <c r="G175" s="33" t="str">
        <f>IF(OR(($A175=Settings!$A$30),ISERROR(VLOOKUP($B175,FFTodayData!$P:$Y,8,0))),"",VLOOKUP($B175,FFTodayData!$P:$Y,8,0))</f>
        <v/>
      </c>
      <c r="H175" s="64" t="str">
        <f>IF(OR(($A175=Settings!$A$30),ISERROR(VLOOKUP($B175,FFTodayData!$P:$Y,9,0))),"",VLOOKUP($B175,FFTodayData!$P:$Y,9,0))</f>
        <v/>
      </c>
      <c r="I175" s="117" t="str">
        <f>IF(ISERROR(VLOOKUP($A175,ESPNData!$R:$AE,9,0)),"",VLOOKUP($A175,ESPNData!$R:$AE,9,0))</f>
        <v/>
      </c>
      <c r="J175" s="33" t="str">
        <f>IF(ISERROR(VLOOKUP($A175,ESPNData!$R:$AE,10,0)),"",VLOOKUP($A175,ESPNData!$R:$AE,10,0))</f>
        <v/>
      </c>
      <c r="K175" s="33" t="str">
        <f>IF(ISERROR(VLOOKUP($A175,ESPNData!$R:$AE,11,0)),"",VLOOKUP($A175,ESPNData!$R:$AE,11,0))</f>
        <v/>
      </c>
      <c r="L175" s="33" t="str">
        <f>IF(ISERROR(VLOOKUP($A175,ESPNData!$R:$AE,12,0)),"",VLOOKUP($A175,ESPNData!$R:$AE,12,0))</f>
        <v/>
      </c>
      <c r="M175" s="64" t="str">
        <f>IF(ISERROR(VLOOKUP($A175,ESPNData!$R:$AE,13,0)),"",VLOOKUP($A175,ESPNData!$R:$AE,13,0))</f>
        <v/>
      </c>
      <c r="N175" s="115" t="str">
        <f>IF(OR(($A175=Settings!$A$30),ISERROR(VLOOKUP($B175,SportslineData!$Q:$AB,4,0))),"",VLOOKUP($B175,SportslineData!$Q:$AB,4,0))</f>
        <v/>
      </c>
      <c r="O175" s="82" t="str">
        <f>IF(OR(($A175=Settings!$A$30),ISERROR(VLOOKUP($B175,SportslineData!$Q:$AB,6,0))),"",ROUND(VLOOKUP($B175,SportslineData!$Q:$AB,6,0),0))</f>
        <v/>
      </c>
      <c r="P175" s="82" t="str">
        <f>IF(OR(($A175=Settings!$A$30),ISERROR(VLOOKUP($B175,SportslineData!$Q:$AB,7,0))),"",ROUND(VLOOKUP($B175,SportslineData!$Q:$AB,7,0),0))</f>
        <v/>
      </c>
      <c r="Q175" s="82" t="str">
        <f>IF(OR(($A175=Settings!$A$30),ISERROR(VLOOKUP($B175,SportslineData!$Q:$AB,8,0))),"",VLOOKUP($B175,SportslineData!$Q:$AB,8,0))</f>
        <v/>
      </c>
      <c r="R175" s="82" t="str">
        <f>IF(OR(($A175=Settings!$A$30),ISERROR(VLOOKUP($B175,SportslineData!$Q:$AB,10,0))),"",ROUND(VLOOKUP($B175,SportslineData!$Q:$AB,10,0),0))</f>
        <v/>
      </c>
      <c r="S175" s="74" t="str">
        <f>IF(OR(($A175=Settings!$A$30),ISERROR(VLOOKUP($B175,SportslineData!$Q:$AB,11,0))),"",ROUND(VLOOKUP($B175,SportslineData!$Q:$AB,11,0),0))</f>
        <v/>
      </c>
      <c r="T175" s="117"/>
      <c r="U175" s="131">
        <f t="shared" si="22"/>
        <v>0</v>
      </c>
      <c r="V175" s="38">
        <f>IF(ISERROR(ROUND((((((ROUNDDOWN((D175/5),0)*Settings!$F$7)+(E175*Settings!$I$7))+(F175*Settings!$I$11))+(ROUNDDOWN((G175/5),0)*Settings!$F$11))+(H175*Settings!$F$12)),1)),0,ROUND((((((ROUNDDOWN((D175/5),0)*Settings!$F$7)+(E175*Settings!$I$7))+(F175*Settings!$I$11))+(ROUNDDOWN((G175/5),0)*Settings!$F$11))+(H175*Settings!$F$12)),1))</f>
        <v>0</v>
      </c>
      <c r="W175" s="38">
        <f>IF(ISERROR(ROUND((((((ROUNDDOWN((I175/5),0)*Settings!$F$7)+(J175*Settings!$I$7))+(K175*Settings!$I$11))+(ROUNDDOWN((L175/5),0)*Settings!$F$11))+(M175*Settings!$F$12)),1)),0,ROUND((((((ROUNDDOWN((I175/5),0)*Settings!$F$7)+(J175*Settings!$I$7))+(K175*Settings!$I$11))+(ROUNDDOWN((L175/5),0)*Settings!$F$11))+(M175*Settings!$F$12)),1))</f>
        <v>0</v>
      </c>
      <c r="X175" s="38">
        <f>IF(AND((N175=""),(P175="")),0,((((((ROUND((N175/5),0)*Settings!$F$7)+(O175*Settings!$I$7))+(P175*Settings!$I$11))+(ROUND((Q175/5),0)*Settings!$F$11))+(R175*Settings!$F$12))+(S175*Settings!$F$15)))</f>
        <v>0</v>
      </c>
      <c r="Y175" s="66">
        <f>ROUND((((V175*Settings!$B$21)+(W175*Settings!$B$22))+(X175*Settings!$B$23)),1)</f>
        <v>0</v>
      </c>
      <c r="Z175" s="66">
        <f>IF(ISERROR(VLOOKUP(RANK(Y175,$Y$4:$Y$182),Z$4:Z174,1,0)),RANK(Y175,$Y$4:$Y$182),IF(ISERROR(VLOOKUP((RANK(Y175,$Y$4:$Y$182)+1),Z$4:Z174,1,0)),(RANK(Y175,$Y$4:$Y$182)+1),IF(ISERROR(VLOOKUP((RANK(Y175,$Y$4:$Y$182)+2),Z$4:Z174,1,0)),(RANK(Y175,$Y$4:$Y$182)+2),(RANK(Y175,$Y$4:$Y$182)+3))))</f>
        <v>126</v>
      </c>
      <c r="AA175" t="str">
        <f t="shared" si="23"/>
        <v/>
      </c>
    </row>
    <row r="176" spans="1:27" ht="12.75" customHeight="1">
      <c r="A176" s="33">
        <f>ESPNData!R315</f>
        <v>0</v>
      </c>
      <c r="B176" s="33" t="str">
        <f t="shared" si="20"/>
        <v/>
      </c>
      <c r="C176" s="64" t="e">
        <f t="shared" si="21"/>
        <v>#VALUE!</v>
      </c>
      <c r="D176" s="117" t="str">
        <f>IF(OR(($A176=Settings!$A$30),ISERROR(VLOOKUP($B176,FFTodayData!$P:$Y,5,0))),"",VLOOKUP($B176,FFTodayData!$P:$Y,5,0))</f>
        <v/>
      </c>
      <c r="E176" s="33" t="str">
        <f>IF(OR(($A176=Settings!$A$30),ISERROR(VLOOKUP($B176,FFTodayData!$P:$Y,6,0))),"",VLOOKUP($B176,FFTodayData!$P:$Y,6,0))</f>
        <v/>
      </c>
      <c r="F176" s="33" t="str">
        <f>IF(OR(($A176=Settings!$A$30),ISERROR(VLOOKUP($B176,FFTodayData!$P:$Y,7,0))),"",VLOOKUP($B176,FFTodayData!$P:$Y,7,0))</f>
        <v/>
      </c>
      <c r="G176" s="33" t="str">
        <f>IF(OR(($A176=Settings!$A$30),ISERROR(VLOOKUP($B176,FFTodayData!$P:$Y,8,0))),"",VLOOKUP($B176,FFTodayData!$P:$Y,8,0))</f>
        <v/>
      </c>
      <c r="H176" s="64" t="str">
        <f>IF(OR(($A176=Settings!$A$30),ISERROR(VLOOKUP($B176,FFTodayData!$P:$Y,9,0))),"",VLOOKUP($B176,FFTodayData!$P:$Y,9,0))</f>
        <v/>
      </c>
      <c r="I176" s="117" t="str">
        <f>IF(ISERROR(VLOOKUP($A176,ESPNData!$R:$AE,9,0)),"",VLOOKUP($A176,ESPNData!$R:$AE,9,0))</f>
        <v/>
      </c>
      <c r="J176" s="33" t="str">
        <f>IF(ISERROR(VLOOKUP($A176,ESPNData!$R:$AE,10,0)),"",VLOOKUP($A176,ESPNData!$R:$AE,10,0))</f>
        <v/>
      </c>
      <c r="K176" s="33" t="str">
        <f>IF(ISERROR(VLOOKUP($A176,ESPNData!$R:$AE,11,0)),"",VLOOKUP($A176,ESPNData!$R:$AE,11,0))</f>
        <v/>
      </c>
      <c r="L176" s="33" t="str">
        <f>IF(ISERROR(VLOOKUP($A176,ESPNData!$R:$AE,12,0)),"",VLOOKUP($A176,ESPNData!$R:$AE,12,0))</f>
        <v/>
      </c>
      <c r="M176" s="64" t="str">
        <f>IF(ISERROR(VLOOKUP($A176,ESPNData!$R:$AE,13,0)),"",VLOOKUP($A176,ESPNData!$R:$AE,13,0))</f>
        <v/>
      </c>
      <c r="N176" s="115" t="str">
        <f>IF(OR(($A176=Settings!$A$30),ISERROR(VLOOKUP($B176,SportslineData!$Q:$AB,4,0))),"",VLOOKUP($B176,SportslineData!$Q:$AB,4,0))</f>
        <v/>
      </c>
      <c r="O176" s="82" t="str">
        <f>IF(OR(($A176=Settings!$A$30),ISERROR(VLOOKUP($B176,SportslineData!$Q:$AB,6,0))),"",ROUND(VLOOKUP($B176,SportslineData!$Q:$AB,6,0),0))</f>
        <v/>
      </c>
      <c r="P176" s="82" t="str">
        <f>IF(OR(($A176=Settings!$A$30),ISERROR(VLOOKUP($B176,SportslineData!$Q:$AB,7,0))),"",ROUND(VLOOKUP($B176,SportslineData!$Q:$AB,7,0),0))</f>
        <v/>
      </c>
      <c r="Q176" s="82" t="str">
        <f>IF(OR(($A176=Settings!$A$30),ISERROR(VLOOKUP($B176,SportslineData!$Q:$AB,8,0))),"",VLOOKUP($B176,SportslineData!$Q:$AB,8,0))</f>
        <v/>
      </c>
      <c r="R176" s="82" t="str">
        <f>IF(OR(($A176=Settings!$A$30),ISERROR(VLOOKUP($B176,SportslineData!$Q:$AB,10,0))),"",ROUND(VLOOKUP($B176,SportslineData!$Q:$AB,10,0),0))</f>
        <v/>
      </c>
      <c r="S176" s="74" t="str">
        <f>IF(OR(($A176=Settings!$A$30),ISERROR(VLOOKUP($B176,SportslineData!$Q:$AB,11,0))),"",ROUND(VLOOKUP($B176,SportslineData!$Q:$AB,11,0),0))</f>
        <v/>
      </c>
      <c r="T176" s="117"/>
      <c r="U176" s="131">
        <f t="shared" si="22"/>
        <v>0</v>
      </c>
      <c r="V176" s="38">
        <f>IF(ISERROR(ROUND((((((ROUNDDOWN((D176/5),0)*Settings!$F$7)+(E176*Settings!$I$7))+(F176*Settings!$I$11))+(ROUNDDOWN((G176/5),0)*Settings!$F$11))+(H176*Settings!$F$12)),1)),0,ROUND((((((ROUNDDOWN((D176/5),0)*Settings!$F$7)+(E176*Settings!$I$7))+(F176*Settings!$I$11))+(ROUNDDOWN((G176/5),0)*Settings!$F$11))+(H176*Settings!$F$12)),1))</f>
        <v>0</v>
      </c>
      <c r="W176" s="38">
        <f>IF(ISERROR(ROUND((((((ROUNDDOWN((I176/5),0)*Settings!$F$7)+(J176*Settings!$I$7))+(K176*Settings!$I$11))+(ROUNDDOWN((L176/5),0)*Settings!$F$11))+(M176*Settings!$F$12)),1)),0,ROUND((((((ROUNDDOWN((I176/5),0)*Settings!$F$7)+(J176*Settings!$I$7))+(K176*Settings!$I$11))+(ROUNDDOWN((L176/5),0)*Settings!$F$11))+(M176*Settings!$F$12)),1))</f>
        <v>0</v>
      </c>
      <c r="X176" s="38">
        <f>IF(AND((N176=""),(P176="")),0,((((((ROUND((N176/5),0)*Settings!$F$7)+(O176*Settings!$I$7))+(P176*Settings!$I$11))+(ROUND((Q176/5),0)*Settings!$F$11))+(R176*Settings!$F$12))+(S176*Settings!$F$15)))</f>
        <v>0</v>
      </c>
      <c r="Y176" s="66">
        <f>ROUND((((V176*Settings!$B$21)+(W176*Settings!$B$22))+(X176*Settings!$B$23)),1)</f>
        <v>0</v>
      </c>
      <c r="Z176" s="66">
        <f>IF(ISERROR(VLOOKUP(RANK(Y176,$Y$4:$Y$182),Z$4:Z175,1,0)),RANK(Y176,$Y$4:$Y$182),IF(ISERROR(VLOOKUP((RANK(Y176,$Y$4:$Y$182)+1),Z$4:Z175,1,0)),(RANK(Y176,$Y$4:$Y$182)+1),IF(ISERROR(VLOOKUP((RANK(Y176,$Y$4:$Y$182)+2),Z$4:Z175,1,0)),(RANK(Y176,$Y$4:$Y$182)+2),(RANK(Y176,$Y$4:$Y$182)+3))))</f>
        <v>126</v>
      </c>
      <c r="AA176" t="str">
        <f t="shared" si="23"/>
        <v/>
      </c>
    </row>
    <row r="177" spans="1:27" ht="12.75" customHeight="1">
      <c r="A177" s="33">
        <f>ESPNData!R316</f>
        <v>0</v>
      </c>
      <c r="B177" s="33" t="str">
        <f t="shared" si="20"/>
        <v/>
      </c>
      <c r="C177" s="64" t="e">
        <f t="shared" si="21"/>
        <v>#VALUE!</v>
      </c>
      <c r="D177" s="117" t="str">
        <f>IF(OR(($A177=Settings!$A$30),ISERROR(VLOOKUP($B177,FFTodayData!$P:$Y,5,0))),"",VLOOKUP($B177,FFTodayData!$P:$Y,5,0))</f>
        <v/>
      </c>
      <c r="E177" s="33" t="str">
        <f>IF(OR(($A177=Settings!$A$30),ISERROR(VLOOKUP($B177,FFTodayData!$P:$Y,6,0))),"",VLOOKUP($B177,FFTodayData!$P:$Y,6,0))</f>
        <v/>
      </c>
      <c r="F177" s="33" t="str">
        <f>IF(OR(($A177=Settings!$A$30),ISERROR(VLOOKUP($B177,FFTodayData!$P:$Y,7,0))),"",VLOOKUP($B177,FFTodayData!$P:$Y,7,0))</f>
        <v/>
      </c>
      <c r="G177" s="33" t="str">
        <f>IF(OR(($A177=Settings!$A$30),ISERROR(VLOOKUP($B177,FFTodayData!$P:$Y,8,0))),"",VLOOKUP($B177,FFTodayData!$P:$Y,8,0))</f>
        <v/>
      </c>
      <c r="H177" s="64" t="str">
        <f>IF(OR(($A177=Settings!$A$30),ISERROR(VLOOKUP($B177,FFTodayData!$P:$Y,9,0))),"",VLOOKUP($B177,FFTodayData!$P:$Y,9,0))</f>
        <v/>
      </c>
      <c r="I177" s="117" t="str">
        <f>IF(ISERROR(VLOOKUP($A177,ESPNData!$R:$AE,9,0)),"",VLOOKUP($A177,ESPNData!$R:$AE,9,0))</f>
        <v/>
      </c>
      <c r="J177" s="33" t="str">
        <f>IF(ISERROR(VLOOKUP($A177,ESPNData!$R:$AE,10,0)),"",VLOOKUP($A177,ESPNData!$R:$AE,10,0))</f>
        <v/>
      </c>
      <c r="K177" s="33" t="str">
        <f>IF(ISERROR(VLOOKUP($A177,ESPNData!$R:$AE,11,0)),"",VLOOKUP($A177,ESPNData!$R:$AE,11,0))</f>
        <v/>
      </c>
      <c r="L177" s="33" t="str">
        <f>IF(ISERROR(VLOOKUP($A177,ESPNData!$R:$AE,12,0)),"",VLOOKUP($A177,ESPNData!$R:$AE,12,0))</f>
        <v/>
      </c>
      <c r="M177" s="64" t="str">
        <f>IF(ISERROR(VLOOKUP($A177,ESPNData!$R:$AE,13,0)),"",VLOOKUP($A177,ESPNData!$R:$AE,13,0))</f>
        <v/>
      </c>
      <c r="N177" s="115" t="str">
        <f>IF(OR(($A177=Settings!$A$30),ISERROR(VLOOKUP($B177,SportslineData!$Q:$AB,4,0))),"",VLOOKUP($B177,SportslineData!$Q:$AB,4,0))</f>
        <v/>
      </c>
      <c r="O177" s="82" t="str">
        <f>IF(OR(($A177=Settings!$A$30),ISERROR(VLOOKUP($B177,SportslineData!$Q:$AB,6,0))),"",ROUND(VLOOKUP($B177,SportslineData!$Q:$AB,6,0),0))</f>
        <v/>
      </c>
      <c r="P177" s="82" t="str">
        <f>IF(OR(($A177=Settings!$A$30),ISERROR(VLOOKUP($B177,SportslineData!$Q:$AB,7,0))),"",ROUND(VLOOKUP($B177,SportslineData!$Q:$AB,7,0),0))</f>
        <v/>
      </c>
      <c r="Q177" s="82" t="str">
        <f>IF(OR(($A177=Settings!$A$30),ISERROR(VLOOKUP($B177,SportslineData!$Q:$AB,8,0))),"",VLOOKUP($B177,SportslineData!$Q:$AB,8,0))</f>
        <v/>
      </c>
      <c r="R177" s="82" t="str">
        <f>IF(OR(($A177=Settings!$A$30),ISERROR(VLOOKUP($B177,SportslineData!$Q:$AB,10,0))),"",ROUND(VLOOKUP($B177,SportslineData!$Q:$AB,10,0),0))</f>
        <v/>
      </c>
      <c r="S177" s="74" t="str">
        <f>IF(OR(($A177=Settings!$A$30),ISERROR(VLOOKUP($B177,SportslineData!$Q:$AB,11,0))),"",ROUND(VLOOKUP($B177,SportslineData!$Q:$AB,11,0),0))</f>
        <v/>
      </c>
      <c r="T177" s="117"/>
      <c r="U177" s="131">
        <f t="shared" si="22"/>
        <v>0</v>
      </c>
      <c r="V177" s="38">
        <f>IF(ISERROR(ROUND((((((ROUNDDOWN((D177/5),0)*Settings!$F$7)+(E177*Settings!$I$7))+(F177*Settings!$I$11))+(ROUNDDOWN((G177/5),0)*Settings!$F$11))+(H177*Settings!$F$12)),1)),0,ROUND((((((ROUNDDOWN((D177/5),0)*Settings!$F$7)+(E177*Settings!$I$7))+(F177*Settings!$I$11))+(ROUNDDOWN((G177/5),0)*Settings!$F$11))+(H177*Settings!$F$12)),1))</f>
        <v>0</v>
      </c>
      <c r="W177" s="38">
        <f>IF(ISERROR(ROUND((((((ROUNDDOWN((I177/5),0)*Settings!$F$7)+(J177*Settings!$I$7))+(K177*Settings!$I$11))+(ROUNDDOWN((L177/5),0)*Settings!$F$11))+(M177*Settings!$F$12)),1)),0,ROUND((((((ROUNDDOWN((I177/5),0)*Settings!$F$7)+(J177*Settings!$I$7))+(K177*Settings!$I$11))+(ROUNDDOWN((L177/5),0)*Settings!$F$11))+(M177*Settings!$F$12)),1))</f>
        <v>0</v>
      </c>
      <c r="X177" s="38">
        <f>IF(AND((N177=""),(P177="")),0,((((((ROUND((N177/5),0)*Settings!$F$7)+(O177*Settings!$I$7))+(P177*Settings!$I$11))+(ROUND((Q177/5),0)*Settings!$F$11))+(R177*Settings!$F$12))+(S177*Settings!$F$15)))</f>
        <v>0</v>
      </c>
      <c r="Y177" s="66">
        <f>ROUND((((V177*Settings!$B$21)+(W177*Settings!$B$22))+(X177*Settings!$B$23)),1)</f>
        <v>0</v>
      </c>
      <c r="Z177" s="66">
        <f>IF(ISERROR(VLOOKUP(RANK(Y177,$Y$4:$Y$182),Z$4:Z176,1,0)),RANK(Y177,$Y$4:$Y$182),IF(ISERROR(VLOOKUP((RANK(Y177,$Y$4:$Y$182)+1),Z$4:Z176,1,0)),(RANK(Y177,$Y$4:$Y$182)+1),IF(ISERROR(VLOOKUP((RANK(Y177,$Y$4:$Y$182)+2),Z$4:Z176,1,0)),(RANK(Y177,$Y$4:$Y$182)+2),(RANK(Y177,$Y$4:$Y$182)+3))))</f>
        <v>126</v>
      </c>
      <c r="AA177" t="str">
        <f t="shared" si="23"/>
        <v/>
      </c>
    </row>
    <row r="178" spans="1:27" ht="12.75" customHeight="1">
      <c r="A178" s="33">
        <f>ESPNData!R317</f>
        <v>0</v>
      </c>
      <c r="B178" s="33" t="str">
        <f t="shared" si="20"/>
        <v/>
      </c>
      <c r="C178" s="64" t="e">
        <f t="shared" si="21"/>
        <v>#VALUE!</v>
      </c>
      <c r="D178" s="117" t="str">
        <f>IF(OR(($A178=Settings!$A$30),ISERROR(VLOOKUP($B178,FFTodayData!$P:$Y,5,0))),"",VLOOKUP($B178,FFTodayData!$P:$Y,5,0))</f>
        <v/>
      </c>
      <c r="E178" s="33" t="str">
        <f>IF(OR(($A178=Settings!$A$30),ISERROR(VLOOKUP($B178,FFTodayData!$P:$Y,6,0))),"",VLOOKUP($B178,FFTodayData!$P:$Y,6,0))</f>
        <v/>
      </c>
      <c r="F178" s="33" t="str">
        <f>IF(OR(($A178=Settings!$A$30),ISERROR(VLOOKUP($B178,FFTodayData!$P:$Y,7,0))),"",VLOOKUP($B178,FFTodayData!$P:$Y,7,0))</f>
        <v/>
      </c>
      <c r="G178" s="33" t="str">
        <f>IF(OR(($A178=Settings!$A$30),ISERROR(VLOOKUP($B178,FFTodayData!$P:$Y,8,0))),"",VLOOKUP($B178,FFTodayData!$P:$Y,8,0))</f>
        <v/>
      </c>
      <c r="H178" s="64" t="str">
        <f>IF(OR(($A178=Settings!$A$30),ISERROR(VLOOKUP($B178,FFTodayData!$P:$Y,9,0))),"",VLOOKUP($B178,FFTodayData!$P:$Y,9,0))</f>
        <v/>
      </c>
      <c r="I178" s="117" t="str">
        <f>IF(ISERROR(VLOOKUP($A178,ESPNData!$R:$AE,9,0)),"",VLOOKUP($A178,ESPNData!$R:$AE,9,0))</f>
        <v/>
      </c>
      <c r="J178" s="33" t="str">
        <f>IF(ISERROR(VLOOKUP($A178,ESPNData!$R:$AE,10,0)),"",VLOOKUP($A178,ESPNData!$R:$AE,10,0))</f>
        <v/>
      </c>
      <c r="K178" s="33" t="str">
        <f>IF(ISERROR(VLOOKUP($A178,ESPNData!$R:$AE,11,0)),"",VLOOKUP($A178,ESPNData!$R:$AE,11,0))</f>
        <v/>
      </c>
      <c r="L178" s="33" t="str">
        <f>IF(ISERROR(VLOOKUP($A178,ESPNData!$R:$AE,12,0)),"",VLOOKUP($A178,ESPNData!$R:$AE,12,0))</f>
        <v/>
      </c>
      <c r="M178" s="64" t="str">
        <f>IF(ISERROR(VLOOKUP($A178,ESPNData!$R:$AE,13,0)),"",VLOOKUP($A178,ESPNData!$R:$AE,13,0))</f>
        <v/>
      </c>
      <c r="N178" s="115" t="str">
        <f>IF(OR(($A178=Settings!$A$30),ISERROR(VLOOKUP($B178,SportslineData!$Q:$AB,4,0))),"",VLOOKUP($B178,SportslineData!$Q:$AB,4,0))</f>
        <v/>
      </c>
      <c r="O178" s="82" t="str">
        <f>IF(OR(($A178=Settings!$A$30),ISERROR(VLOOKUP($B178,SportslineData!$Q:$AB,6,0))),"",ROUND(VLOOKUP($B178,SportslineData!$Q:$AB,6,0),0))</f>
        <v/>
      </c>
      <c r="P178" s="82" t="str">
        <f>IF(OR(($A178=Settings!$A$30),ISERROR(VLOOKUP($B178,SportslineData!$Q:$AB,7,0))),"",ROUND(VLOOKUP($B178,SportslineData!$Q:$AB,7,0),0))</f>
        <v/>
      </c>
      <c r="Q178" s="82" t="str">
        <f>IF(OR(($A178=Settings!$A$30),ISERROR(VLOOKUP($B178,SportslineData!$Q:$AB,8,0))),"",VLOOKUP($B178,SportslineData!$Q:$AB,8,0))</f>
        <v/>
      </c>
      <c r="R178" s="82" t="str">
        <f>IF(OR(($A178=Settings!$A$30),ISERROR(VLOOKUP($B178,SportslineData!$Q:$AB,10,0))),"",ROUND(VLOOKUP($B178,SportslineData!$Q:$AB,10,0),0))</f>
        <v/>
      </c>
      <c r="S178" s="74" t="str">
        <f>IF(OR(($A178=Settings!$A$30),ISERROR(VLOOKUP($B178,SportslineData!$Q:$AB,11,0))),"",ROUND(VLOOKUP($B178,SportslineData!$Q:$AB,11,0),0))</f>
        <v/>
      </c>
      <c r="T178" s="117"/>
      <c r="U178" s="131">
        <f t="shared" si="22"/>
        <v>0</v>
      </c>
      <c r="V178" s="38">
        <f>IF(ISERROR(ROUND((((((ROUNDDOWN((D178/5),0)*Settings!$F$7)+(E178*Settings!$I$7))+(F178*Settings!$I$11))+(ROUNDDOWN((G178/5),0)*Settings!$F$11))+(H178*Settings!$F$12)),1)),0,ROUND((((((ROUNDDOWN((D178/5),0)*Settings!$F$7)+(E178*Settings!$I$7))+(F178*Settings!$I$11))+(ROUNDDOWN((G178/5),0)*Settings!$F$11))+(H178*Settings!$F$12)),1))</f>
        <v>0</v>
      </c>
      <c r="W178" s="38">
        <f>IF(ISERROR(ROUND((((((ROUNDDOWN((I178/5),0)*Settings!$F$7)+(J178*Settings!$I$7))+(K178*Settings!$I$11))+(ROUNDDOWN((L178/5),0)*Settings!$F$11))+(M178*Settings!$F$12)),1)),0,ROUND((((((ROUNDDOWN((I178/5),0)*Settings!$F$7)+(J178*Settings!$I$7))+(K178*Settings!$I$11))+(ROUNDDOWN((L178/5),0)*Settings!$F$11))+(M178*Settings!$F$12)),1))</f>
        <v>0</v>
      </c>
      <c r="X178" s="38">
        <f>IF(AND((N178=""),(P178="")),0,((((((ROUND((N178/5),0)*Settings!$F$7)+(O178*Settings!$I$7))+(P178*Settings!$I$11))+(ROUND((Q178/5),0)*Settings!$F$11))+(R178*Settings!$F$12))+(S178*Settings!$F$15)))</f>
        <v>0</v>
      </c>
      <c r="Y178" s="66">
        <f>ROUND((((V178*Settings!$B$21)+(W178*Settings!$B$22))+(X178*Settings!$B$23)),1)</f>
        <v>0</v>
      </c>
      <c r="Z178" s="66">
        <f>IF(ISERROR(VLOOKUP(RANK(Y178,$Y$4:$Y$182),Z$4:Z177,1,0)),RANK(Y178,$Y$4:$Y$182),IF(ISERROR(VLOOKUP((RANK(Y178,$Y$4:$Y$182)+1),Z$4:Z177,1,0)),(RANK(Y178,$Y$4:$Y$182)+1),IF(ISERROR(VLOOKUP((RANK(Y178,$Y$4:$Y$182)+2),Z$4:Z177,1,0)),(RANK(Y178,$Y$4:$Y$182)+2),(RANK(Y178,$Y$4:$Y$182)+3))))</f>
        <v>126</v>
      </c>
      <c r="AA178" t="str">
        <f t="shared" si="23"/>
        <v/>
      </c>
    </row>
    <row r="179" spans="1:27" ht="12.75" customHeight="1">
      <c r="A179" s="33">
        <f>ESPNData!R318</f>
        <v>0</v>
      </c>
      <c r="B179" s="33" t="str">
        <f t="shared" si="20"/>
        <v/>
      </c>
      <c r="C179" s="64" t="e">
        <f t="shared" si="21"/>
        <v>#VALUE!</v>
      </c>
      <c r="D179" s="117" t="str">
        <f>IF(OR(($A179=Settings!$A$30),ISERROR(VLOOKUP($B179,FFTodayData!$P:$Y,5,0))),"",VLOOKUP($B179,FFTodayData!$P:$Y,5,0))</f>
        <v/>
      </c>
      <c r="E179" s="33" t="str">
        <f>IF(OR(($A179=Settings!$A$30),ISERROR(VLOOKUP($B179,FFTodayData!$P:$Y,6,0))),"",VLOOKUP($B179,FFTodayData!$P:$Y,6,0))</f>
        <v/>
      </c>
      <c r="F179" s="33" t="str">
        <f>IF(OR(($A179=Settings!$A$30),ISERROR(VLOOKUP($B179,FFTodayData!$P:$Y,7,0))),"",VLOOKUP($B179,FFTodayData!$P:$Y,7,0))</f>
        <v/>
      </c>
      <c r="G179" s="33" t="str">
        <f>IF(OR(($A179=Settings!$A$30),ISERROR(VLOOKUP($B179,FFTodayData!$P:$Y,8,0))),"",VLOOKUP($B179,FFTodayData!$P:$Y,8,0))</f>
        <v/>
      </c>
      <c r="H179" s="64" t="str">
        <f>IF(OR(($A179=Settings!$A$30),ISERROR(VLOOKUP($B179,FFTodayData!$P:$Y,9,0))),"",VLOOKUP($B179,FFTodayData!$P:$Y,9,0))</f>
        <v/>
      </c>
      <c r="I179" s="117" t="str">
        <f>IF(ISERROR(VLOOKUP($A179,ESPNData!$R:$AE,9,0)),"",VLOOKUP($A179,ESPNData!$R:$AE,9,0))</f>
        <v/>
      </c>
      <c r="J179" s="33" t="str">
        <f>IF(ISERROR(VLOOKUP($A179,ESPNData!$R:$AE,10,0)),"",VLOOKUP($A179,ESPNData!$R:$AE,10,0))</f>
        <v/>
      </c>
      <c r="K179" s="33" t="str">
        <f>IF(ISERROR(VLOOKUP($A179,ESPNData!$R:$AE,11,0)),"",VLOOKUP($A179,ESPNData!$R:$AE,11,0))</f>
        <v/>
      </c>
      <c r="L179" s="33" t="str">
        <f>IF(ISERROR(VLOOKUP($A179,ESPNData!$R:$AE,12,0)),"",VLOOKUP($A179,ESPNData!$R:$AE,12,0))</f>
        <v/>
      </c>
      <c r="M179" s="64" t="str">
        <f>IF(ISERROR(VLOOKUP($A179,ESPNData!$R:$AE,13,0)),"",VLOOKUP($A179,ESPNData!$R:$AE,13,0))</f>
        <v/>
      </c>
      <c r="N179" s="115" t="str">
        <f>IF(OR(($A179=Settings!$A$30),ISERROR(VLOOKUP($B179,SportslineData!$Q:$AB,4,0))),"",VLOOKUP($B179,SportslineData!$Q:$AB,4,0))</f>
        <v/>
      </c>
      <c r="O179" s="82" t="str">
        <f>IF(OR(($A179=Settings!$A$30),ISERROR(VLOOKUP($B179,SportslineData!$Q:$AB,6,0))),"",ROUND(VLOOKUP($B179,SportslineData!$Q:$AB,6,0),0))</f>
        <v/>
      </c>
      <c r="P179" s="82" t="str">
        <f>IF(OR(($A179=Settings!$A$30),ISERROR(VLOOKUP($B179,SportslineData!$Q:$AB,7,0))),"",ROUND(VLOOKUP($B179,SportslineData!$Q:$AB,7,0),0))</f>
        <v/>
      </c>
      <c r="Q179" s="82" t="str">
        <f>IF(OR(($A179=Settings!$A$30),ISERROR(VLOOKUP($B179,SportslineData!$Q:$AB,8,0))),"",VLOOKUP($B179,SportslineData!$Q:$AB,8,0))</f>
        <v/>
      </c>
      <c r="R179" s="82" t="str">
        <f>IF(OR(($A179=Settings!$A$30),ISERROR(VLOOKUP($B179,SportslineData!$Q:$AB,10,0))),"",ROUND(VLOOKUP($B179,SportslineData!$Q:$AB,10,0),0))</f>
        <v/>
      </c>
      <c r="S179" s="74" t="str">
        <f>IF(OR(($A179=Settings!$A$30),ISERROR(VLOOKUP($B179,SportslineData!$Q:$AB,11,0))),"",ROUND(VLOOKUP($B179,SportslineData!$Q:$AB,11,0),0))</f>
        <v/>
      </c>
      <c r="T179" s="117"/>
      <c r="U179" s="131">
        <f t="shared" si="22"/>
        <v>0</v>
      </c>
      <c r="V179" s="38">
        <f>IF(ISERROR(ROUND((((((ROUNDDOWN((D179/5),0)*Settings!$F$7)+(E179*Settings!$I$7))+(F179*Settings!$I$11))+(ROUNDDOWN((G179/5),0)*Settings!$F$11))+(H179*Settings!$F$12)),1)),0,ROUND((((((ROUNDDOWN((D179/5),0)*Settings!$F$7)+(E179*Settings!$I$7))+(F179*Settings!$I$11))+(ROUNDDOWN((G179/5),0)*Settings!$F$11))+(H179*Settings!$F$12)),1))</f>
        <v>0</v>
      </c>
      <c r="W179" s="38">
        <f>IF(ISERROR(ROUND((((((ROUNDDOWN((I179/5),0)*Settings!$F$7)+(J179*Settings!$I$7))+(K179*Settings!$I$11))+(ROUNDDOWN((L179/5),0)*Settings!$F$11))+(M179*Settings!$F$12)),1)),0,ROUND((((((ROUNDDOWN((I179/5),0)*Settings!$F$7)+(J179*Settings!$I$7))+(K179*Settings!$I$11))+(ROUNDDOWN((L179/5),0)*Settings!$F$11))+(M179*Settings!$F$12)),1))</f>
        <v>0</v>
      </c>
      <c r="X179" s="38">
        <f>IF(AND((N179=""),(P179="")),0,((((((ROUND((N179/5),0)*Settings!$F$7)+(O179*Settings!$I$7))+(P179*Settings!$I$11))+(ROUND((Q179/5),0)*Settings!$F$11))+(R179*Settings!$F$12))+(S179*Settings!$F$15)))</f>
        <v>0</v>
      </c>
      <c r="Y179" s="66">
        <f>ROUND((((V179*Settings!$B$21)+(W179*Settings!$B$22))+(X179*Settings!$B$23)),1)</f>
        <v>0</v>
      </c>
      <c r="Z179" s="66">
        <f>IF(ISERROR(VLOOKUP(RANK(Y179,$Y$4:$Y$182),Z$4:Z178,1,0)),RANK(Y179,$Y$4:$Y$182),IF(ISERROR(VLOOKUP((RANK(Y179,$Y$4:$Y$182)+1),Z$4:Z178,1,0)),(RANK(Y179,$Y$4:$Y$182)+1),IF(ISERROR(VLOOKUP((RANK(Y179,$Y$4:$Y$182)+2),Z$4:Z178,1,0)),(RANK(Y179,$Y$4:$Y$182)+2),(RANK(Y179,$Y$4:$Y$182)+3))))</f>
        <v>126</v>
      </c>
      <c r="AA179" t="str">
        <f t="shared" si="23"/>
        <v/>
      </c>
    </row>
    <row r="180" spans="1:27" ht="12.75" customHeight="1">
      <c r="A180" s="33">
        <f>ESPNData!R319</f>
        <v>0</v>
      </c>
      <c r="B180" s="33" t="str">
        <f t="shared" si="20"/>
        <v/>
      </c>
      <c r="C180" s="64" t="e">
        <f t="shared" si="21"/>
        <v>#VALUE!</v>
      </c>
      <c r="D180" s="117" t="str">
        <f>IF(OR(($A180=Settings!$A$30),ISERROR(VLOOKUP($B180,FFTodayData!$P:$Y,5,0))),"",VLOOKUP($B180,FFTodayData!$P:$Y,5,0))</f>
        <v/>
      </c>
      <c r="E180" s="33" t="str">
        <f>IF(OR(($A180=Settings!$A$30),ISERROR(VLOOKUP($B180,FFTodayData!$P:$Y,6,0))),"",VLOOKUP($B180,FFTodayData!$P:$Y,6,0))</f>
        <v/>
      </c>
      <c r="F180" s="33" t="str">
        <f>IF(OR(($A180=Settings!$A$30),ISERROR(VLOOKUP($B180,FFTodayData!$P:$Y,7,0))),"",VLOOKUP($B180,FFTodayData!$P:$Y,7,0))</f>
        <v/>
      </c>
      <c r="G180" s="33" t="str">
        <f>IF(OR(($A180=Settings!$A$30),ISERROR(VLOOKUP($B180,FFTodayData!$P:$Y,8,0))),"",VLOOKUP($B180,FFTodayData!$P:$Y,8,0))</f>
        <v/>
      </c>
      <c r="H180" s="64" t="str">
        <f>IF(OR(($A180=Settings!$A$30),ISERROR(VLOOKUP($B180,FFTodayData!$P:$Y,9,0))),"",VLOOKUP($B180,FFTodayData!$P:$Y,9,0))</f>
        <v/>
      </c>
      <c r="I180" s="117" t="str">
        <f>IF(ISERROR(VLOOKUP($A180,ESPNData!$R:$AE,9,0)),"",VLOOKUP($A180,ESPNData!$R:$AE,9,0))</f>
        <v/>
      </c>
      <c r="J180" s="33" t="str">
        <f>IF(ISERROR(VLOOKUP($A180,ESPNData!$R:$AE,10,0)),"",VLOOKUP($A180,ESPNData!$R:$AE,10,0))</f>
        <v/>
      </c>
      <c r="K180" s="33" t="str">
        <f>IF(ISERROR(VLOOKUP($A180,ESPNData!$R:$AE,11,0)),"",VLOOKUP($A180,ESPNData!$R:$AE,11,0))</f>
        <v/>
      </c>
      <c r="L180" s="33" t="str">
        <f>IF(ISERROR(VLOOKUP($A180,ESPNData!$R:$AE,12,0)),"",VLOOKUP($A180,ESPNData!$R:$AE,12,0))</f>
        <v/>
      </c>
      <c r="M180" s="64" t="str">
        <f>IF(ISERROR(VLOOKUP($A180,ESPNData!$R:$AE,13,0)),"",VLOOKUP($A180,ESPNData!$R:$AE,13,0))</f>
        <v/>
      </c>
      <c r="N180" s="115" t="str">
        <f>IF(OR(($A180=Settings!$A$30),ISERROR(VLOOKUP($B180,SportslineData!$Q:$AB,4,0))),"",VLOOKUP($B180,SportslineData!$Q:$AB,4,0))</f>
        <v/>
      </c>
      <c r="O180" s="82" t="str">
        <f>IF(OR(($A180=Settings!$A$30),ISERROR(VLOOKUP($B180,SportslineData!$Q:$AB,6,0))),"",ROUND(VLOOKUP($B180,SportslineData!$Q:$AB,6,0),0))</f>
        <v/>
      </c>
      <c r="P180" s="82" t="str">
        <f>IF(OR(($A180=Settings!$A$30),ISERROR(VLOOKUP($B180,SportslineData!$Q:$AB,7,0))),"",ROUND(VLOOKUP($B180,SportslineData!$Q:$AB,7,0),0))</f>
        <v/>
      </c>
      <c r="Q180" s="82" t="str">
        <f>IF(OR(($A180=Settings!$A$30),ISERROR(VLOOKUP($B180,SportslineData!$Q:$AB,8,0))),"",VLOOKUP($B180,SportslineData!$Q:$AB,8,0))</f>
        <v/>
      </c>
      <c r="R180" s="82" t="str">
        <f>IF(OR(($A180=Settings!$A$30),ISERROR(VLOOKUP($B180,SportslineData!$Q:$AB,10,0))),"",ROUND(VLOOKUP($B180,SportslineData!$Q:$AB,10,0),0))</f>
        <v/>
      </c>
      <c r="S180" s="74" t="str">
        <f>IF(OR(($A180=Settings!$A$30),ISERROR(VLOOKUP($B180,SportslineData!$Q:$AB,11,0))),"",ROUND(VLOOKUP($B180,SportslineData!$Q:$AB,11,0),0))</f>
        <v/>
      </c>
      <c r="T180" s="117"/>
      <c r="U180" s="131">
        <f t="shared" si="22"/>
        <v>0</v>
      </c>
      <c r="V180" s="38">
        <f>IF(ISERROR(ROUND((((((ROUNDDOWN((D180/5),0)*Settings!$F$7)+(E180*Settings!$I$7))+(F180*Settings!$I$11))+(ROUNDDOWN((G180/5),0)*Settings!$F$11))+(H180*Settings!$F$12)),1)),0,ROUND((((((ROUNDDOWN((D180/5),0)*Settings!$F$7)+(E180*Settings!$I$7))+(F180*Settings!$I$11))+(ROUNDDOWN((G180/5),0)*Settings!$F$11))+(H180*Settings!$F$12)),1))</f>
        <v>0</v>
      </c>
      <c r="W180" s="38">
        <f>IF(ISERROR(ROUND((((((ROUNDDOWN((I180/5),0)*Settings!$F$7)+(J180*Settings!$I$7))+(K180*Settings!$I$11))+(ROUNDDOWN((L180/5),0)*Settings!$F$11))+(M180*Settings!$F$12)),1)),0,ROUND((((((ROUNDDOWN((I180/5),0)*Settings!$F$7)+(J180*Settings!$I$7))+(K180*Settings!$I$11))+(ROUNDDOWN((L180/5),0)*Settings!$F$11))+(M180*Settings!$F$12)),1))</f>
        <v>0</v>
      </c>
      <c r="X180" s="38">
        <f>IF(AND((N180=""),(P180="")),0,((((((ROUND((N180/5),0)*Settings!$F$7)+(O180*Settings!$I$7))+(P180*Settings!$I$11))+(ROUND((Q180/5),0)*Settings!$F$11))+(R180*Settings!$F$12))+(S180*Settings!$F$15)))</f>
        <v>0</v>
      </c>
      <c r="Y180" s="66">
        <f>ROUND((((V180*Settings!$B$21)+(W180*Settings!$B$22))+(X180*Settings!$B$23)),1)</f>
        <v>0</v>
      </c>
      <c r="Z180" s="66">
        <f>IF(ISERROR(VLOOKUP(RANK(Y180,$Y$4:$Y$182),Z$4:Z179,1,0)),RANK(Y180,$Y$4:$Y$182),IF(ISERROR(VLOOKUP((RANK(Y180,$Y$4:$Y$182)+1),Z$4:Z179,1,0)),(RANK(Y180,$Y$4:$Y$182)+1),IF(ISERROR(VLOOKUP((RANK(Y180,$Y$4:$Y$182)+2),Z$4:Z179,1,0)),(RANK(Y180,$Y$4:$Y$182)+2),(RANK(Y180,$Y$4:$Y$182)+3))))</f>
        <v>126</v>
      </c>
      <c r="AA180" t="str">
        <f t="shared" si="23"/>
        <v/>
      </c>
    </row>
    <row r="181" spans="1:27" ht="12.75" customHeight="1">
      <c r="A181" s="33">
        <f>ESPNData!R320</f>
        <v>0</v>
      </c>
      <c r="B181" s="33" t="str">
        <f t="shared" si="20"/>
        <v/>
      </c>
      <c r="C181" s="64" t="e">
        <f t="shared" si="21"/>
        <v>#VALUE!</v>
      </c>
      <c r="D181" s="117" t="str">
        <f>IF(OR(($A181=Settings!$A$30),ISERROR(VLOOKUP($B181,FFTodayData!$P:$Y,5,0))),"",VLOOKUP($B181,FFTodayData!$P:$Y,5,0))</f>
        <v/>
      </c>
      <c r="E181" s="33" t="str">
        <f>IF(OR(($A181=Settings!$A$30),ISERROR(VLOOKUP($B181,FFTodayData!$P:$Y,6,0))),"",VLOOKUP($B181,FFTodayData!$P:$Y,6,0))</f>
        <v/>
      </c>
      <c r="F181" s="33" t="str">
        <f>IF(OR(($A181=Settings!$A$30),ISERROR(VLOOKUP($B181,FFTodayData!$P:$Y,7,0))),"",VLOOKUP($B181,FFTodayData!$P:$Y,7,0))</f>
        <v/>
      </c>
      <c r="G181" s="33" t="str">
        <f>IF(OR(($A181=Settings!$A$30),ISERROR(VLOOKUP($B181,FFTodayData!$P:$Y,8,0))),"",VLOOKUP($B181,FFTodayData!$P:$Y,8,0))</f>
        <v/>
      </c>
      <c r="H181" s="64" t="str">
        <f>IF(OR(($A181=Settings!$A$30),ISERROR(VLOOKUP($B181,FFTodayData!$P:$Y,9,0))),"",VLOOKUP($B181,FFTodayData!$P:$Y,9,0))</f>
        <v/>
      </c>
      <c r="I181" s="117" t="str">
        <f>IF(ISERROR(VLOOKUP($A181,ESPNData!$R:$AE,9,0)),"",VLOOKUP($A181,ESPNData!$R:$AE,9,0))</f>
        <v/>
      </c>
      <c r="J181" s="33" t="str">
        <f>IF(ISERROR(VLOOKUP($A181,ESPNData!$R:$AE,10,0)),"",VLOOKUP($A181,ESPNData!$R:$AE,10,0))</f>
        <v/>
      </c>
      <c r="K181" s="33" t="str">
        <f>IF(ISERROR(VLOOKUP($A181,ESPNData!$R:$AE,11,0)),"",VLOOKUP($A181,ESPNData!$R:$AE,11,0))</f>
        <v/>
      </c>
      <c r="L181" s="33" t="str">
        <f>IF(ISERROR(VLOOKUP($A181,ESPNData!$R:$AE,12,0)),"",VLOOKUP($A181,ESPNData!$R:$AE,12,0))</f>
        <v/>
      </c>
      <c r="M181" s="64" t="str">
        <f>IF(ISERROR(VLOOKUP($A181,ESPNData!$R:$AE,13,0)),"",VLOOKUP($A181,ESPNData!$R:$AE,13,0))</f>
        <v/>
      </c>
      <c r="N181" s="115" t="str">
        <f>IF(OR(($A181=Settings!$A$30),ISERROR(VLOOKUP($B181,SportslineData!$Q:$AB,4,0))),"",VLOOKUP($B181,SportslineData!$Q:$AB,4,0))</f>
        <v/>
      </c>
      <c r="O181" s="82" t="str">
        <f>IF(OR(($A181=Settings!$A$30),ISERROR(VLOOKUP($B181,SportslineData!$Q:$AB,6,0))),"",ROUND(VLOOKUP($B181,SportslineData!$Q:$AB,6,0),0))</f>
        <v/>
      </c>
      <c r="P181" s="82" t="str">
        <f>IF(OR(($A181=Settings!$A$30),ISERROR(VLOOKUP($B181,SportslineData!$Q:$AB,7,0))),"",ROUND(VLOOKUP($B181,SportslineData!$Q:$AB,7,0),0))</f>
        <v/>
      </c>
      <c r="Q181" s="82" t="str">
        <f>IF(OR(($A181=Settings!$A$30),ISERROR(VLOOKUP($B181,SportslineData!$Q:$AB,8,0))),"",VLOOKUP($B181,SportslineData!$Q:$AB,8,0))</f>
        <v/>
      </c>
      <c r="R181" s="82" t="str">
        <f>IF(OR(($A181=Settings!$A$30),ISERROR(VLOOKUP($B181,SportslineData!$Q:$AB,10,0))),"",ROUND(VLOOKUP($B181,SportslineData!$Q:$AB,10,0),0))</f>
        <v/>
      </c>
      <c r="S181" s="74" t="str">
        <f>IF(OR(($A181=Settings!$A$30),ISERROR(VLOOKUP($B181,SportslineData!$Q:$AB,11,0))),"",ROUND(VLOOKUP($B181,SportslineData!$Q:$AB,11,0),0))</f>
        <v/>
      </c>
      <c r="T181" s="117"/>
      <c r="U181" s="131">
        <f t="shared" si="22"/>
        <v>0</v>
      </c>
      <c r="V181" s="38">
        <f>IF(ISERROR(ROUND((((((ROUNDDOWN((D181/5),0)*Settings!$F$7)+(E181*Settings!$I$7))+(F181*Settings!$I$11))+(ROUNDDOWN((G181/5),0)*Settings!$F$11))+(H181*Settings!$F$12)),1)),0,ROUND((((((ROUNDDOWN((D181/5),0)*Settings!$F$7)+(E181*Settings!$I$7))+(F181*Settings!$I$11))+(ROUNDDOWN((G181/5),0)*Settings!$F$11))+(H181*Settings!$F$12)),1))</f>
        <v>0</v>
      </c>
      <c r="W181" s="38">
        <f>IF(ISERROR(ROUND((((((ROUNDDOWN((I181/5),0)*Settings!$F$7)+(J181*Settings!$I$7))+(K181*Settings!$I$11))+(ROUNDDOWN((L181/5),0)*Settings!$F$11))+(M181*Settings!$F$12)),1)),0,ROUND((((((ROUNDDOWN((I181/5),0)*Settings!$F$7)+(J181*Settings!$I$7))+(K181*Settings!$I$11))+(ROUNDDOWN((L181/5),0)*Settings!$F$11))+(M181*Settings!$F$12)),1))</f>
        <v>0</v>
      </c>
      <c r="X181" s="38">
        <f>IF(AND((N181=""),(P181="")),0,((((((ROUND((N181/5),0)*Settings!$F$7)+(O181*Settings!$I$7))+(P181*Settings!$I$11))+(ROUND((Q181/5),0)*Settings!$F$11))+(R181*Settings!$F$12))+(S181*Settings!$F$15)))</f>
        <v>0</v>
      </c>
      <c r="Y181" s="66">
        <f>ROUND((((V181*Settings!$B$21)+(W181*Settings!$B$22))+(X181*Settings!$B$23)),1)</f>
        <v>0</v>
      </c>
      <c r="Z181" s="66">
        <f>IF(ISERROR(VLOOKUP(RANK(Y181,$Y$4:$Y$182),Z$4:Z180,1,0)),RANK(Y181,$Y$4:$Y$182),IF(ISERROR(VLOOKUP((RANK(Y181,$Y$4:$Y$182)+1),Z$4:Z180,1,0)),(RANK(Y181,$Y$4:$Y$182)+1),IF(ISERROR(VLOOKUP((RANK(Y181,$Y$4:$Y$182)+2),Z$4:Z180,1,0)),(RANK(Y181,$Y$4:$Y$182)+2),(RANK(Y181,$Y$4:$Y$182)+3))))</f>
        <v>126</v>
      </c>
      <c r="AA181" t="str">
        <f t="shared" si="23"/>
        <v/>
      </c>
    </row>
    <row r="182" spans="1:27" ht="12.75" customHeight="1">
      <c r="A182" s="33">
        <f>ESPNData!R321</f>
        <v>0</v>
      </c>
      <c r="B182" s="33" t="str">
        <f t="shared" si="20"/>
        <v/>
      </c>
      <c r="C182" s="64" t="e">
        <f t="shared" si="21"/>
        <v>#VALUE!</v>
      </c>
      <c r="D182" s="117" t="str">
        <f>IF(OR(($A182=Settings!$A$30),ISERROR(VLOOKUP($B182,FFTodayData!$P:$Y,5,0))),"",VLOOKUP($B182,FFTodayData!$P:$Y,5,0))</f>
        <v/>
      </c>
      <c r="E182" s="33" t="str">
        <f>IF(OR(($A182=Settings!$A$30),ISERROR(VLOOKUP($B182,FFTodayData!$P:$Y,6,0))),"",VLOOKUP($B182,FFTodayData!$P:$Y,6,0))</f>
        <v/>
      </c>
      <c r="F182" s="33" t="str">
        <f>IF(OR(($A182=Settings!$A$30),ISERROR(VLOOKUP($B182,FFTodayData!$P:$Y,7,0))),"",VLOOKUP($B182,FFTodayData!$P:$Y,7,0))</f>
        <v/>
      </c>
      <c r="G182" s="33" t="str">
        <f>IF(OR(($A182=Settings!$A$30),ISERROR(VLOOKUP($B182,FFTodayData!$P:$Y,8,0))),"",VLOOKUP($B182,FFTodayData!$P:$Y,8,0))</f>
        <v/>
      </c>
      <c r="H182" s="64" t="str">
        <f>IF(OR(($A182=Settings!$A$30),ISERROR(VLOOKUP($B182,FFTodayData!$P:$Y,9,0))),"",VLOOKUP($B182,FFTodayData!$P:$Y,9,0))</f>
        <v/>
      </c>
      <c r="I182" s="117" t="str">
        <f>IF(ISERROR(VLOOKUP($A182,ESPNData!$R:$AE,9,0)),"",VLOOKUP($A182,ESPNData!$R:$AE,9,0))</f>
        <v/>
      </c>
      <c r="J182" s="33" t="str">
        <f>IF(ISERROR(VLOOKUP($A182,ESPNData!$R:$AE,10,0)),"",VLOOKUP($A182,ESPNData!$R:$AE,10,0))</f>
        <v/>
      </c>
      <c r="K182" s="33" t="str">
        <f>IF(ISERROR(VLOOKUP($A182,ESPNData!$R:$AE,11,0)),"",VLOOKUP($A182,ESPNData!$R:$AE,11,0))</f>
        <v/>
      </c>
      <c r="L182" s="33" t="str">
        <f>IF(ISERROR(VLOOKUP($A182,ESPNData!$R:$AE,12,0)),"",VLOOKUP($A182,ESPNData!$R:$AE,12,0))</f>
        <v/>
      </c>
      <c r="M182" s="64" t="str">
        <f>IF(ISERROR(VLOOKUP($A182,ESPNData!$R:$AE,13,0)),"",VLOOKUP($A182,ESPNData!$R:$AE,13,0))</f>
        <v/>
      </c>
      <c r="N182" s="115" t="str">
        <f>IF(OR(($A182=Settings!$A$30),ISERROR(VLOOKUP($B182,SportslineData!$Q:$AB,4,0))),"",VLOOKUP($B182,SportslineData!$Q:$AB,4,0))</f>
        <v/>
      </c>
      <c r="O182" s="82" t="str">
        <f>IF(OR(($A182=Settings!$A$30),ISERROR(VLOOKUP($B182,SportslineData!$Q:$AB,6,0))),"",ROUND(VLOOKUP($B182,SportslineData!$Q:$AB,6,0),0))</f>
        <v/>
      </c>
      <c r="P182" s="82" t="str">
        <f>IF(OR(($A182=Settings!$A$30),ISERROR(VLOOKUP($B182,SportslineData!$Q:$AB,7,0))),"",ROUND(VLOOKUP($B182,SportslineData!$Q:$AB,7,0),0))</f>
        <v/>
      </c>
      <c r="Q182" s="82" t="str">
        <f>IF(OR(($A182=Settings!$A$30),ISERROR(VLOOKUP($B182,SportslineData!$Q:$AB,8,0))),"",VLOOKUP($B182,SportslineData!$Q:$AB,8,0))</f>
        <v/>
      </c>
      <c r="R182" s="82" t="str">
        <f>IF(OR(($A182=Settings!$A$30),ISERROR(VLOOKUP($B182,SportslineData!$Q:$AB,10,0))),"",ROUND(VLOOKUP($B182,SportslineData!$Q:$AB,10,0),0))</f>
        <v/>
      </c>
      <c r="S182" s="74" t="str">
        <f>IF(OR(($A182=Settings!$A$30),ISERROR(VLOOKUP($B182,SportslineData!$Q:$AB,11,0))),"",ROUND(VLOOKUP($B182,SportslineData!$Q:$AB,11,0),0))</f>
        <v/>
      </c>
      <c r="T182" s="117"/>
      <c r="U182" s="131">
        <f t="shared" si="22"/>
        <v>0</v>
      </c>
      <c r="V182" s="38">
        <f>IF(ISERROR(ROUND((((((ROUNDDOWN((D182/5),0)*Settings!$F$7)+(E182*Settings!$I$7))+(F182*Settings!$I$11))+(ROUNDDOWN((G182/5),0)*Settings!$F$11))+(H182*Settings!$F$12)),1)),0,ROUND((((((ROUNDDOWN((D182/5),0)*Settings!$F$7)+(E182*Settings!$I$7))+(F182*Settings!$I$11))+(ROUNDDOWN((G182/5),0)*Settings!$F$11))+(H182*Settings!$F$12)),1))</f>
        <v>0</v>
      </c>
      <c r="W182" s="38">
        <f>IF(ISERROR(ROUND((((((ROUNDDOWN((I182/5),0)*Settings!$F$7)+(J182*Settings!$I$7))+(K182*Settings!$I$11))+(ROUNDDOWN((L182/5),0)*Settings!$F$11))+(M182*Settings!$F$12)),1)),0,ROUND((((((ROUNDDOWN((I182/5),0)*Settings!$F$7)+(J182*Settings!$I$7))+(K182*Settings!$I$11))+(ROUNDDOWN((L182/5),0)*Settings!$F$11))+(M182*Settings!$F$12)),1))</f>
        <v>0</v>
      </c>
      <c r="X182" s="38">
        <f>IF(AND((N182=""),(P182="")),0,((((((ROUND((N182/5),0)*Settings!$F$7)+(O182*Settings!$I$7))+(P182*Settings!$I$11))+(ROUND((Q182/5),0)*Settings!$F$11))+(R182*Settings!$F$12))+(S182*Settings!$F$15)))</f>
        <v>0</v>
      </c>
      <c r="Y182" s="66">
        <f>ROUND((((V182*Settings!$B$21)+(W182*Settings!$B$22))+(X182*Settings!$B$23)),1)</f>
        <v>0</v>
      </c>
      <c r="Z182" s="66">
        <f>IF(ISERROR(VLOOKUP(RANK(Y182,$Y$4:$Y$182),Z$4:Z181,1,0)),RANK(Y182,$Y$4:$Y$182),IF(ISERROR(VLOOKUP((RANK(Y182,$Y$4:$Y$182)+1),Z$4:Z181,1,0)),(RANK(Y182,$Y$4:$Y$182)+1),IF(ISERROR(VLOOKUP((RANK(Y182,$Y$4:$Y$182)+2),Z$4:Z181,1,0)),(RANK(Y182,$Y$4:$Y$182)+2),(RANK(Y182,$Y$4:$Y$182)+3))))</f>
        <v>126</v>
      </c>
      <c r="AA182" t="str">
        <f t="shared" si="23"/>
        <v/>
      </c>
    </row>
  </sheetData>
  <mergeCells count="9">
    <mergeCell ref="D1:H1"/>
    <mergeCell ref="I1:M1"/>
    <mergeCell ref="N1:S1"/>
    <mergeCell ref="D2:E2"/>
    <mergeCell ref="F2:H2"/>
    <mergeCell ref="I2:J2"/>
    <mergeCell ref="K2:M2"/>
    <mergeCell ref="N2:O2"/>
    <mergeCell ref="P2:R2"/>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2"/>
  <sheetViews>
    <sheetView showGridLines="0"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7.1640625" defaultRowHeight="12.75" customHeight="1" x14ac:dyDescent="0"/>
  <cols>
    <col min="1" max="1" width="28.5" hidden="1" customWidth="1"/>
    <col min="2" max="2" width="18.6640625" customWidth="1"/>
    <col min="3" max="3" width="5" customWidth="1"/>
    <col min="4" max="4" width="7.83203125" customWidth="1"/>
    <col min="5" max="5" width="2.5" customWidth="1"/>
    <col min="6" max="6" width="8.83203125" customWidth="1"/>
    <col min="7" max="7" width="4.5" customWidth="1"/>
    <col min="8" max="8" width="2.5" customWidth="1"/>
    <col min="9" max="9" width="7.33203125" customWidth="1"/>
    <col min="10" max="10" width="2.5" customWidth="1"/>
    <col min="11" max="11" width="8.83203125" customWidth="1"/>
    <col min="12" max="12" width="4.5" customWidth="1"/>
    <col min="13" max="13" width="2.5" customWidth="1"/>
    <col min="14" max="14" width="9.1640625" customWidth="1"/>
    <col min="15" max="15" width="6.1640625" customWidth="1"/>
    <col min="16" max="16" width="2.5" customWidth="1"/>
    <col min="17" max="17" width="2.33203125" customWidth="1"/>
    <col min="18" max="19" width="4.83203125" customWidth="1"/>
    <col min="20" max="20" width="7.83203125" customWidth="1"/>
    <col min="21" max="21" width="4.6640625" customWidth="1"/>
    <col min="22" max="22" width="9.1640625" customWidth="1"/>
    <col min="23" max="23" width="7.5" customWidth="1"/>
    <col min="24" max="24" width="3.33203125" customWidth="1"/>
    <col min="25" max="25" width="19.5" customWidth="1"/>
  </cols>
  <sheetData>
    <row r="1" spans="1:25" ht="12.75" customHeight="1">
      <c r="A1" s="181"/>
      <c r="B1" s="181"/>
      <c r="C1" s="31"/>
      <c r="D1" s="221" t="s">
        <v>155</v>
      </c>
      <c r="E1" s="222"/>
      <c r="F1" s="222"/>
      <c r="G1" s="222"/>
      <c r="H1" s="223"/>
      <c r="I1" s="221" t="s">
        <v>1</v>
      </c>
      <c r="J1" s="222"/>
      <c r="K1" s="222"/>
      <c r="L1" s="222"/>
      <c r="M1" s="223"/>
      <c r="N1" s="221" t="s">
        <v>162</v>
      </c>
      <c r="O1" s="222"/>
      <c r="P1" s="222"/>
      <c r="Q1" s="223"/>
      <c r="R1" s="114"/>
      <c r="S1" s="181"/>
      <c r="T1" s="37"/>
      <c r="U1" s="37"/>
      <c r="V1" s="37"/>
      <c r="W1" s="66"/>
      <c r="X1" s="189"/>
    </row>
    <row r="2" spans="1:25" ht="12.75" customHeight="1">
      <c r="A2" s="181"/>
      <c r="B2" s="181"/>
      <c r="C2" s="31"/>
      <c r="D2" s="225" t="s">
        <v>103</v>
      </c>
      <c r="E2" s="226"/>
      <c r="F2" s="227" t="s">
        <v>116</v>
      </c>
      <c r="G2" s="226"/>
      <c r="H2" s="227"/>
      <c r="I2" s="225" t="s">
        <v>103</v>
      </c>
      <c r="J2" s="226"/>
      <c r="K2" s="227" t="s">
        <v>116</v>
      </c>
      <c r="L2" s="226"/>
      <c r="M2" s="227"/>
      <c r="N2" s="225" t="s">
        <v>116</v>
      </c>
      <c r="O2" s="226"/>
      <c r="P2" s="226"/>
      <c r="Q2" s="47"/>
      <c r="R2" s="114"/>
      <c r="S2" s="181"/>
      <c r="T2" s="37"/>
      <c r="U2" s="37"/>
      <c r="V2" s="37"/>
      <c r="W2" s="66"/>
      <c r="X2" s="189"/>
    </row>
    <row r="3" spans="1:25" ht="12.75" customHeight="1">
      <c r="A3" s="181"/>
      <c r="B3" s="181" t="s">
        <v>6</v>
      </c>
      <c r="C3" s="31" t="s">
        <v>7</v>
      </c>
      <c r="D3" s="113" t="s">
        <v>784</v>
      </c>
      <c r="E3" s="133" t="s">
        <v>785</v>
      </c>
      <c r="F3" s="133" t="s">
        <v>789</v>
      </c>
      <c r="G3" s="133" t="s">
        <v>784</v>
      </c>
      <c r="H3" s="47" t="s">
        <v>785</v>
      </c>
      <c r="I3" s="113" t="s">
        <v>784</v>
      </c>
      <c r="J3" s="133" t="s">
        <v>785</v>
      </c>
      <c r="K3" s="133" t="s">
        <v>789</v>
      </c>
      <c r="L3" s="133" t="s">
        <v>784</v>
      </c>
      <c r="M3" s="47" t="s">
        <v>785</v>
      </c>
      <c r="N3" s="113" t="s">
        <v>789</v>
      </c>
      <c r="O3" s="133" t="s">
        <v>784</v>
      </c>
      <c r="P3" s="133" t="s">
        <v>785</v>
      </c>
      <c r="Q3" s="47" t="s">
        <v>787</v>
      </c>
      <c r="R3" s="114"/>
      <c r="S3" s="181"/>
      <c r="T3" s="37" t="s">
        <v>155</v>
      </c>
      <c r="U3" s="37" t="s">
        <v>1</v>
      </c>
      <c r="V3" s="37" t="s">
        <v>162</v>
      </c>
      <c r="W3" s="66" t="s">
        <v>788</v>
      </c>
      <c r="X3" s="189" t="s">
        <v>5</v>
      </c>
    </row>
    <row r="4" spans="1:25" ht="12.75" customHeight="1">
      <c r="A4" s="33" t="str">
        <f>ESPNData!AH3</f>
        <v>Calvin Johnson, Det WR</v>
      </c>
      <c r="B4" s="33" t="str">
        <f t="shared" ref="B4:B35" si="0">IF(OR((A4=""),(A4=0)),"",IF(ISERROR(FIND("*",A4)),LEFT(A4,(FIND(",",A4)-1)),LEFT(A4,(FIND("*",A4)-1))))</f>
        <v>Calvin Johnson</v>
      </c>
      <c r="C4" s="64" t="str">
        <f t="shared" ref="C4:C35" si="1">IF((A4=""),"",UPPER(RIGHT(LEFT(A4,(FIND("WR",A4)-2)),(LEN(LEFT(A4,(FIND("WR",A4)-2)))-(FIND(",",LEFT(A4,(FIND("WR",A4)-2)))+1)))))</f>
        <v>DET</v>
      </c>
      <c r="D4" s="117">
        <f>IF(OR(($A4=Settings!$A$31),($A4=Settings!$A$32),ISERROR(VLOOKUP($B4,FFTodayData!$AB:$AK,8,0))),"",VLOOKUP($B4,FFTodayData!$AB:$AK,8,0))</f>
        <v>0</v>
      </c>
      <c r="E4" s="33">
        <f>IF(OR(($A4=Settings!$A$31),($A4=Settings!$A$32),ISERROR(VLOOKUP($B4,FFTodayData!$AB:$AK,9,0))),"",VLOOKUP($B4,FFTodayData!$AB:$AK,9,0))</f>
        <v>0</v>
      </c>
      <c r="F4" s="33">
        <f>IF(OR(($A4=Settings!$A$31),($A4=Settings!$A$32),ISERROR(VLOOKUP($B4,FFTodayData!$AB:$AK,4,0))),"",VLOOKUP($B4,FFTodayData!$AB:$AK,4,0))</f>
        <v>93</v>
      </c>
      <c r="G4" s="33">
        <f>IF(OR(($A4=Settings!$A$31),($A4=Settings!$A$32),ISERROR(VLOOKUP($B4,FFTodayData!$AB:$AK,5,0))),"",VLOOKUP($B4,FFTodayData!$AB:$AK,5,0))</f>
        <v>1477</v>
      </c>
      <c r="H4" s="64">
        <f>IF(OR(($A4=Settings!$A$31),($A4=Settings!$A$32),ISERROR(VLOOKUP($B4,FFTodayData!$AB:$AK,6,0))),"",VLOOKUP($B4,FFTodayData!$AB:$AK,6,0))</f>
        <v>12</v>
      </c>
      <c r="I4" s="117">
        <f>IF(ISERROR(VLOOKUP($A4,ESPNData!$AH:$AU,9,0)),"",VLOOKUP($A4,ESPNData!$AH:$AU,9,0))</f>
        <v>0</v>
      </c>
      <c r="J4" s="33">
        <f>IF(ISERROR(VLOOKUP($A4,ESPNData!$AH:$AU,10,0)),"",VLOOKUP($A4,ESPNData!$AH:$AU,10,0))</f>
        <v>0</v>
      </c>
      <c r="K4" s="33">
        <f>IF(ISERROR(VLOOKUP($A4,ESPNData!$AH:$AU,11,0)),"",VLOOKUP($A4,ESPNData!$AH:$AU,11,0))</f>
        <v>94</v>
      </c>
      <c r="L4" s="33">
        <f>IF(ISERROR(VLOOKUP($A4,ESPNData!$AH:$AU,12,0)),"",VLOOKUP($A4,ESPNData!$AH:$AU,12,0))</f>
        <v>1664</v>
      </c>
      <c r="M4" s="64">
        <f>IF(ISERROR(VLOOKUP($A4,ESPNData!$AH:$AU,13,0)),"",VLOOKUP($A4,ESPNData!$AH:$AU,13,0))</f>
        <v>12</v>
      </c>
      <c r="N4" s="117">
        <f>IF(OR(($A4=Settings!$A$31),($A4=Settings!$A$32),ISERROR(VLOOKUP($B4,SportslineData!$AD:$AK,3,0))),"",ROUND(VLOOKUP($B4,SportslineData!$AD:$AK,3,0),0))</f>
        <v>94</v>
      </c>
      <c r="O4" s="33">
        <f>IF(OR(($A4=Settings!$A$31),($A4=Settings!$A$32),ISERROR(VLOOKUP($B4,SportslineData!$AD:$AK,4,0))),"",VLOOKUP($B4,SportslineData!$AD:$AK,4,0))</f>
        <v>1584</v>
      </c>
      <c r="P4" s="33">
        <f>IF(OR(($A4=Settings!$A$31),($A4=Settings!$A$32),ISERROR(VLOOKUP($B4,SportslineData!$AD:$AK,6,0))),"",ROUND(VLOOKUP($B4,SportslineData!$AD:$AK,6,0),0))</f>
        <v>13</v>
      </c>
      <c r="Q4" s="64">
        <f>IF(OR(($A4=Settings!$A$31),($A4=Settings!$A$32),ISERROR(VLOOKUP($B4,SportslineData!$AD:$AK,7,0))),"",ROUND(VLOOKUP($B4,SportslineData!$AD:$AK,7,0),0))</f>
        <v>1</v>
      </c>
      <c r="R4" s="117"/>
      <c r="S4" s="33"/>
      <c r="T4" s="38">
        <f>IF(ISERROR(ROUND((((((ROUNDDOWN((D4/5),0)*Settings!$F$7)+(E4*Settings!$I$7))+(F4*Settings!$I$11))+(ROUNDDOWN((G4/5),0)*Settings!$F$11))+(H4*Settings!$F$12)),1)),0,ROUND((((((ROUNDDOWN((D4/5),0)*Settings!$F$7)+(E4*Settings!$I$7))+(F4*Settings!$I$11))+(ROUNDDOWN((G4/5),0)*Settings!$F$11))+(H4*Settings!$F$12)),1))</f>
        <v>266</v>
      </c>
      <c r="U4" s="38">
        <f>IF(ISERROR(ROUND((((((ROUNDDOWN((I4/5),0)*Settings!$F$7)+(J4*Settings!$I$7))+(K4*Settings!$I$11))+(ROUNDDOWN((L4/5),0)*Settings!$F$11))+(M4*Settings!$F$12)),1)),0,ROUND((((((ROUNDDOWN((I4/5),0)*Settings!$F$7)+(J4*Settings!$I$7))+(K4*Settings!$I$11))+(ROUNDDOWN((L4/5),0)*Settings!$F$11))+(M4*Settings!$F$12)),1))</f>
        <v>285</v>
      </c>
      <c r="V4" s="38">
        <f>IF((N4=""),0,((((N4*Settings!$I$11)+(ROUND((O4/5),0)*Settings!$F$11))+(P4*Settings!$F$12))+(Q4*Settings!$F$15)))</f>
        <v>282.5</v>
      </c>
      <c r="W4" s="66">
        <f>ROUND((((T4*Settings!$B$21)+(U4*Settings!$B$22))+(V4*Settings!$B$23)),1)</f>
        <v>277.89999999999998</v>
      </c>
      <c r="X4" s="189">
        <f>RANK(W4,$W$4:$W$182)</f>
        <v>1</v>
      </c>
      <c r="Y4" t="str">
        <f t="shared" ref="Y4:Y35" si="2">B4</f>
        <v>Calvin Johnson</v>
      </c>
    </row>
    <row r="5" spans="1:25" ht="12.75" customHeight="1">
      <c r="A5" s="33" t="str">
        <f>ESPNData!AH4</f>
        <v>Demaryius Thomas, Den WR</v>
      </c>
      <c r="B5" s="33" t="str">
        <f t="shared" si="0"/>
        <v>Demaryius Thomas</v>
      </c>
      <c r="C5" s="64" t="str">
        <f t="shared" si="1"/>
        <v>DEN</v>
      </c>
      <c r="D5" s="117">
        <f>IF(OR(($A5=Settings!$A$31),($A5=Settings!$A$32),ISERROR(VLOOKUP($B5,FFTodayData!$AB:$AK,8,0))),"",VLOOKUP($B5,FFTodayData!$AB:$AK,8,0))</f>
        <v>0</v>
      </c>
      <c r="E5" s="33">
        <f>IF(OR(($A5=Settings!$A$31),($A5=Settings!$A$32),ISERROR(VLOOKUP($B5,FFTodayData!$AB:$AK,9,0))),"",VLOOKUP($B5,FFTodayData!$AB:$AK,9,0))</f>
        <v>0</v>
      </c>
      <c r="F5" s="33">
        <f>IF(OR(($A5=Settings!$A$31),($A5=Settings!$A$32),ISERROR(VLOOKUP($B5,FFTodayData!$AB:$AK,4,0))),"",VLOOKUP($B5,FFTodayData!$AB:$AK,4,0))</f>
        <v>96</v>
      </c>
      <c r="G5" s="33">
        <f>IF(OR(($A5=Settings!$A$31),($A5=Settings!$A$32),ISERROR(VLOOKUP($B5,FFTodayData!$AB:$AK,5,0))),"",VLOOKUP($B5,FFTodayData!$AB:$AK,5,0))</f>
        <v>1449</v>
      </c>
      <c r="H5" s="64">
        <f>IF(OR(($A5=Settings!$A$31),($A5=Settings!$A$32),ISERROR(VLOOKUP($B5,FFTodayData!$AB:$AK,6,0))),"",VLOOKUP($B5,FFTodayData!$AB:$AK,6,0))</f>
        <v>13</v>
      </c>
      <c r="I5" s="117">
        <f>IF(ISERROR(VLOOKUP($A5,ESPNData!$AH:$AU,9,0)),"",VLOOKUP($A5,ESPNData!$AH:$AU,9,0))</f>
        <v>0</v>
      </c>
      <c r="J5" s="33">
        <f>IF(ISERROR(VLOOKUP($A5,ESPNData!$AH:$AU,10,0)),"",VLOOKUP($A5,ESPNData!$AH:$AU,10,0))</f>
        <v>0</v>
      </c>
      <c r="K5" s="33">
        <f>IF(ISERROR(VLOOKUP($A5,ESPNData!$AH:$AU,11,0)),"",VLOOKUP($A5,ESPNData!$AH:$AU,11,0))</f>
        <v>93</v>
      </c>
      <c r="L5" s="33">
        <f>IF(ISERROR(VLOOKUP($A5,ESPNData!$AH:$AU,12,0)),"",VLOOKUP($A5,ESPNData!$AH:$AU,12,0))</f>
        <v>1400</v>
      </c>
      <c r="M5" s="64">
        <f>IF(ISERROR(VLOOKUP($A5,ESPNData!$AH:$AU,13,0)),"",VLOOKUP($A5,ESPNData!$AH:$AU,13,0))</f>
        <v>13</v>
      </c>
      <c r="N5" s="117">
        <f>IF(OR(($A5=Settings!$A$31),($A5=Settings!$A$32),ISERROR(VLOOKUP($B5,SportslineData!$AD:$AK,3,0))),"",ROUND(VLOOKUP($B5,SportslineData!$AD:$AK,3,0),0))</f>
        <v>95</v>
      </c>
      <c r="O5" s="33">
        <f>IF(OR(($A5=Settings!$A$31),($A5=Settings!$A$32),ISERROR(VLOOKUP($B5,SportslineData!$AD:$AK,4,0))),"",VLOOKUP($B5,SportslineData!$AD:$AK,4,0))</f>
        <v>1453</v>
      </c>
      <c r="P5" s="33">
        <f>IF(OR(($A5=Settings!$A$31),($A5=Settings!$A$32),ISERROR(VLOOKUP($B5,SportslineData!$AD:$AK,6,0))),"",ROUND(VLOOKUP($B5,SportslineData!$AD:$AK,6,0),0))</f>
        <v>13</v>
      </c>
      <c r="Q5" s="64">
        <f>IF(OR(($A5=Settings!$A$31),($A5=Settings!$A$32),ISERROR(VLOOKUP($B5,SportslineData!$AD:$AK,7,0))),"",ROUND(VLOOKUP($B5,SportslineData!$AD:$AK,7,0),0))</f>
        <v>1</v>
      </c>
      <c r="R5" s="117"/>
      <c r="S5" s="33"/>
      <c r="T5" s="38">
        <f>IF(ISERROR(ROUND((((((ROUNDDOWN((D5/5),0)*Settings!$F$7)+(E5*Settings!$I$7))+(F5*Settings!$I$11))+(ROUNDDOWN((G5/5),0)*Settings!$F$11))+(H5*Settings!$F$12)),1)),0,ROUND((((((ROUNDDOWN((D5/5),0)*Settings!$F$7)+(E5*Settings!$I$7))+(F5*Settings!$I$11))+(ROUNDDOWN((G5/5),0)*Settings!$F$11))+(H5*Settings!$F$12)),1))</f>
        <v>270.5</v>
      </c>
      <c r="U5" s="38">
        <f>IF(ISERROR(ROUND((((((ROUNDDOWN((I5/5),0)*Settings!$F$7)+(J5*Settings!$I$7))+(K5*Settings!$I$11))+(ROUNDDOWN((L5/5),0)*Settings!$F$11))+(M5*Settings!$F$12)),1)),0,ROUND((((((ROUNDDOWN((I5/5),0)*Settings!$F$7)+(J5*Settings!$I$7))+(K5*Settings!$I$11))+(ROUNDDOWN((L5/5),0)*Settings!$F$11))+(M5*Settings!$F$12)),1))</f>
        <v>264.5</v>
      </c>
      <c r="V5" s="38">
        <f>IF((N5=""),0,((((N5*Settings!$I$11)+(ROUND((O5/5),0)*Settings!$F$11))+(P5*Settings!$F$12))+(Q5*Settings!$F$15)))</f>
        <v>270</v>
      </c>
      <c r="W5" s="66">
        <f>ROUND((((T5*Settings!$B$21)+(U5*Settings!$B$22))+(V5*Settings!$B$23)),1)</f>
        <v>268.39999999999998</v>
      </c>
      <c r="X5" s="66">
        <f>IF(ISERROR(VLOOKUP(RANK(W5,W$4:W$182),X$4:X4,1,0)),RANK(W5,W$4:W$182),IF(ISERROR(VLOOKUP((RANK(W5,W$4:W$182)+1),X$4:X4,1,0)),(RANK(W5,W$4:W$182)+1),IF(ISERROR(VLOOKUP((RANK(W5,W$4:W$182)+2),X$4:X4,1,0)),(RANK(W5,W$4:W$182)+2),(RANK(W5,W$4:W$182)+3))))</f>
        <v>2</v>
      </c>
      <c r="Y5" t="str">
        <f t="shared" si="2"/>
        <v>Demaryius Thomas</v>
      </c>
    </row>
    <row r="6" spans="1:25" ht="12.75" customHeight="1">
      <c r="A6" s="33" t="str">
        <f>ESPNData!AH5</f>
        <v>A.J. Green, Cin WR</v>
      </c>
      <c r="B6" s="33" t="str">
        <f t="shared" si="0"/>
        <v>A.J. Green</v>
      </c>
      <c r="C6" s="64" t="str">
        <f t="shared" si="1"/>
        <v>CIN</v>
      </c>
      <c r="D6" s="117">
        <f>IF(OR(($A6=Settings!$A$31),($A6=Settings!$A$32),ISERROR(VLOOKUP($B6,FFTodayData!$AB:$AK,8,0))),"",VLOOKUP($B6,FFTodayData!$AB:$AK,8,0))</f>
        <v>0</v>
      </c>
      <c r="E6" s="33">
        <f>IF(OR(($A6=Settings!$A$31),($A6=Settings!$A$32),ISERROR(VLOOKUP($B6,FFTodayData!$AB:$AK,9,0))),"",VLOOKUP($B6,FFTodayData!$AB:$AK,9,0))</f>
        <v>0</v>
      </c>
      <c r="F6" s="33">
        <f>IF(OR(($A6=Settings!$A$31),($A6=Settings!$A$32),ISERROR(VLOOKUP($B6,FFTodayData!$AB:$AK,4,0))),"",VLOOKUP($B6,FFTodayData!$AB:$AK,4,0))</f>
        <v>93</v>
      </c>
      <c r="G6" s="33">
        <f>IF(OR(($A6=Settings!$A$31),($A6=Settings!$A$32),ISERROR(VLOOKUP($B6,FFTodayData!$AB:$AK,5,0))),"",VLOOKUP($B6,FFTodayData!$AB:$AK,5,0))</f>
        <v>1307</v>
      </c>
      <c r="H6" s="64">
        <f>IF(OR(($A6=Settings!$A$31),($A6=Settings!$A$32),ISERROR(VLOOKUP($B6,FFTodayData!$AB:$AK,6,0))),"",VLOOKUP($B6,FFTodayData!$AB:$AK,6,0))</f>
        <v>10</v>
      </c>
      <c r="I6" s="117">
        <f>IF(ISERROR(VLOOKUP($A6,ESPNData!$AH:$AU,9,0)),"",VLOOKUP($A6,ESPNData!$AH:$AU,9,0))</f>
        <v>0</v>
      </c>
      <c r="J6" s="33">
        <f>IF(ISERROR(VLOOKUP($A6,ESPNData!$AH:$AU,10,0)),"",VLOOKUP($A6,ESPNData!$AH:$AU,10,0))</f>
        <v>0</v>
      </c>
      <c r="K6" s="33">
        <f>IF(ISERROR(VLOOKUP($A6,ESPNData!$AH:$AU,11,0)),"",VLOOKUP($A6,ESPNData!$AH:$AU,11,0))</f>
        <v>90</v>
      </c>
      <c r="L6" s="33">
        <f>IF(ISERROR(VLOOKUP($A6,ESPNData!$AH:$AU,12,0)),"",VLOOKUP($A6,ESPNData!$AH:$AU,12,0))</f>
        <v>1336</v>
      </c>
      <c r="M6" s="64">
        <f>IF(ISERROR(VLOOKUP($A6,ESPNData!$AH:$AU,13,0)),"",VLOOKUP($A6,ESPNData!$AH:$AU,13,0))</f>
        <v>11</v>
      </c>
      <c r="N6" s="117">
        <f>IF(OR(($A6=Settings!$A$31),($A6=Settings!$A$32),ISERROR(VLOOKUP($B6,SportslineData!$AD:$AK,3,0))),"",ROUND(VLOOKUP($B6,SportslineData!$AD:$AK,3,0),0))</f>
        <v>91</v>
      </c>
      <c r="O6" s="33">
        <f>IF(OR(($A6=Settings!$A$31),($A6=Settings!$A$32),ISERROR(VLOOKUP($B6,SportslineData!$AD:$AK,4,0))),"",VLOOKUP($B6,SportslineData!$AD:$AK,4,0))</f>
        <v>1311</v>
      </c>
      <c r="P6" s="33">
        <f>IF(OR(($A6=Settings!$A$31),($A6=Settings!$A$32),ISERROR(VLOOKUP($B6,SportslineData!$AD:$AK,6,0))),"",ROUND(VLOOKUP($B6,SportslineData!$AD:$AK,6,0),0))</f>
        <v>11</v>
      </c>
      <c r="Q6" s="64">
        <f>IF(OR(($A6=Settings!$A$31),($A6=Settings!$A$32),ISERROR(VLOOKUP($B6,SportslineData!$AD:$AK,7,0))),"",ROUND(VLOOKUP($B6,SportslineData!$AD:$AK,7,0),0))</f>
        <v>0</v>
      </c>
      <c r="R6" s="117"/>
      <c r="S6" s="33"/>
      <c r="T6" s="38">
        <f>IF(ISERROR(ROUND((((((ROUNDDOWN((D6/5),0)*Settings!$F$7)+(E6*Settings!$I$7))+(F6*Settings!$I$11))+(ROUNDDOWN((G6/5),0)*Settings!$F$11))+(H6*Settings!$F$12)),1)),0,ROUND((((((ROUNDDOWN((D6/5),0)*Settings!$F$7)+(E6*Settings!$I$7))+(F6*Settings!$I$11))+(ROUNDDOWN((G6/5),0)*Settings!$F$11))+(H6*Settings!$F$12)),1))</f>
        <v>237</v>
      </c>
      <c r="U6" s="38">
        <f>IF(ISERROR(ROUND((((((ROUNDDOWN((I6/5),0)*Settings!$F$7)+(J6*Settings!$I$7))+(K6*Settings!$I$11))+(ROUNDDOWN((L6/5),0)*Settings!$F$11))+(M6*Settings!$F$12)),1)),0,ROUND((((((ROUNDDOWN((I6/5),0)*Settings!$F$7)+(J6*Settings!$I$7))+(K6*Settings!$I$11))+(ROUNDDOWN((L6/5),0)*Settings!$F$11))+(M6*Settings!$F$12)),1))</f>
        <v>244.5</v>
      </c>
      <c r="V6" s="38">
        <f>IF((N6=""),0,((((N6*Settings!$I$11)+(ROUND((O6/5),0)*Settings!$F$11))+(P6*Settings!$F$12))+(Q6*Settings!$F$15)))</f>
        <v>242.5</v>
      </c>
      <c r="W6" s="66">
        <f>ROUND((((T6*Settings!$B$21)+(U6*Settings!$B$22))+(V6*Settings!$B$23)),1)</f>
        <v>241.3</v>
      </c>
      <c r="X6" s="66">
        <f>IF(ISERROR(VLOOKUP(RANK(W6,W$4:W$182),X$4:X5,1,0)),RANK(W6,W$4:W$182),IF(ISERROR(VLOOKUP((RANK(W6,W$4:W$182)+1),X$4:X5,1,0)),(RANK(W6,W$4:W$182)+1),IF(ISERROR(VLOOKUP((RANK(W6,W$4:W$182)+2),X$4:X5,1,0)),(RANK(W6,W$4:W$182)+2),(RANK(W6,W$4:W$182)+3))))</f>
        <v>5</v>
      </c>
      <c r="Y6" t="str">
        <f t="shared" si="2"/>
        <v>A.J. Green</v>
      </c>
    </row>
    <row r="7" spans="1:25" ht="12.75" customHeight="1">
      <c r="A7" s="33" t="str">
        <f>ESPNData!AH6</f>
        <v>Dez Bryant, Dal WR</v>
      </c>
      <c r="B7" s="33" t="str">
        <f t="shared" si="0"/>
        <v>Dez Bryant</v>
      </c>
      <c r="C7" s="64" t="str">
        <f t="shared" si="1"/>
        <v>DAL</v>
      </c>
      <c r="D7" s="117">
        <f>IF(OR(($A7=Settings!$A$31),($A7=Settings!$A$32),ISERROR(VLOOKUP($B7,FFTodayData!$AB:$AK,8,0))),"",VLOOKUP($B7,FFTodayData!$AB:$AK,8,0))</f>
        <v>0</v>
      </c>
      <c r="E7" s="33">
        <f>IF(OR(($A7=Settings!$A$31),($A7=Settings!$A$32),ISERROR(VLOOKUP($B7,FFTodayData!$AB:$AK,9,0))),"",VLOOKUP($B7,FFTodayData!$AB:$AK,9,0))</f>
        <v>0</v>
      </c>
      <c r="F7" s="33">
        <f>IF(OR(($A7=Settings!$A$31),($A7=Settings!$A$32),ISERROR(VLOOKUP($B7,FFTodayData!$AB:$AK,4,0))),"",VLOOKUP($B7,FFTodayData!$AB:$AK,4,0))</f>
        <v>89</v>
      </c>
      <c r="G7" s="33">
        <f>IF(OR(($A7=Settings!$A$31),($A7=Settings!$A$32),ISERROR(VLOOKUP($B7,FFTodayData!$AB:$AK,5,0))),"",VLOOKUP($B7,FFTodayData!$AB:$AK,5,0))</f>
        <v>1226</v>
      </c>
      <c r="H7" s="64">
        <f>IF(OR(($A7=Settings!$A$31),($A7=Settings!$A$32),ISERROR(VLOOKUP($B7,FFTodayData!$AB:$AK,6,0))),"",VLOOKUP($B7,FFTodayData!$AB:$AK,6,0))</f>
        <v>12</v>
      </c>
      <c r="I7" s="117">
        <f>IF(ISERROR(VLOOKUP($A7,ESPNData!$AH:$AU,9,0)),"",VLOOKUP($A7,ESPNData!$AH:$AU,9,0))</f>
        <v>8</v>
      </c>
      <c r="J7" s="33">
        <f>IF(ISERROR(VLOOKUP($A7,ESPNData!$AH:$AU,10,0)),"",VLOOKUP($A7,ESPNData!$AH:$AU,10,0))</f>
        <v>0</v>
      </c>
      <c r="K7" s="33">
        <f>IF(ISERROR(VLOOKUP($A7,ESPNData!$AH:$AU,11,0)),"",VLOOKUP($A7,ESPNData!$AH:$AU,11,0))</f>
        <v>100</v>
      </c>
      <c r="L7" s="33">
        <f>IF(ISERROR(VLOOKUP($A7,ESPNData!$AH:$AU,12,0)),"",VLOOKUP($A7,ESPNData!$AH:$AU,12,0))</f>
        <v>1327</v>
      </c>
      <c r="M7" s="64">
        <f>IF(ISERROR(VLOOKUP($A7,ESPNData!$AH:$AU,13,0)),"",VLOOKUP($A7,ESPNData!$AH:$AU,13,0))</f>
        <v>12</v>
      </c>
      <c r="N7" s="117">
        <f>IF(OR(($A7=Settings!$A$31),($A7=Settings!$A$32),ISERROR(VLOOKUP($B7,SportslineData!$AD:$AK,3,0))),"",ROUND(VLOOKUP($B7,SportslineData!$AD:$AK,3,0),0))</f>
        <v>97</v>
      </c>
      <c r="O7" s="33">
        <f>IF(OR(($A7=Settings!$A$31),($A7=Settings!$A$32),ISERROR(VLOOKUP($B7,SportslineData!$AD:$AK,4,0))),"",VLOOKUP($B7,SportslineData!$AD:$AK,4,0))</f>
        <v>1354</v>
      </c>
      <c r="P7" s="33">
        <f>IF(OR(($A7=Settings!$A$31),($A7=Settings!$A$32),ISERROR(VLOOKUP($B7,SportslineData!$AD:$AK,6,0))),"",ROUND(VLOOKUP($B7,SportslineData!$AD:$AK,6,0),0))</f>
        <v>12</v>
      </c>
      <c r="Q7" s="64">
        <f>IF(OR(($A7=Settings!$A$31),($A7=Settings!$A$32),ISERROR(VLOOKUP($B7,SportslineData!$AD:$AK,7,0))),"",ROUND(VLOOKUP($B7,SportslineData!$AD:$AK,7,0),0))</f>
        <v>1</v>
      </c>
      <c r="R7" s="117"/>
      <c r="S7" s="33"/>
      <c r="T7" s="38">
        <f>IF(ISERROR(ROUND((((((ROUNDDOWN((D7/5),0)*Settings!$F$7)+(E7*Settings!$I$7))+(F7*Settings!$I$11))+(ROUNDDOWN((G7/5),0)*Settings!$F$11))+(H7*Settings!$F$12)),1)),0,ROUND((((((ROUNDDOWN((D7/5),0)*Settings!$F$7)+(E7*Settings!$I$7))+(F7*Settings!$I$11))+(ROUNDDOWN((G7/5),0)*Settings!$F$11))+(H7*Settings!$F$12)),1))</f>
        <v>239</v>
      </c>
      <c r="U7" s="38">
        <f>IF(ISERROR(ROUND((((((ROUNDDOWN((I7/5),0)*Settings!$F$7)+(J7*Settings!$I$7))+(K7*Settings!$I$11))+(ROUNDDOWN((L7/5),0)*Settings!$F$11))+(M7*Settings!$F$12)),1)),0,ROUND((((((ROUNDDOWN((I7/5),0)*Settings!$F$7)+(J7*Settings!$I$7))+(K7*Settings!$I$11))+(ROUNDDOWN((L7/5),0)*Settings!$F$11))+(M7*Settings!$F$12)),1))</f>
        <v>255</v>
      </c>
      <c r="V7" s="38">
        <f>IF((N7=""),0,((((N7*Settings!$I$11)+(ROUND((O7/5),0)*Settings!$F$11))+(P7*Settings!$F$12))+(Q7*Settings!$F$15)))</f>
        <v>255</v>
      </c>
      <c r="W7" s="66">
        <f>ROUND((((T7*Settings!$B$21)+(U7*Settings!$B$22))+(V7*Settings!$B$23)),1)</f>
        <v>249.7</v>
      </c>
      <c r="X7" s="66">
        <f>IF(ISERROR(VLOOKUP(RANK(W7,W$4:W$182),X$4:X6,1,0)),RANK(W7,W$4:W$182),IF(ISERROR(VLOOKUP((RANK(W7,W$4:W$182)+1),X$4:X6,1,0)),(RANK(W7,W$4:W$182)+1),IF(ISERROR(VLOOKUP((RANK(W7,W$4:W$182)+2),X$4:X6,1,0)),(RANK(W7,W$4:W$182)+2),(RANK(W7,W$4:W$182)+3))))</f>
        <v>3</v>
      </c>
      <c r="Y7" t="str">
        <f t="shared" si="2"/>
        <v>Dez Bryant</v>
      </c>
    </row>
    <row r="8" spans="1:25" ht="12.75" customHeight="1">
      <c r="A8" s="33" t="str">
        <f>ESPNData!AH7</f>
        <v>Brandon Marshall, Chi WR</v>
      </c>
      <c r="B8" s="33" t="str">
        <f t="shared" si="0"/>
        <v>Brandon Marshall</v>
      </c>
      <c r="C8" s="64" t="str">
        <f t="shared" si="1"/>
        <v>CHI</v>
      </c>
      <c r="D8" s="117">
        <f>IF(OR(($A8=Settings!$A$31),($A8=Settings!$A$32),ISERROR(VLOOKUP($B8,FFTodayData!$AB:$AK,8,0))),"",VLOOKUP($B8,FFTodayData!$AB:$AK,8,0))</f>
        <v>0</v>
      </c>
      <c r="E8" s="33">
        <f>IF(OR(($A8=Settings!$A$31),($A8=Settings!$A$32),ISERROR(VLOOKUP($B8,FFTodayData!$AB:$AK,9,0))),"",VLOOKUP($B8,FFTodayData!$AB:$AK,9,0))</f>
        <v>0</v>
      </c>
      <c r="F8" s="33">
        <f>IF(OR(($A8=Settings!$A$31),($A8=Settings!$A$32),ISERROR(VLOOKUP($B8,FFTodayData!$AB:$AK,4,0))),"",VLOOKUP($B8,FFTodayData!$AB:$AK,4,0))</f>
        <v>91</v>
      </c>
      <c r="G8" s="33">
        <f>IF(OR(($A8=Settings!$A$31),($A8=Settings!$A$32),ISERROR(VLOOKUP($B8,FFTodayData!$AB:$AK,5,0))),"",VLOOKUP($B8,FFTodayData!$AB:$AK,5,0))</f>
        <v>1174</v>
      </c>
      <c r="H8" s="64">
        <f>IF(OR(($A8=Settings!$A$31),($A8=Settings!$A$32),ISERROR(VLOOKUP($B8,FFTodayData!$AB:$AK,6,0))),"",VLOOKUP($B8,FFTodayData!$AB:$AK,6,0))</f>
        <v>10</v>
      </c>
      <c r="I8" s="117">
        <f>IF(ISERROR(VLOOKUP($A8,ESPNData!$AH:$AU,9,0)),"",VLOOKUP($A8,ESPNData!$AH:$AU,9,0))</f>
        <v>0</v>
      </c>
      <c r="J8" s="33">
        <f>IF(ISERROR(VLOOKUP($A8,ESPNData!$AH:$AU,10,0)),"",VLOOKUP($A8,ESPNData!$AH:$AU,10,0))</f>
        <v>0</v>
      </c>
      <c r="K8" s="33">
        <f>IF(ISERROR(VLOOKUP($A8,ESPNData!$AH:$AU,11,0)),"",VLOOKUP($A8,ESPNData!$AH:$AU,11,0))</f>
        <v>95</v>
      </c>
      <c r="L8" s="33">
        <f>IF(ISERROR(VLOOKUP($A8,ESPNData!$AH:$AU,12,0)),"",VLOOKUP($A8,ESPNData!$AH:$AU,12,0))</f>
        <v>1230</v>
      </c>
      <c r="M8" s="64">
        <f>IF(ISERROR(VLOOKUP($A8,ESPNData!$AH:$AU,13,0)),"",VLOOKUP($A8,ESPNData!$AH:$AU,13,0))</f>
        <v>12</v>
      </c>
      <c r="N8" s="117">
        <f>IF(OR(($A8=Settings!$A$31),($A8=Settings!$A$32),ISERROR(VLOOKUP($B8,SportslineData!$AD:$AK,3,0))),"",ROUND(VLOOKUP($B8,SportslineData!$AD:$AK,3,0),0))</f>
        <v>106</v>
      </c>
      <c r="O8" s="33">
        <f>IF(OR(($A8=Settings!$A$31),($A8=Settings!$A$32),ISERROR(VLOOKUP($B8,SportslineData!$AD:$AK,4,0))),"",VLOOKUP($B8,SportslineData!$AD:$AK,4,0))</f>
        <v>1290.5</v>
      </c>
      <c r="P8" s="33">
        <f>IF(OR(($A8=Settings!$A$31),($A8=Settings!$A$32),ISERROR(VLOOKUP($B8,SportslineData!$AD:$AK,6,0))),"",ROUND(VLOOKUP($B8,SportslineData!$AD:$AK,6,0),0))</f>
        <v>11</v>
      </c>
      <c r="Q8" s="64">
        <f>IF(OR(($A8=Settings!$A$31),($A8=Settings!$A$32),ISERROR(VLOOKUP($B8,SportslineData!$AD:$AK,7,0))),"",ROUND(VLOOKUP($B8,SportslineData!$AD:$AK,7,0),0))</f>
        <v>0</v>
      </c>
      <c r="R8" s="117"/>
      <c r="S8" s="33"/>
      <c r="T8" s="38">
        <f>IF(ISERROR(ROUND((((((ROUNDDOWN((D8/5),0)*Settings!$F$7)+(E8*Settings!$I$7))+(F8*Settings!$I$11))+(ROUNDDOWN((G8/5),0)*Settings!$F$11))+(H8*Settings!$F$12)),1)),0,ROUND((((((ROUNDDOWN((D8/5),0)*Settings!$F$7)+(E8*Settings!$I$7))+(F8*Settings!$I$11))+(ROUNDDOWN((G8/5),0)*Settings!$F$11))+(H8*Settings!$F$12)),1))</f>
        <v>222.5</v>
      </c>
      <c r="U8" s="38">
        <f>IF(ISERROR(ROUND((((((ROUNDDOWN((I8/5),0)*Settings!$F$7)+(J8*Settings!$I$7))+(K8*Settings!$I$11))+(ROUNDDOWN((L8/5),0)*Settings!$F$11))+(M8*Settings!$F$12)),1)),0,ROUND((((((ROUNDDOWN((I8/5),0)*Settings!$F$7)+(J8*Settings!$I$7))+(K8*Settings!$I$11))+(ROUNDDOWN((L8/5),0)*Settings!$F$11))+(M8*Settings!$F$12)),1))</f>
        <v>242.5</v>
      </c>
      <c r="V8" s="38">
        <f>IF((N8=""),0,((((N8*Settings!$I$11)+(ROUND((O8/5),0)*Settings!$F$11))+(P8*Settings!$F$12))+(Q8*Settings!$F$15)))</f>
        <v>248</v>
      </c>
      <c r="W8" s="66">
        <f>ROUND((((T8*Settings!$B$21)+(U8*Settings!$B$22))+(V8*Settings!$B$23)),1)</f>
        <v>237.8</v>
      </c>
      <c r="X8" s="66">
        <f>IF(ISERROR(VLOOKUP(RANK(W8,W$4:W$182),X$4:X7,1,0)),RANK(W8,W$4:W$182),IF(ISERROR(VLOOKUP((RANK(W8,W$4:W$182)+1),X$4:X7,1,0)),(RANK(W8,W$4:W$182)+1),IF(ISERROR(VLOOKUP((RANK(W8,W$4:W$182)+2),X$4:X7,1,0)),(RANK(W8,W$4:W$182)+2),(RANK(W8,W$4:W$182)+3))))</f>
        <v>7</v>
      </c>
      <c r="Y8" t="str">
        <f t="shared" si="2"/>
        <v>Brandon Marshall</v>
      </c>
    </row>
    <row r="9" spans="1:25" ht="12.75" customHeight="1">
      <c r="A9" s="33" t="str">
        <f>ESPNData!AH8</f>
        <v>Julio Jones, Atl WR  P</v>
      </c>
      <c r="B9" s="33" t="str">
        <f t="shared" si="0"/>
        <v>Julio Jones</v>
      </c>
      <c r="C9" s="64" t="str">
        <f t="shared" si="1"/>
        <v>ATL</v>
      </c>
      <c r="D9" s="117">
        <f>IF(OR(($A9=Settings!$A$31),($A9=Settings!$A$32),ISERROR(VLOOKUP($B9,FFTodayData!$AB:$AK,8,0))),"",VLOOKUP($B9,FFTodayData!$AB:$AK,8,0))</f>
        <v>52</v>
      </c>
      <c r="E9" s="33">
        <f>IF(OR(($A9=Settings!$A$31),($A9=Settings!$A$32),ISERROR(VLOOKUP($B9,FFTodayData!$AB:$AK,9,0))),"",VLOOKUP($B9,FFTodayData!$AB:$AK,9,0))</f>
        <v>0</v>
      </c>
      <c r="F9" s="33">
        <f>IF(OR(($A9=Settings!$A$31),($A9=Settings!$A$32),ISERROR(VLOOKUP($B9,FFTodayData!$AB:$AK,4,0))),"",VLOOKUP($B9,FFTodayData!$AB:$AK,4,0))</f>
        <v>93</v>
      </c>
      <c r="G9" s="33">
        <f>IF(OR(($A9=Settings!$A$31),($A9=Settings!$A$32),ISERROR(VLOOKUP($B9,FFTodayData!$AB:$AK,5,0))),"",VLOOKUP($B9,FFTodayData!$AB:$AK,5,0))</f>
        <v>1429</v>
      </c>
      <c r="H9" s="64">
        <f>IF(OR(($A9=Settings!$A$31),($A9=Settings!$A$32),ISERROR(VLOOKUP($B9,FFTodayData!$AB:$AK,6,0))),"",VLOOKUP($B9,FFTodayData!$AB:$AK,6,0))</f>
        <v>10</v>
      </c>
      <c r="I9" s="117">
        <f>IF(ISERROR(VLOOKUP($A9,ESPNData!$AH:$AU,9,0)),"",VLOOKUP($A9,ESPNData!$AH:$AU,9,0))</f>
        <v>19</v>
      </c>
      <c r="J9" s="33">
        <f>IF(ISERROR(VLOOKUP($A9,ESPNData!$AH:$AU,10,0)),"",VLOOKUP($A9,ESPNData!$AH:$AU,10,0))</f>
        <v>0</v>
      </c>
      <c r="K9" s="33">
        <f>IF(ISERROR(VLOOKUP($A9,ESPNData!$AH:$AU,11,0)),"",VLOOKUP($A9,ESPNData!$AH:$AU,11,0))</f>
        <v>97</v>
      </c>
      <c r="L9" s="33">
        <f>IF(ISERROR(VLOOKUP($A9,ESPNData!$AH:$AU,12,0)),"",VLOOKUP($A9,ESPNData!$AH:$AU,12,0))</f>
        <v>1387</v>
      </c>
      <c r="M9" s="64">
        <f>IF(ISERROR(VLOOKUP($A9,ESPNData!$AH:$AU,13,0)),"",VLOOKUP($A9,ESPNData!$AH:$AU,13,0))</f>
        <v>9</v>
      </c>
      <c r="N9" s="117">
        <f>IF(OR(($A9=Settings!$A$31),($A9=Settings!$A$32),ISERROR(VLOOKUP($B9,SportslineData!$AD:$AK,3,0))),"",ROUND(VLOOKUP($B9,SportslineData!$AD:$AK,3,0),0))</f>
        <v>91</v>
      </c>
      <c r="O9" s="33">
        <f>IF(OR(($A9=Settings!$A$31),($A9=Settings!$A$32),ISERROR(VLOOKUP($B9,SportslineData!$AD:$AK,4,0))),"",VLOOKUP($B9,SportslineData!$AD:$AK,4,0))</f>
        <v>1357.5</v>
      </c>
      <c r="P9" s="33">
        <f>IF(OR(($A9=Settings!$A$31),($A9=Settings!$A$32),ISERROR(VLOOKUP($B9,SportslineData!$AD:$AK,6,0))),"",ROUND(VLOOKUP($B9,SportslineData!$AD:$AK,6,0),0))</f>
        <v>11</v>
      </c>
      <c r="Q9" s="64">
        <f>IF(OR(($A9=Settings!$A$31),($A9=Settings!$A$32),ISERROR(VLOOKUP($B9,SportslineData!$AD:$AK,7,0))),"",ROUND(VLOOKUP($B9,SportslineData!$AD:$AK,7,0),0))</f>
        <v>1</v>
      </c>
      <c r="R9" s="117"/>
      <c r="S9" s="33"/>
      <c r="T9" s="38">
        <f>IF(ISERROR(ROUND((((((ROUNDDOWN((D9/5),0)*Settings!$F$7)+(E9*Settings!$I$7))+(F9*Settings!$I$11))+(ROUNDDOWN((G9/5),0)*Settings!$F$11))+(H9*Settings!$F$12)),1)),0,ROUND((((((ROUNDDOWN((D9/5),0)*Settings!$F$7)+(E9*Settings!$I$7))+(F9*Settings!$I$11))+(ROUNDDOWN((G9/5),0)*Settings!$F$11))+(H9*Settings!$F$12)),1))</f>
        <v>254</v>
      </c>
      <c r="U9" s="38">
        <f>IF(ISERROR(ROUND((((((ROUNDDOWN((I9/5),0)*Settings!$F$7)+(J9*Settings!$I$7))+(K9*Settings!$I$11))+(ROUNDDOWN((L9/5),0)*Settings!$F$11))+(M9*Settings!$F$12)),1)),0,ROUND((((((ROUNDDOWN((I9/5),0)*Settings!$F$7)+(J9*Settings!$I$7))+(K9*Settings!$I$11))+(ROUNDDOWN((L9/5),0)*Settings!$F$11))+(M9*Settings!$F$12)),1))</f>
        <v>242.5</v>
      </c>
      <c r="V9" s="38">
        <f>IF((N9=""),0,((((N9*Settings!$I$11)+(ROUND((O9/5),0)*Settings!$F$11))+(P9*Settings!$F$12))+(Q9*Settings!$F$15)))</f>
        <v>246.5</v>
      </c>
      <c r="W9" s="66">
        <f>ROUND((((T9*Settings!$B$21)+(U9*Settings!$B$22))+(V9*Settings!$B$23)),1)</f>
        <v>247.7</v>
      </c>
      <c r="X9" s="66">
        <f>IF(ISERROR(VLOOKUP(RANK(W9,W$4:W$182),X$4:X8,1,0)),RANK(W9,W$4:W$182),IF(ISERROR(VLOOKUP((RANK(W9,W$4:W$182)+1),X$4:X8,1,0)),(RANK(W9,W$4:W$182)+1),IF(ISERROR(VLOOKUP((RANK(W9,W$4:W$182)+2),X$4:X8,1,0)),(RANK(W9,W$4:W$182)+2),(RANK(W9,W$4:W$182)+3))))</f>
        <v>4</v>
      </c>
      <c r="Y9" t="str">
        <f t="shared" si="2"/>
        <v>Julio Jones</v>
      </c>
    </row>
    <row r="10" spans="1:25" ht="12.75" customHeight="1">
      <c r="A10" s="33" t="str">
        <f>ESPNData!AH9</f>
        <v>Jordy Nelson, GB WR</v>
      </c>
      <c r="B10" s="33" t="str">
        <f t="shared" si="0"/>
        <v>Jordy Nelson</v>
      </c>
      <c r="C10" s="64" t="str">
        <f t="shared" si="1"/>
        <v>GB</v>
      </c>
      <c r="D10" s="117">
        <f>IF(OR(($A10=Settings!$A$31),($A10=Settings!$A$32),ISERROR(VLOOKUP($B10,FFTodayData!$AB:$AK,8,0))),"",VLOOKUP($B10,FFTodayData!$AB:$AK,8,0))</f>
        <v>0</v>
      </c>
      <c r="E10" s="33">
        <f>IF(OR(($A10=Settings!$A$31),($A10=Settings!$A$32),ISERROR(VLOOKUP($B10,FFTodayData!$AB:$AK,9,0))),"",VLOOKUP($B10,FFTodayData!$AB:$AK,9,0))</f>
        <v>0</v>
      </c>
      <c r="F10" s="33">
        <f>IF(OR(($A10=Settings!$A$31),($A10=Settings!$A$32),ISERROR(VLOOKUP($B10,FFTodayData!$AB:$AK,4,0))),"",VLOOKUP($B10,FFTodayData!$AB:$AK,4,0))</f>
        <v>78</v>
      </c>
      <c r="G10" s="33">
        <f>IF(OR(($A10=Settings!$A$31),($A10=Settings!$A$32),ISERROR(VLOOKUP($B10,FFTodayData!$AB:$AK,5,0))),"",VLOOKUP($B10,FFTodayData!$AB:$AK,5,0))</f>
        <v>1159</v>
      </c>
      <c r="H10" s="64">
        <f>IF(OR(($A10=Settings!$A$31),($A10=Settings!$A$32),ISERROR(VLOOKUP($B10,FFTodayData!$AB:$AK,6,0))),"",VLOOKUP($B10,FFTodayData!$AB:$AK,6,0))</f>
        <v>9</v>
      </c>
      <c r="I10" s="117">
        <f>IF(ISERROR(VLOOKUP($A10,ESPNData!$AH:$AU,9,0)),"",VLOOKUP($A10,ESPNData!$AH:$AU,9,0))</f>
        <v>0</v>
      </c>
      <c r="J10" s="33">
        <f>IF(ISERROR(VLOOKUP($A10,ESPNData!$AH:$AU,10,0)),"",VLOOKUP($A10,ESPNData!$AH:$AU,10,0))</f>
        <v>0</v>
      </c>
      <c r="K10" s="33">
        <f>IF(ISERROR(VLOOKUP($A10,ESPNData!$AH:$AU,11,0)),"",VLOOKUP($A10,ESPNData!$AH:$AU,11,0))</f>
        <v>82</v>
      </c>
      <c r="L10" s="33">
        <f>IF(ISERROR(VLOOKUP($A10,ESPNData!$AH:$AU,12,0)),"",VLOOKUP($A10,ESPNData!$AH:$AU,12,0))</f>
        <v>1286</v>
      </c>
      <c r="M10" s="64">
        <f>IF(ISERROR(VLOOKUP($A10,ESPNData!$AH:$AU,13,0)),"",VLOOKUP($A10,ESPNData!$AH:$AU,13,0))</f>
        <v>10</v>
      </c>
      <c r="N10" s="117">
        <f>IF(OR(($A10=Settings!$A$31),($A10=Settings!$A$32),ISERROR(VLOOKUP($B10,SportslineData!$AD:$AK,3,0))),"",ROUND(VLOOKUP($B10,SportslineData!$AD:$AK,3,0),0))</f>
        <v>80</v>
      </c>
      <c r="O10" s="33">
        <f>IF(OR(($A10=Settings!$A$31),($A10=Settings!$A$32),ISERROR(VLOOKUP($B10,SportslineData!$AD:$AK,4,0))),"",VLOOKUP($B10,SportslineData!$AD:$AK,4,0))</f>
        <v>1276</v>
      </c>
      <c r="P10" s="33">
        <f>IF(OR(($A10=Settings!$A$31),($A10=Settings!$A$32),ISERROR(VLOOKUP($B10,SportslineData!$AD:$AK,6,0))),"",ROUND(VLOOKUP($B10,SportslineData!$AD:$AK,6,0),0))</f>
        <v>11</v>
      </c>
      <c r="Q10" s="64">
        <f>IF(OR(($A10=Settings!$A$31),($A10=Settings!$A$32),ISERROR(VLOOKUP($B10,SportslineData!$AD:$AK,7,0))),"",ROUND(VLOOKUP($B10,SportslineData!$AD:$AK,7,0),0))</f>
        <v>1</v>
      </c>
      <c r="R10" s="117"/>
      <c r="S10" s="33"/>
      <c r="T10" s="38">
        <f>IF(ISERROR(ROUND((((((ROUNDDOWN((D10/5),0)*Settings!$F$7)+(E10*Settings!$I$7))+(F10*Settings!$I$11))+(ROUNDDOWN((G10/5),0)*Settings!$F$11))+(H10*Settings!$F$12)),1)),0,ROUND((((((ROUNDDOWN((D10/5),0)*Settings!$F$7)+(E10*Settings!$I$7))+(F10*Settings!$I$11))+(ROUNDDOWN((G10/5),0)*Settings!$F$11))+(H10*Settings!$F$12)),1))</f>
        <v>208.5</v>
      </c>
      <c r="U10" s="38">
        <f>IF(ISERROR(ROUND((((((ROUNDDOWN((I10/5),0)*Settings!$F$7)+(J10*Settings!$I$7))+(K10*Settings!$I$11))+(ROUNDDOWN((L10/5),0)*Settings!$F$11))+(M10*Settings!$F$12)),1)),0,ROUND((((((ROUNDDOWN((I10/5),0)*Settings!$F$7)+(J10*Settings!$I$7))+(K10*Settings!$I$11))+(ROUNDDOWN((L10/5),0)*Settings!$F$11))+(M10*Settings!$F$12)),1))</f>
        <v>229.5</v>
      </c>
      <c r="V10" s="38">
        <f>IF((N10=""),0,((((N10*Settings!$I$11)+(ROUND((O10/5),0)*Settings!$F$11))+(P10*Settings!$F$12))+(Q10*Settings!$F$15)))</f>
        <v>232.5</v>
      </c>
      <c r="W10" s="66">
        <f>ROUND((((T10*Settings!$B$21)+(U10*Settings!$B$22))+(V10*Settings!$B$23)),1)</f>
        <v>223.6</v>
      </c>
      <c r="X10" s="66">
        <f>IF(ISERROR(VLOOKUP(RANK(W10,W$4:W$182),X$4:X9,1,0)),RANK(W10,W$4:W$182),IF(ISERROR(VLOOKUP((RANK(W10,W$4:W$182)+1),X$4:X9,1,0)),(RANK(W10,W$4:W$182)+1),IF(ISERROR(VLOOKUP((RANK(W10,W$4:W$182)+2),X$4:X9,1,0)),(RANK(W10,W$4:W$182)+2),(RANK(W10,W$4:W$182)+3))))</f>
        <v>8</v>
      </c>
      <c r="Y10" t="str">
        <f t="shared" si="2"/>
        <v>Jordy Nelson</v>
      </c>
    </row>
    <row r="11" spans="1:25" ht="12.75" customHeight="1">
      <c r="A11" s="33" t="str">
        <f>ESPNData!AH10</f>
        <v>Alshon Jeffery, Chi WR</v>
      </c>
      <c r="B11" s="33" t="str">
        <f t="shared" si="0"/>
        <v>Alshon Jeffery</v>
      </c>
      <c r="C11" s="64" t="str">
        <f t="shared" si="1"/>
        <v>CHI</v>
      </c>
      <c r="D11" s="117">
        <f>IF(OR(($A11=Settings!$A$31),($A11=Settings!$A$32),ISERROR(VLOOKUP($B11,FFTodayData!$AB:$AK,8,0))),"",VLOOKUP($B11,FFTodayData!$AB:$AK,8,0))</f>
        <v>77</v>
      </c>
      <c r="E11" s="33">
        <f>IF(OR(($A11=Settings!$A$31),($A11=Settings!$A$32),ISERROR(VLOOKUP($B11,FFTodayData!$AB:$AK,9,0))),"",VLOOKUP($B11,FFTodayData!$AB:$AK,9,0))</f>
        <v>0</v>
      </c>
      <c r="F11" s="33">
        <f>IF(OR(($A11=Settings!$A$31),($A11=Settings!$A$32),ISERROR(VLOOKUP($B11,FFTodayData!$AB:$AK,4,0))),"",VLOOKUP($B11,FFTodayData!$AB:$AK,4,0))</f>
        <v>79</v>
      </c>
      <c r="G11" s="33">
        <f>IF(OR(($A11=Settings!$A$31),($A11=Settings!$A$32),ISERROR(VLOOKUP($B11,FFTodayData!$AB:$AK,5,0))),"",VLOOKUP($B11,FFTodayData!$AB:$AK,5,0))</f>
        <v>1197</v>
      </c>
      <c r="H11" s="64">
        <f>IF(OR(($A11=Settings!$A$31),($A11=Settings!$A$32),ISERROR(VLOOKUP($B11,FFTodayData!$AB:$AK,6,0))),"",VLOOKUP($B11,FFTodayData!$AB:$AK,6,0))</f>
        <v>8</v>
      </c>
      <c r="I11" s="117">
        <f>IF(ISERROR(VLOOKUP($A11,ESPNData!$AH:$AU,9,0)),"",VLOOKUP($A11,ESPNData!$AH:$AU,9,0))</f>
        <v>85</v>
      </c>
      <c r="J11" s="33">
        <f>IF(ISERROR(VLOOKUP($A11,ESPNData!$AH:$AU,10,0)),"",VLOOKUP($A11,ESPNData!$AH:$AU,10,0))</f>
        <v>1</v>
      </c>
      <c r="K11" s="33">
        <f>IF(ISERROR(VLOOKUP($A11,ESPNData!$AH:$AU,11,0)),"",VLOOKUP($A11,ESPNData!$AH:$AU,11,0))</f>
        <v>85</v>
      </c>
      <c r="L11" s="33">
        <f>IF(ISERROR(VLOOKUP($A11,ESPNData!$AH:$AU,12,0)),"",VLOOKUP($A11,ESPNData!$AH:$AU,12,0))</f>
        <v>1284</v>
      </c>
      <c r="M11" s="64">
        <f>IF(ISERROR(VLOOKUP($A11,ESPNData!$AH:$AU,13,0)),"",VLOOKUP($A11,ESPNData!$AH:$AU,13,0))</f>
        <v>8</v>
      </c>
      <c r="N11" s="117">
        <f>IF(OR(($A11=Settings!$A$31),($A11=Settings!$A$32),ISERROR(VLOOKUP($B11,SportslineData!$AD:$AK,3,0))),"",ROUND(VLOOKUP($B11,SportslineData!$AD:$AK,3,0),0))</f>
        <v>83</v>
      </c>
      <c r="O11" s="33">
        <f>IF(OR(($A11=Settings!$A$31),($A11=Settings!$A$32),ISERROR(VLOOKUP($B11,SportslineData!$AD:$AK,4,0))),"",VLOOKUP($B11,SportslineData!$AD:$AK,4,0))</f>
        <v>1300.5</v>
      </c>
      <c r="P11" s="33">
        <f>IF(OR(($A11=Settings!$A$31),($A11=Settings!$A$32),ISERROR(VLOOKUP($B11,SportslineData!$AD:$AK,6,0))),"",ROUND(VLOOKUP($B11,SportslineData!$AD:$AK,6,0),0))</f>
        <v>8</v>
      </c>
      <c r="Q11" s="64">
        <f>IF(OR(($A11=Settings!$A$31),($A11=Settings!$A$32),ISERROR(VLOOKUP($B11,SportslineData!$AD:$AK,7,0))),"",ROUND(VLOOKUP($B11,SportslineData!$AD:$AK,7,0),0))</f>
        <v>1</v>
      </c>
      <c r="R11" s="117"/>
      <c r="S11" s="33"/>
      <c r="T11" s="38">
        <f>IF(ISERROR(ROUND((((((ROUNDDOWN((D11/5),0)*Settings!$F$7)+(E11*Settings!$I$7))+(F11*Settings!$I$11))+(ROUNDDOWN((G11/5),0)*Settings!$F$11))+(H11*Settings!$F$12)),1)),0,ROUND((((((ROUNDDOWN((D11/5),0)*Settings!$F$7)+(E11*Settings!$I$7))+(F11*Settings!$I$11))+(ROUNDDOWN((G11/5),0)*Settings!$F$11))+(H11*Settings!$F$12)),1))</f>
        <v>214.5</v>
      </c>
      <c r="U11" s="38">
        <f>IF(ISERROR(ROUND((((((ROUNDDOWN((I11/5),0)*Settings!$F$7)+(J11*Settings!$I$7))+(K11*Settings!$I$11))+(ROUNDDOWN((L11/5),0)*Settings!$F$11))+(M11*Settings!$F$12)),1)),0,ROUND((((((ROUNDDOWN((I11/5),0)*Settings!$F$7)+(J11*Settings!$I$7))+(K11*Settings!$I$11))+(ROUNDDOWN((L11/5),0)*Settings!$F$11))+(M11*Settings!$F$12)),1))</f>
        <v>233</v>
      </c>
      <c r="V11" s="38">
        <f>IF((N11=""),0,((((N11*Settings!$I$11)+(ROUND((O11/5),0)*Settings!$F$11))+(P11*Settings!$F$12))+(Q11*Settings!$F$15)))</f>
        <v>218.5</v>
      </c>
      <c r="W11" s="66">
        <f>ROUND((((T11*Settings!$B$21)+(U11*Settings!$B$22))+(V11*Settings!$B$23)),1)</f>
        <v>222</v>
      </c>
      <c r="X11" s="66">
        <f>IF(ISERROR(VLOOKUP(RANK(W11,W$4:W$182),X$4:X10,1,0)),RANK(W11,W$4:W$182),IF(ISERROR(VLOOKUP((RANK(W11,W$4:W$182)+1),X$4:X10,1,0)),(RANK(W11,W$4:W$182)+1),IF(ISERROR(VLOOKUP((RANK(W11,W$4:W$182)+2),X$4:X10,1,0)),(RANK(W11,W$4:W$182)+2),(RANK(W11,W$4:W$182)+3))))</f>
        <v>9</v>
      </c>
      <c r="Y11" t="str">
        <f t="shared" si="2"/>
        <v>Alshon Jeffery</v>
      </c>
    </row>
    <row r="12" spans="1:25" ht="12.75" customHeight="1">
      <c r="A12" s="33" t="str">
        <f>ESPNData!AH11</f>
        <v>Antonio Brown, Pit WR</v>
      </c>
      <c r="B12" s="33" t="str">
        <f t="shared" si="0"/>
        <v>Antonio Brown</v>
      </c>
      <c r="C12" s="64" t="str">
        <f t="shared" si="1"/>
        <v>PIT</v>
      </c>
      <c r="D12" s="117">
        <f>IF(OR(($A12=Settings!$A$31),($A12=Settings!$A$32),ISERROR(VLOOKUP($B12,FFTodayData!$AB:$AK,8,0))),"",VLOOKUP($B12,FFTodayData!$AB:$AK,8,0))</f>
        <v>34</v>
      </c>
      <c r="E12" s="33">
        <f>IF(OR(($A12=Settings!$A$31),($A12=Settings!$A$32),ISERROR(VLOOKUP($B12,FFTodayData!$AB:$AK,9,0))),"",VLOOKUP($B12,FFTodayData!$AB:$AK,9,0))</f>
        <v>0</v>
      </c>
      <c r="F12" s="33">
        <f>IF(OR(($A12=Settings!$A$31),($A12=Settings!$A$32),ISERROR(VLOOKUP($B12,FFTodayData!$AB:$AK,4,0))),"",VLOOKUP($B12,FFTodayData!$AB:$AK,4,0))</f>
        <v>101</v>
      </c>
      <c r="G12" s="33">
        <f>IF(OR(($A12=Settings!$A$31),($A12=Settings!$A$32),ISERROR(VLOOKUP($B12,FFTodayData!$AB:$AK,5,0))),"",VLOOKUP($B12,FFTodayData!$AB:$AK,5,0))</f>
        <v>1362</v>
      </c>
      <c r="H12" s="64">
        <f>IF(OR(($A12=Settings!$A$31),($A12=Settings!$A$32),ISERROR(VLOOKUP($B12,FFTodayData!$AB:$AK,6,0))),"",VLOOKUP($B12,FFTodayData!$AB:$AK,6,0))</f>
        <v>8</v>
      </c>
      <c r="I12" s="117">
        <f>IF(ISERROR(VLOOKUP($A12,ESPNData!$AH:$AU,9,0)),"",VLOOKUP($A12,ESPNData!$AH:$AU,9,0))</f>
        <v>47</v>
      </c>
      <c r="J12" s="33">
        <f>IF(ISERROR(VLOOKUP($A12,ESPNData!$AH:$AU,10,0)),"",VLOOKUP($A12,ESPNData!$AH:$AU,10,0))</f>
        <v>0</v>
      </c>
      <c r="K12" s="33">
        <f>IF(ISERROR(VLOOKUP($A12,ESPNData!$AH:$AU,11,0)),"",VLOOKUP($A12,ESPNData!$AH:$AU,11,0))</f>
        <v>109</v>
      </c>
      <c r="L12" s="33">
        <f>IF(ISERROR(VLOOKUP($A12,ESPNData!$AH:$AU,12,0)),"",VLOOKUP($A12,ESPNData!$AH:$AU,12,0))</f>
        <v>1435</v>
      </c>
      <c r="M12" s="64">
        <f>IF(ISERROR(VLOOKUP($A12,ESPNData!$AH:$AU,13,0)),"",VLOOKUP($A12,ESPNData!$AH:$AU,13,0))</f>
        <v>7</v>
      </c>
      <c r="N12" s="117">
        <f>IF(OR(($A12=Settings!$A$31),($A12=Settings!$A$32),ISERROR(VLOOKUP($B12,SportslineData!$AD:$AK,3,0))),"",ROUND(VLOOKUP($B12,SportslineData!$AD:$AK,3,0),0))</f>
        <v>103</v>
      </c>
      <c r="O12" s="33">
        <f>IF(OR(($A12=Settings!$A$31),($A12=Settings!$A$32),ISERROR(VLOOKUP($B12,SportslineData!$AD:$AK,4,0))),"",VLOOKUP($B12,SportslineData!$AD:$AK,4,0))</f>
        <v>1345</v>
      </c>
      <c r="P12" s="33">
        <f>IF(OR(($A12=Settings!$A$31),($A12=Settings!$A$32),ISERROR(VLOOKUP($B12,SportslineData!$AD:$AK,6,0))),"",ROUND(VLOOKUP($B12,SportslineData!$AD:$AK,6,0),0))</f>
        <v>8</v>
      </c>
      <c r="Q12" s="64">
        <f>IF(OR(($A12=Settings!$A$31),($A12=Settings!$A$32),ISERROR(VLOOKUP($B12,SportslineData!$AD:$AK,7,0))),"",ROUND(VLOOKUP($B12,SportslineData!$AD:$AK,7,0),0))</f>
        <v>1</v>
      </c>
      <c r="R12" s="117"/>
      <c r="S12" s="33"/>
      <c r="T12" s="38">
        <f>IF(ISERROR(ROUND((((((ROUNDDOWN((D12/5),0)*Settings!$F$7)+(E12*Settings!$I$7))+(F12*Settings!$I$11))+(ROUNDDOWN((G12/5),0)*Settings!$F$11))+(H12*Settings!$F$12)),1)),0,ROUND((((((ROUNDDOWN((D12/5),0)*Settings!$F$7)+(E12*Settings!$I$7))+(F12*Settings!$I$11))+(ROUNDDOWN((G12/5),0)*Settings!$F$11))+(H12*Settings!$F$12)),1))</f>
        <v>237.5</v>
      </c>
      <c r="U12" s="38">
        <f>IF(ISERROR(ROUND((((((ROUNDDOWN((I12/5),0)*Settings!$F$7)+(J12*Settings!$I$7))+(K12*Settings!$I$11))+(ROUNDDOWN((L12/5),0)*Settings!$F$11))+(M12*Settings!$F$12)),1)),0,ROUND((((((ROUNDDOWN((I12/5),0)*Settings!$F$7)+(J12*Settings!$I$7))+(K12*Settings!$I$11))+(ROUNDDOWN((L12/5),0)*Settings!$F$11))+(M12*Settings!$F$12)),1))</f>
        <v>244.5</v>
      </c>
      <c r="V12" s="38">
        <f>IF((N12=""),0,((((N12*Settings!$I$11)+(ROUND((O12/5),0)*Settings!$F$11))+(P12*Settings!$F$12))+(Q12*Settings!$F$15)))</f>
        <v>233</v>
      </c>
      <c r="W12" s="66">
        <f>ROUND((((T12*Settings!$B$21)+(U12*Settings!$B$22))+(V12*Settings!$B$23)),1)</f>
        <v>238.3</v>
      </c>
      <c r="X12" s="66">
        <f>IF(ISERROR(VLOOKUP(RANK(W12,W$4:W$182),X$4:X11,1,0)),RANK(W12,W$4:W$182),IF(ISERROR(VLOOKUP((RANK(W12,W$4:W$182)+1),X$4:X11,1,0)),(RANK(W12,W$4:W$182)+1),IF(ISERROR(VLOOKUP((RANK(W12,W$4:W$182)+2),X$4:X11,1,0)),(RANK(W12,W$4:W$182)+2),(RANK(W12,W$4:W$182)+3))))</f>
        <v>6</v>
      </c>
      <c r="Y12" t="str">
        <f t="shared" si="2"/>
        <v>Antonio Brown</v>
      </c>
    </row>
    <row r="13" spans="1:25" ht="12.75" customHeight="1">
      <c r="A13" s="33" t="str">
        <f>ESPNData!AH12</f>
        <v>Randall Cobb, GB WR</v>
      </c>
      <c r="B13" s="33" t="str">
        <f t="shared" si="0"/>
        <v>Randall Cobb</v>
      </c>
      <c r="C13" s="64" t="str">
        <f t="shared" si="1"/>
        <v>GB</v>
      </c>
      <c r="D13" s="117">
        <f>IF(OR(($A13=Settings!$A$31),($A13=Settings!$A$32),ISERROR(VLOOKUP($B13,FFTodayData!$AB:$AK,8,0))),"",VLOOKUP($B13,FFTodayData!$AB:$AK,8,0))</f>
        <v>66</v>
      </c>
      <c r="E13" s="33">
        <f>IF(OR(($A13=Settings!$A$31),($A13=Settings!$A$32),ISERROR(VLOOKUP($B13,FFTodayData!$AB:$AK,9,0))),"",VLOOKUP($B13,FFTodayData!$AB:$AK,9,0))</f>
        <v>0</v>
      </c>
      <c r="F13" s="33">
        <f>IF(OR(($A13=Settings!$A$31),($A13=Settings!$A$32),ISERROR(VLOOKUP($B13,FFTodayData!$AB:$AK,4,0))),"",VLOOKUP($B13,FFTodayData!$AB:$AK,4,0))</f>
        <v>86</v>
      </c>
      <c r="G13" s="33">
        <f>IF(OR(($A13=Settings!$A$31),($A13=Settings!$A$32),ISERROR(VLOOKUP($B13,FFTodayData!$AB:$AK,5,0))),"",VLOOKUP($B13,FFTodayData!$AB:$AK,5,0))</f>
        <v>1145</v>
      </c>
      <c r="H13" s="64">
        <f>IF(OR(($A13=Settings!$A$31),($A13=Settings!$A$32),ISERROR(VLOOKUP($B13,FFTodayData!$AB:$AK,6,0))),"",VLOOKUP($B13,FFTodayData!$AB:$AK,6,0))</f>
        <v>7</v>
      </c>
      <c r="I13" s="117">
        <f>IF(ISERROR(VLOOKUP($A13,ESPNData!$AH:$AU,9,0)),"",VLOOKUP($A13,ESPNData!$AH:$AU,9,0))</f>
        <v>123</v>
      </c>
      <c r="J13" s="33">
        <f>IF(ISERROR(VLOOKUP($A13,ESPNData!$AH:$AU,10,0)),"",VLOOKUP($A13,ESPNData!$AH:$AU,10,0))</f>
        <v>0</v>
      </c>
      <c r="K13" s="33">
        <f>IF(ISERROR(VLOOKUP($A13,ESPNData!$AH:$AU,11,0)),"",VLOOKUP($A13,ESPNData!$AH:$AU,11,0))</f>
        <v>87</v>
      </c>
      <c r="L13" s="33">
        <f>IF(ISERROR(VLOOKUP($A13,ESPNData!$AH:$AU,12,0)),"",VLOOKUP($A13,ESPNData!$AH:$AU,12,0))</f>
        <v>1233</v>
      </c>
      <c r="M13" s="64">
        <f>IF(ISERROR(VLOOKUP($A13,ESPNData!$AH:$AU,13,0)),"",VLOOKUP($A13,ESPNData!$AH:$AU,13,0))</f>
        <v>8</v>
      </c>
      <c r="N13" s="117">
        <f>IF(OR(($A13=Settings!$A$31),($A13=Settings!$A$32),ISERROR(VLOOKUP($B13,SportslineData!$AD:$AK,3,0))),"",ROUND(VLOOKUP($B13,SportslineData!$AD:$AK,3,0),0))</f>
        <v>87</v>
      </c>
      <c r="O13" s="33">
        <f>IF(OR(($A13=Settings!$A$31),($A13=Settings!$A$32),ISERROR(VLOOKUP($B13,SportslineData!$AD:$AK,4,0))),"",VLOOKUP($B13,SportslineData!$AD:$AK,4,0))</f>
        <v>1172.5</v>
      </c>
      <c r="P13" s="33">
        <f>IF(OR(($A13=Settings!$A$31),($A13=Settings!$A$32),ISERROR(VLOOKUP($B13,SportslineData!$AD:$AK,6,0))),"",ROUND(VLOOKUP($B13,SportslineData!$AD:$AK,6,0),0))</f>
        <v>8</v>
      </c>
      <c r="Q13" s="64">
        <f>IF(OR(($A13=Settings!$A$31),($A13=Settings!$A$32),ISERROR(VLOOKUP($B13,SportslineData!$AD:$AK,7,0))),"",ROUND(VLOOKUP($B13,SportslineData!$AD:$AK,7,0),0))</f>
        <v>1</v>
      </c>
      <c r="R13" s="117"/>
      <c r="S13" s="33"/>
      <c r="T13" s="38">
        <f>IF(ISERROR(ROUND((((((ROUNDDOWN((D13/5),0)*Settings!$F$7)+(E13*Settings!$I$7))+(F13*Settings!$I$11))+(ROUNDDOWN((G13/5),0)*Settings!$F$11))+(H13*Settings!$F$12)),1)),0,ROUND((((((ROUNDDOWN((D13/5),0)*Settings!$F$7)+(E13*Settings!$I$7))+(F13*Settings!$I$11))+(ROUNDDOWN((G13/5),0)*Settings!$F$11))+(H13*Settings!$F$12)),1))</f>
        <v>206</v>
      </c>
      <c r="U13" s="38">
        <f>IF(ISERROR(ROUND((((((ROUNDDOWN((I13/5),0)*Settings!$F$7)+(J13*Settings!$I$7))+(K13*Settings!$I$11))+(ROUNDDOWN((L13/5),0)*Settings!$F$11))+(M13*Settings!$F$12)),1)),0,ROUND((((((ROUNDDOWN((I13/5),0)*Settings!$F$7)+(J13*Settings!$I$7))+(K13*Settings!$I$11))+(ROUNDDOWN((L13/5),0)*Settings!$F$11))+(M13*Settings!$F$12)),1))</f>
        <v>226.5</v>
      </c>
      <c r="V13" s="38">
        <f>IF((N13=""),0,((((N13*Settings!$I$11)+(ROUND((O13/5),0)*Settings!$F$11))+(P13*Settings!$F$12))+(Q13*Settings!$F$15)))</f>
        <v>208</v>
      </c>
      <c r="W13" s="66">
        <f>ROUND((((T13*Settings!$B$21)+(U13*Settings!$B$22))+(V13*Settings!$B$23)),1)</f>
        <v>213.4</v>
      </c>
      <c r="X13" s="66">
        <f>IF(ISERROR(VLOOKUP(RANK(W13,W$4:W$182),X$4:X12,1,0)),RANK(W13,W$4:W$182),IF(ISERROR(VLOOKUP((RANK(W13,W$4:W$182)+1),X$4:X12,1,0)),(RANK(W13,W$4:W$182)+1),IF(ISERROR(VLOOKUP((RANK(W13,W$4:W$182)+2),X$4:X12,1,0)),(RANK(W13,W$4:W$182)+2),(RANK(W13,W$4:W$182)+3))))</f>
        <v>10</v>
      </c>
      <c r="Y13" t="str">
        <f t="shared" si="2"/>
        <v>Randall Cobb</v>
      </c>
    </row>
    <row r="14" spans="1:25" ht="12.75" customHeight="1">
      <c r="A14" s="33" t="str">
        <f>ESPNData!AH13</f>
        <v>Andre Johnson, Hou WR</v>
      </c>
      <c r="B14" s="33" t="str">
        <f t="shared" si="0"/>
        <v>Andre Johnson</v>
      </c>
      <c r="C14" s="64" t="str">
        <f t="shared" si="1"/>
        <v>HOU</v>
      </c>
      <c r="D14" s="117">
        <f>IF(OR(($A14=Settings!$A$31),($A14=Settings!$A$32),ISERROR(VLOOKUP($B14,FFTodayData!$AB:$AK,8,0))),"",VLOOKUP($B14,FFTodayData!$AB:$AK,8,0))</f>
        <v>0</v>
      </c>
      <c r="E14" s="33">
        <f>IF(OR(($A14=Settings!$A$31),($A14=Settings!$A$32),ISERROR(VLOOKUP($B14,FFTodayData!$AB:$AK,9,0))),"",VLOOKUP($B14,FFTodayData!$AB:$AK,9,0))</f>
        <v>0</v>
      </c>
      <c r="F14" s="33">
        <f>IF(OR(($A14=Settings!$A$31),($A14=Settings!$A$32),ISERROR(VLOOKUP($B14,FFTodayData!$AB:$AK,4,0))),"",VLOOKUP($B14,FFTodayData!$AB:$AK,4,0))</f>
        <v>81</v>
      </c>
      <c r="G14" s="33">
        <f>IF(OR(($A14=Settings!$A$31),($A14=Settings!$A$32),ISERROR(VLOOKUP($B14,FFTodayData!$AB:$AK,5,0))),"",VLOOKUP($B14,FFTodayData!$AB:$AK,5,0))</f>
        <v>1089</v>
      </c>
      <c r="H14" s="64">
        <f>IF(OR(($A14=Settings!$A$31),($A14=Settings!$A$32),ISERROR(VLOOKUP($B14,FFTodayData!$AB:$AK,6,0))),"",VLOOKUP($B14,FFTodayData!$AB:$AK,6,0))</f>
        <v>6</v>
      </c>
      <c r="I14" s="117">
        <f>IF(ISERROR(VLOOKUP($A14,ESPNData!$AH:$AU,9,0)),"",VLOOKUP($A14,ESPNData!$AH:$AU,9,0))</f>
        <v>0</v>
      </c>
      <c r="J14" s="33">
        <f>IF(ISERROR(VLOOKUP($A14,ESPNData!$AH:$AU,10,0)),"",VLOOKUP($A14,ESPNData!$AH:$AU,10,0))</f>
        <v>0</v>
      </c>
      <c r="K14" s="33">
        <f>IF(ISERROR(VLOOKUP($A14,ESPNData!$AH:$AU,11,0)),"",VLOOKUP($A14,ESPNData!$AH:$AU,11,0))</f>
        <v>100</v>
      </c>
      <c r="L14" s="33">
        <f>IF(ISERROR(VLOOKUP($A14,ESPNData!$AH:$AU,12,0)),"",VLOOKUP($A14,ESPNData!$AH:$AU,12,0))</f>
        <v>1367</v>
      </c>
      <c r="M14" s="64">
        <f>IF(ISERROR(VLOOKUP($A14,ESPNData!$AH:$AU,13,0)),"",VLOOKUP($A14,ESPNData!$AH:$AU,13,0))</f>
        <v>7</v>
      </c>
      <c r="N14" s="117">
        <f>IF(OR(($A14=Settings!$A$31),($A14=Settings!$A$32),ISERROR(VLOOKUP($B14,SportslineData!$AD:$AK,3,0))),"",ROUND(VLOOKUP($B14,SportslineData!$AD:$AK,3,0),0))</f>
        <v>94</v>
      </c>
      <c r="O14" s="33">
        <f>IF(OR(($A14=Settings!$A$31),($A14=Settings!$A$32),ISERROR(VLOOKUP($B14,SportslineData!$AD:$AK,4,0))),"",VLOOKUP($B14,SportslineData!$AD:$AK,4,0))</f>
        <v>1281.5</v>
      </c>
      <c r="P14" s="33">
        <f>IF(OR(($A14=Settings!$A$31),($A14=Settings!$A$32),ISERROR(VLOOKUP($B14,SportslineData!$AD:$AK,6,0))),"",ROUND(VLOOKUP($B14,SportslineData!$AD:$AK,6,0),0))</f>
        <v>6</v>
      </c>
      <c r="Q14" s="64">
        <f>IF(OR(($A14=Settings!$A$31),($A14=Settings!$A$32),ISERROR(VLOOKUP($B14,SportslineData!$AD:$AK,7,0))),"",ROUND(VLOOKUP($B14,SportslineData!$AD:$AK,7,0),0))</f>
        <v>0</v>
      </c>
      <c r="R14" s="117"/>
      <c r="S14" s="33"/>
      <c r="T14" s="38">
        <f>IF(ISERROR(ROUND((((((ROUNDDOWN((D14/5),0)*Settings!$F$7)+(E14*Settings!$I$7))+(F14*Settings!$I$11))+(ROUNDDOWN((G14/5),0)*Settings!$F$11))+(H14*Settings!$F$12)),1)),0,ROUND((((((ROUNDDOWN((D14/5),0)*Settings!$F$7)+(E14*Settings!$I$7))+(F14*Settings!$I$11))+(ROUNDDOWN((G14/5),0)*Settings!$F$11))+(H14*Settings!$F$12)),1))</f>
        <v>185</v>
      </c>
      <c r="U14" s="38">
        <f>IF(ISERROR(ROUND((((((ROUNDDOWN((I14/5),0)*Settings!$F$7)+(J14*Settings!$I$7))+(K14*Settings!$I$11))+(ROUNDDOWN((L14/5),0)*Settings!$F$11))+(M14*Settings!$F$12)),1)),0,ROUND((((((ROUNDDOWN((I14/5),0)*Settings!$F$7)+(J14*Settings!$I$7))+(K14*Settings!$I$11))+(ROUNDDOWN((L14/5),0)*Settings!$F$11))+(M14*Settings!$F$12)),1))</f>
        <v>228.5</v>
      </c>
      <c r="V14" s="38">
        <f>IF((N14=""),0,((((N14*Settings!$I$11)+(ROUND((O14/5),0)*Settings!$F$11))+(P14*Settings!$F$12))+(Q14*Settings!$F$15)))</f>
        <v>211</v>
      </c>
      <c r="W14" s="66">
        <f>ROUND((((T14*Settings!$B$21)+(U14*Settings!$B$22))+(V14*Settings!$B$23)),1)</f>
        <v>208.2</v>
      </c>
      <c r="X14" s="66">
        <f>IF(ISERROR(VLOOKUP(RANK(W14,W$4:W$182),X$4:X13,1,0)),RANK(W14,W$4:W$182),IF(ISERROR(VLOOKUP((RANK(W14,W$4:W$182)+1),X$4:X13,1,0)),(RANK(W14,W$4:W$182)+1),IF(ISERROR(VLOOKUP((RANK(W14,W$4:W$182)+2),X$4:X13,1,0)),(RANK(W14,W$4:W$182)+2),(RANK(W14,W$4:W$182)+3))))</f>
        <v>11</v>
      </c>
      <c r="Y14" t="str">
        <f t="shared" si="2"/>
        <v>Andre Johnson</v>
      </c>
    </row>
    <row r="15" spans="1:25" ht="12.75" customHeight="1">
      <c r="A15" s="33" t="str">
        <f>ESPNData!AH14</f>
        <v>Vincent Jackson, TB WR</v>
      </c>
      <c r="B15" s="33" t="str">
        <f t="shared" si="0"/>
        <v>Vincent Jackson</v>
      </c>
      <c r="C15" s="64" t="str">
        <f t="shared" si="1"/>
        <v>TB</v>
      </c>
      <c r="D15" s="117">
        <f>IF(OR(($A15=Settings!$A$31),($A15=Settings!$A$32),ISERROR(VLOOKUP($B15,FFTodayData!$AB:$AK,8,0))),"",VLOOKUP($B15,FFTodayData!$AB:$AK,8,0))</f>
        <v>0</v>
      </c>
      <c r="E15" s="33">
        <f>IF(OR(($A15=Settings!$A$31),($A15=Settings!$A$32),ISERROR(VLOOKUP($B15,FFTodayData!$AB:$AK,9,0))),"",VLOOKUP($B15,FFTodayData!$AB:$AK,9,0))</f>
        <v>0</v>
      </c>
      <c r="F15" s="33">
        <f>IF(OR(($A15=Settings!$A$31),($A15=Settings!$A$32),ISERROR(VLOOKUP($B15,FFTodayData!$AB:$AK,4,0))),"",VLOOKUP($B15,FFTodayData!$AB:$AK,4,0))</f>
        <v>71</v>
      </c>
      <c r="G15" s="33">
        <f>IF(OR(($A15=Settings!$A$31),($A15=Settings!$A$32),ISERROR(VLOOKUP($B15,FFTodayData!$AB:$AK,5,0))),"",VLOOKUP($B15,FFTodayData!$AB:$AK,5,0))</f>
        <v>1189</v>
      </c>
      <c r="H15" s="64">
        <f>IF(OR(($A15=Settings!$A$31),($A15=Settings!$A$32),ISERROR(VLOOKUP($B15,FFTodayData!$AB:$AK,6,0))),"",VLOOKUP($B15,FFTodayData!$AB:$AK,6,0))</f>
        <v>7</v>
      </c>
      <c r="I15" s="117">
        <f>IF(ISERROR(VLOOKUP($A15,ESPNData!$AH:$AU,9,0)),"",VLOOKUP($A15,ESPNData!$AH:$AU,9,0))</f>
        <v>12</v>
      </c>
      <c r="J15" s="33">
        <f>IF(ISERROR(VLOOKUP($A15,ESPNData!$AH:$AU,10,0)),"",VLOOKUP($A15,ESPNData!$AH:$AU,10,0))</f>
        <v>0</v>
      </c>
      <c r="K15" s="33">
        <f>IF(ISERROR(VLOOKUP($A15,ESPNData!$AH:$AU,11,0)),"",VLOOKUP($A15,ESPNData!$AH:$AU,11,0))</f>
        <v>73</v>
      </c>
      <c r="L15" s="33">
        <f>IF(ISERROR(VLOOKUP($A15,ESPNData!$AH:$AU,12,0)),"",VLOOKUP($A15,ESPNData!$AH:$AU,12,0))</f>
        <v>1235</v>
      </c>
      <c r="M15" s="64">
        <f>IF(ISERROR(VLOOKUP($A15,ESPNData!$AH:$AU,13,0)),"",VLOOKUP($A15,ESPNData!$AH:$AU,13,0))</f>
        <v>8</v>
      </c>
      <c r="N15" s="117">
        <f>IF(OR(($A15=Settings!$A$31),($A15=Settings!$A$32),ISERROR(VLOOKUP($B15,SportslineData!$AD:$AK,3,0))),"",ROUND(VLOOKUP($B15,SportslineData!$AD:$AK,3,0),0))</f>
        <v>74</v>
      </c>
      <c r="O15" s="33">
        <f>IF(OR(($A15=Settings!$A$31),($A15=Settings!$A$32),ISERROR(VLOOKUP($B15,SportslineData!$AD:$AK,4,0))),"",VLOOKUP($B15,SportslineData!$AD:$AK,4,0))</f>
        <v>1176.5</v>
      </c>
      <c r="P15" s="33">
        <f>IF(OR(($A15=Settings!$A$31),($A15=Settings!$A$32),ISERROR(VLOOKUP($B15,SportslineData!$AD:$AK,6,0))),"",ROUND(VLOOKUP($B15,SportslineData!$AD:$AK,6,0),0))</f>
        <v>8</v>
      </c>
      <c r="Q15" s="64">
        <f>IF(OR(($A15=Settings!$A$31),($A15=Settings!$A$32),ISERROR(VLOOKUP($B15,SportslineData!$AD:$AK,7,0))),"",ROUND(VLOOKUP($B15,SportslineData!$AD:$AK,7,0),0))</f>
        <v>0</v>
      </c>
      <c r="R15" s="117"/>
      <c r="S15" s="33"/>
      <c r="T15" s="38">
        <f>IF(ISERROR(ROUND((((((ROUNDDOWN((D15/5),0)*Settings!$F$7)+(E15*Settings!$I$7))+(F15*Settings!$I$11))+(ROUNDDOWN((G15/5),0)*Settings!$F$11))+(H15*Settings!$F$12)),1)),0,ROUND((((((ROUNDDOWN((D15/5),0)*Settings!$F$7)+(E15*Settings!$I$7))+(F15*Settings!$I$11))+(ROUNDDOWN((G15/5),0)*Settings!$F$11))+(H15*Settings!$F$12)),1))</f>
        <v>196</v>
      </c>
      <c r="U15" s="38">
        <f>IF(ISERROR(ROUND((((((ROUNDDOWN((I15/5),0)*Settings!$F$7)+(J15*Settings!$I$7))+(K15*Settings!$I$11))+(ROUNDDOWN((L15/5),0)*Settings!$F$11))+(M15*Settings!$F$12)),1)),0,ROUND((((((ROUNDDOWN((I15/5),0)*Settings!$F$7)+(J15*Settings!$I$7))+(K15*Settings!$I$11))+(ROUNDDOWN((L15/5),0)*Settings!$F$11))+(M15*Settings!$F$12)),1))</f>
        <v>209</v>
      </c>
      <c r="V15" s="38">
        <f>IF((N15=""),0,((((N15*Settings!$I$11)+(ROUND((O15/5),0)*Settings!$F$11))+(P15*Settings!$F$12))+(Q15*Settings!$F$15)))</f>
        <v>202.5</v>
      </c>
      <c r="W15" s="66">
        <f>ROUND((((T15*Settings!$B$21)+(U15*Settings!$B$22))+(V15*Settings!$B$23)),1)</f>
        <v>202.5</v>
      </c>
      <c r="X15" s="66">
        <f>IF(ISERROR(VLOOKUP(RANK(W15,W$4:W$182),X$4:X14,1,0)),RANK(W15,W$4:W$182),IF(ISERROR(VLOOKUP((RANK(W15,W$4:W$182)+1),X$4:X14,1,0)),(RANK(W15,W$4:W$182)+1),IF(ISERROR(VLOOKUP((RANK(W15,W$4:W$182)+2),X$4:X14,1,0)),(RANK(W15,W$4:W$182)+2),(RANK(W15,W$4:W$182)+3))))</f>
        <v>12</v>
      </c>
      <c r="Y15" t="str">
        <f t="shared" si="2"/>
        <v>Vincent Jackson</v>
      </c>
    </row>
    <row r="16" spans="1:25" ht="12.75" customHeight="1">
      <c r="A16" s="33" t="str">
        <f>ESPNData!AH15</f>
        <v>Larry Fitzgerald, Ari WR</v>
      </c>
      <c r="B16" s="33" t="str">
        <f t="shared" si="0"/>
        <v>Larry Fitzgerald</v>
      </c>
      <c r="C16" s="64" t="str">
        <f t="shared" si="1"/>
        <v>ARI</v>
      </c>
      <c r="D16" s="117">
        <f>IF(OR(($A16=Settings!$A$31),($A16=Settings!$A$32),ISERROR(VLOOKUP($B16,FFTodayData!$AB:$AK,8,0))),"",VLOOKUP($B16,FFTodayData!$AB:$AK,8,0))</f>
        <v>0</v>
      </c>
      <c r="E16" s="33">
        <f>IF(OR(($A16=Settings!$A$31),($A16=Settings!$A$32),ISERROR(VLOOKUP($B16,FFTodayData!$AB:$AK,9,0))),"",VLOOKUP($B16,FFTodayData!$AB:$AK,9,0))</f>
        <v>0</v>
      </c>
      <c r="F16" s="33">
        <f>IF(OR(($A16=Settings!$A$31),($A16=Settings!$A$32),ISERROR(VLOOKUP($B16,FFTodayData!$AB:$AK,4,0))),"",VLOOKUP($B16,FFTodayData!$AB:$AK,4,0))</f>
        <v>85</v>
      </c>
      <c r="G16" s="33">
        <f>IF(OR(($A16=Settings!$A$31),($A16=Settings!$A$32),ISERROR(VLOOKUP($B16,FFTodayData!$AB:$AK,5,0))),"",VLOOKUP($B16,FFTodayData!$AB:$AK,5,0))</f>
        <v>1044</v>
      </c>
      <c r="H16" s="64">
        <f>IF(OR(($A16=Settings!$A$31),($A16=Settings!$A$32),ISERROR(VLOOKUP($B16,FFTodayData!$AB:$AK,6,0))),"",VLOOKUP($B16,FFTodayData!$AB:$AK,6,0))</f>
        <v>7</v>
      </c>
      <c r="I16" s="117">
        <f>IF(ISERROR(VLOOKUP($A16,ESPNData!$AH:$AU,9,0)),"",VLOOKUP($A16,ESPNData!$AH:$AU,9,0))</f>
        <v>11</v>
      </c>
      <c r="J16" s="33">
        <f>IF(ISERROR(VLOOKUP($A16,ESPNData!$AH:$AU,10,0)),"",VLOOKUP($A16,ESPNData!$AH:$AU,10,0))</f>
        <v>0</v>
      </c>
      <c r="K16" s="33">
        <f>IF(ISERROR(VLOOKUP($A16,ESPNData!$AH:$AU,11,0)),"",VLOOKUP($A16,ESPNData!$AH:$AU,11,0))</f>
        <v>88</v>
      </c>
      <c r="L16" s="33">
        <f>IF(ISERROR(VLOOKUP($A16,ESPNData!$AH:$AU,12,0)),"",VLOOKUP($A16,ESPNData!$AH:$AU,12,0))</f>
        <v>1057</v>
      </c>
      <c r="M16" s="64">
        <f>IF(ISERROR(VLOOKUP($A16,ESPNData!$AH:$AU,13,0)),"",VLOOKUP($A16,ESPNData!$AH:$AU,13,0))</f>
        <v>8</v>
      </c>
      <c r="N16" s="117">
        <f>IF(OR(($A16=Settings!$A$31),($A16=Settings!$A$32),ISERROR(VLOOKUP($B16,SportslineData!$AD:$AK,3,0))),"",ROUND(VLOOKUP($B16,SportslineData!$AD:$AK,3,0),0))</f>
        <v>84</v>
      </c>
      <c r="O16" s="33">
        <f>IF(OR(($A16=Settings!$A$31),($A16=Settings!$A$32),ISERROR(VLOOKUP($B16,SportslineData!$AD:$AK,4,0))),"",VLOOKUP($B16,SportslineData!$AD:$AK,4,0))</f>
        <v>1096</v>
      </c>
      <c r="P16" s="33">
        <f>IF(OR(($A16=Settings!$A$31),($A16=Settings!$A$32),ISERROR(VLOOKUP($B16,SportslineData!$AD:$AK,6,0))),"",ROUND(VLOOKUP($B16,SportslineData!$AD:$AK,6,0),0))</f>
        <v>10</v>
      </c>
      <c r="Q16" s="64">
        <f>IF(OR(($A16=Settings!$A$31),($A16=Settings!$A$32),ISERROR(VLOOKUP($B16,SportslineData!$AD:$AK,7,0))),"",ROUND(VLOOKUP($B16,SportslineData!$AD:$AK,7,0),0))</f>
        <v>0</v>
      </c>
      <c r="R16" s="117"/>
      <c r="S16" s="33"/>
      <c r="T16" s="38">
        <f>IF(ISERROR(ROUND((((((ROUNDDOWN((D16/5),0)*Settings!$F$7)+(E16*Settings!$I$7))+(F16*Settings!$I$11))+(ROUNDDOWN((G16/5),0)*Settings!$F$11))+(H16*Settings!$F$12)),1)),0,ROUND((((((ROUNDDOWN((D16/5),0)*Settings!$F$7)+(E16*Settings!$I$7))+(F16*Settings!$I$11))+(ROUNDDOWN((G16/5),0)*Settings!$F$11))+(H16*Settings!$F$12)),1))</f>
        <v>188.5</v>
      </c>
      <c r="U16" s="38">
        <f>IF(ISERROR(ROUND((((((ROUNDDOWN((I16/5),0)*Settings!$F$7)+(J16*Settings!$I$7))+(K16*Settings!$I$11))+(ROUNDDOWN((L16/5),0)*Settings!$F$11))+(M16*Settings!$F$12)),1)),0,ROUND((((((ROUNDDOWN((I16/5),0)*Settings!$F$7)+(J16*Settings!$I$7))+(K16*Settings!$I$11))+(ROUNDDOWN((L16/5),0)*Settings!$F$11))+(M16*Settings!$F$12)),1))</f>
        <v>198.5</v>
      </c>
      <c r="V16" s="38">
        <f>IF((N16=""),0,((((N16*Settings!$I$11)+(ROUND((O16/5),0)*Settings!$F$11))+(P16*Settings!$F$12))+(Q16*Settings!$F$15)))</f>
        <v>211.5</v>
      </c>
      <c r="W16" s="66">
        <f>ROUND((((T16*Settings!$B$21)+(U16*Settings!$B$22))+(V16*Settings!$B$23)),1)</f>
        <v>199.6</v>
      </c>
      <c r="X16" s="66">
        <f>IF(ISERROR(VLOOKUP(RANK(W16,W$4:W$182),X$4:X15,1,0)),RANK(W16,W$4:W$182),IF(ISERROR(VLOOKUP((RANK(W16,W$4:W$182)+1),X$4:X15,1,0)),(RANK(W16,W$4:W$182)+1),IF(ISERROR(VLOOKUP((RANK(W16,W$4:W$182)+2),X$4:X15,1,0)),(RANK(W16,W$4:W$182)+2),(RANK(W16,W$4:W$182)+3))))</f>
        <v>13</v>
      </c>
      <c r="Y16" t="str">
        <f t="shared" si="2"/>
        <v>Larry Fitzgerald</v>
      </c>
    </row>
    <row r="17" spans="1:25" ht="12.75" customHeight="1">
      <c r="A17" s="33" t="str">
        <f>ESPNData!AH16</f>
        <v>Pierre Garcon, Wsh WR</v>
      </c>
      <c r="B17" s="33" t="str">
        <f t="shared" si="0"/>
        <v>Pierre Garcon</v>
      </c>
      <c r="C17" s="64" t="str">
        <f t="shared" si="1"/>
        <v>WSH</v>
      </c>
      <c r="D17" s="117">
        <f>IF(OR(($A17=Settings!$A$31),($A17=Settings!$A$32),ISERROR(VLOOKUP($B17,FFTodayData!$AB:$AK,8,0))),"",VLOOKUP($B17,FFTodayData!$AB:$AK,8,0))</f>
        <v>0</v>
      </c>
      <c r="E17" s="33">
        <f>IF(OR(($A17=Settings!$A$31),($A17=Settings!$A$32),ISERROR(VLOOKUP($B17,FFTodayData!$AB:$AK,9,0))),"",VLOOKUP($B17,FFTodayData!$AB:$AK,9,0))</f>
        <v>0</v>
      </c>
      <c r="F17" s="33">
        <f>IF(OR(($A17=Settings!$A$31),($A17=Settings!$A$32),ISERROR(VLOOKUP($B17,FFTodayData!$AB:$AK,4,0))),"",VLOOKUP($B17,FFTodayData!$AB:$AK,4,0))</f>
        <v>85</v>
      </c>
      <c r="G17" s="33">
        <f>IF(OR(($A17=Settings!$A$31),($A17=Settings!$A$32),ISERROR(VLOOKUP($B17,FFTodayData!$AB:$AK,5,0))),"",VLOOKUP($B17,FFTodayData!$AB:$AK,5,0))</f>
        <v>1120</v>
      </c>
      <c r="H17" s="64">
        <f>IF(OR(($A17=Settings!$A$31),($A17=Settings!$A$32),ISERROR(VLOOKUP($B17,FFTodayData!$AB:$AK,6,0))),"",VLOOKUP($B17,FFTodayData!$AB:$AK,6,0))</f>
        <v>5</v>
      </c>
      <c r="I17" s="117">
        <f>IF(ISERROR(VLOOKUP($A17,ESPNData!$AH:$AU,9,0)),"",VLOOKUP($A17,ESPNData!$AH:$AU,9,0))</f>
        <v>19</v>
      </c>
      <c r="J17" s="33">
        <f>IF(ISERROR(VLOOKUP($A17,ESPNData!$AH:$AU,10,0)),"",VLOOKUP($A17,ESPNData!$AH:$AU,10,0))</f>
        <v>0</v>
      </c>
      <c r="K17" s="33">
        <f>IF(ISERROR(VLOOKUP($A17,ESPNData!$AH:$AU,11,0)),"",VLOOKUP($A17,ESPNData!$AH:$AU,11,0))</f>
        <v>96</v>
      </c>
      <c r="L17" s="33">
        <f>IF(ISERROR(VLOOKUP($A17,ESPNData!$AH:$AU,12,0)),"",VLOOKUP($A17,ESPNData!$AH:$AU,12,0))</f>
        <v>1129</v>
      </c>
      <c r="M17" s="64">
        <f>IF(ISERROR(VLOOKUP($A17,ESPNData!$AH:$AU,13,0)),"",VLOOKUP($A17,ESPNData!$AH:$AU,13,0))</f>
        <v>6</v>
      </c>
      <c r="N17" s="117">
        <f>IF(OR(($A17=Settings!$A$31),($A17=Settings!$A$32),ISERROR(VLOOKUP($B17,SportslineData!$AD:$AK,3,0))),"",ROUND(VLOOKUP($B17,SportslineData!$AD:$AK,3,0),0))</f>
        <v>87</v>
      </c>
      <c r="O17" s="33">
        <f>IF(OR(($A17=Settings!$A$31),($A17=Settings!$A$32),ISERROR(VLOOKUP($B17,SportslineData!$AD:$AK,4,0))),"",VLOOKUP($B17,SportslineData!$AD:$AK,4,0))</f>
        <v>1229.5</v>
      </c>
      <c r="P17" s="33">
        <f>IF(OR(($A17=Settings!$A$31),($A17=Settings!$A$32),ISERROR(VLOOKUP($B17,SportslineData!$AD:$AK,6,0))),"",ROUND(VLOOKUP($B17,SportslineData!$AD:$AK,6,0),0))</f>
        <v>7</v>
      </c>
      <c r="Q17" s="64">
        <f>IF(OR(($A17=Settings!$A$31),($A17=Settings!$A$32),ISERROR(VLOOKUP($B17,SportslineData!$AD:$AK,7,0))),"",ROUND(VLOOKUP($B17,SportslineData!$AD:$AK,7,0),0))</f>
        <v>1</v>
      </c>
      <c r="R17" s="117"/>
      <c r="S17" s="33"/>
      <c r="T17" s="38">
        <f>IF(ISERROR(ROUND((((((ROUNDDOWN((D17/5),0)*Settings!$F$7)+(E17*Settings!$I$7))+(F17*Settings!$I$11))+(ROUNDDOWN((G17/5),0)*Settings!$F$11))+(H17*Settings!$F$12)),1)),0,ROUND((((((ROUNDDOWN((D17/5),0)*Settings!$F$7)+(E17*Settings!$I$7))+(F17*Settings!$I$11))+(ROUNDDOWN((G17/5),0)*Settings!$F$11))+(H17*Settings!$F$12)),1))</f>
        <v>184.5</v>
      </c>
      <c r="U17" s="38">
        <f>IF(ISERROR(ROUND((((((ROUNDDOWN((I17/5),0)*Settings!$F$7)+(J17*Settings!$I$7))+(K17*Settings!$I$11))+(ROUNDDOWN((L17/5),0)*Settings!$F$11))+(M17*Settings!$F$12)),1)),0,ROUND((((((ROUNDDOWN((I17/5),0)*Settings!$F$7)+(J17*Settings!$I$7))+(K17*Settings!$I$11))+(ROUNDDOWN((L17/5),0)*Settings!$F$11))+(M17*Settings!$F$12)),1))</f>
        <v>198</v>
      </c>
      <c r="V17" s="38">
        <f>IF((N17=""),0,((((N17*Settings!$I$11)+(ROUND((O17/5),0)*Settings!$F$11))+(P17*Settings!$F$12))+(Q17*Settings!$F$15)))</f>
        <v>207.5</v>
      </c>
      <c r="W17" s="66">
        <f>ROUND((((T17*Settings!$B$21)+(U17*Settings!$B$22))+(V17*Settings!$B$23)),1)</f>
        <v>196.8</v>
      </c>
      <c r="X17" s="66">
        <f>IF(ISERROR(VLOOKUP(RANK(W17,W$4:W$182),X$4:X16,1,0)),RANK(W17,W$4:W$182),IF(ISERROR(VLOOKUP((RANK(W17,W$4:W$182)+1),X$4:X16,1,0)),(RANK(W17,W$4:W$182)+1),IF(ISERROR(VLOOKUP((RANK(W17,W$4:W$182)+2),X$4:X16,1,0)),(RANK(W17,W$4:W$182)+2),(RANK(W17,W$4:W$182)+3))))</f>
        <v>15</v>
      </c>
      <c r="Y17" t="str">
        <f t="shared" si="2"/>
        <v>Pierre Garcon</v>
      </c>
    </row>
    <row r="18" spans="1:25" ht="12.75" customHeight="1">
      <c r="A18" s="33" t="str">
        <f>ESPNData!AH17</f>
        <v>Keenan Allen, SD WR</v>
      </c>
      <c r="B18" s="33" t="str">
        <f t="shared" si="0"/>
        <v>Keenan Allen</v>
      </c>
      <c r="C18" s="64" t="str">
        <f t="shared" si="1"/>
        <v>SD</v>
      </c>
      <c r="D18" s="117">
        <f>IF(OR(($A18=Settings!$A$31),($A18=Settings!$A$32),ISERROR(VLOOKUP($B18,FFTodayData!$AB:$AK,8,0))),"",VLOOKUP($B18,FFTodayData!$AB:$AK,8,0))</f>
        <v>0</v>
      </c>
      <c r="E18" s="33">
        <f>IF(OR(($A18=Settings!$A$31),($A18=Settings!$A$32),ISERROR(VLOOKUP($B18,FFTodayData!$AB:$AK,9,0))),"",VLOOKUP($B18,FFTodayData!$AB:$AK,9,0))</f>
        <v>0</v>
      </c>
      <c r="F18" s="33">
        <f>IF(OR(($A18=Settings!$A$31),($A18=Settings!$A$32),ISERROR(VLOOKUP($B18,FFTodayData!$AB:$AK,4,0))),"",VLOOKUP($B18,FFTodayData!$AB:$AK,4,0))</f>
        <v>81</v>
      </c>
      <c r="G18" s="33">
        <f>IF(OR(($A18=Settings!$A$31),($A18=Settings!$A$32),ISERROR(VLOOKUP($B18,FFTodayData!$AB:$AK,5,0))),"",VLOOKUP($B18,FFTodayData!$AB:$AK,5,0))</f>
        <v>1129</v>
      </c>
      <c r="H18" s="64">
        <f>IF(OR(($A18=Settings!$A$31),($A18=Settings!$A$32),ISERROR(VLOOKUP($B18,FFTodayData!$AB:$AK,6,0))),"",VLOOKUP($B18,FFTodayData!$AB:$AK,6,0))</f>
        <v>8</v>
      </c>
      <c r="I18" s="117">
        <f>IF(ISERROR(VLOOKUP($A18,ESPNData!$AH:$AU,9,0)),"",VLOOKUP($A18,ESPNData!$AH:$AU,9,0))</f>
        <v>0</v>
      </c>
      <c r="J18" s="33">
        <f>IF(ISERROR(VLOOKUP($A18,ESPNData!$AH:$AU,10,0)),"",VLOOKUP($A18,ESPNData!$AH:$AU,10,0))</f>
        <v>0</v>
      </c>
      <c r="K18" s="33">
        <f>IF(ISERROR(VLOOKUP($A18,ESPNData!$AH:$AU,11,0)),"",VLOOKUP($A18,ESPNData!$AH:$AU,11,0))</f>
        <v>85</v>
      </c>
      <c r="L18" s="33">
        <f>IF(ISERROR(VLOOKUP($A18,ESPNData!$AH:$AU,12,0)),"",VLOOKUP($A18,ESPNData!$AH:$AU,12,0))</f>
        <v>1045</v>
      </c>
      <c r="M18" s="64">
        <f>IF(ISERROR(VLOOKUP($A18,ESPNData!$AH:$AU,13,0)),"",VLOOKUP($A18,ESPNData!$AH:$AU,13,0))</f>
        <v>8</v>
      </c>
      <c r="N18" s="117">
        <f>IF(OR(($A18=Settings!$A$31),($A18=Settings!$A$32),ISERROR(VLOOKUP($B18,SportslineData!$AD:$AK,3,0))),"",ROUND(VLOOKUP($B18,SportslineData!$AD:$AK,3,0),0))</f>
        <v>70</v>
      </c>
      <c r="O18" s="33">
        <f>IF(OR(($A18=Settings!$A$31),($A18=Settings!$A$32),ISERROR(VLOOKUP($B18,SportslineData!$AD:$AK,4,0))),"",VLOOKUP($B18,SportslineData!$AD:$AK,4,0))</f>
        <v>1071</v>
      </c>
      <c r="P18" s="33">
        <f>IF(OR(($A18=Settings!$A$31),($A18=Settings!$A$32),ISERROR(VLOOKUP($B18,SportslineData!$AD:$AK,6,0))),"",ROUND(VLOOKUP($B18,SportslineData!$AD:$AK,6,0),0))</f>
        <v>9</v>
      </c>
      <c r="Q18" s="64">
        <f>IF(OR(($A18=Settings!$A$31),($A18=Settings!$A$32),ISERROR(VLOOKUP($B18,SportslineData!$AD:$AK,7,0))),"",ROUND(VLOOKUP($B18,SportslineData!$AD:$AK,7,0),0))</f>
        <v>1</v>
      </c>
      <c r="R18" s="117"/>
      <c r="S18" s="33"/>
      <c r="T18" s="38">
        <f>IF(ISERROR(ROUND((((((ROUNDDOWN((D18/5),0)*Settings!$F$7)+(E18*Settings!$I$7))+(F18*Settings!$I$11))+(ROUNDDOWN((G18/5),0)*Settings!$F$11))+(H18*Settings!$F$12)),1)),0,ROUND((((((ROUNDDOWN((D18/5),0)*Settings!$F$7)+(E18*Settings!$I$7))+(F18*Settings!$I$11))+(ROUNDDOWN((G18/5),0)*Settings!$F$11))+(H18*Settings!$F$12)),1))</f>
        <v>201</v>
      </c>
      <c r="U18" s="38">
        <f>IF(ISERROR(ROUND((((((ROUNDDOWN((I18/5),0)*Settings!$F$7)+(J18*Settings!$I$7))+(K18*Settings!$I$11))+(ROUNDDOWN((L18/5),0)*Settings!$F$11))+(M18*Settings!$F$12)),1)),0,ROUND((((((ROUNDDOWN((I18/5),0)*Settings!$F$7)+(J18*Settings!$I$7))+(K18*Settings!$I$11))+(ROUNDDOWN((L18/5),0)*Settings!$F$11))+(M18*Settings!$F$12)),1))</f>
        <v>195</v>
      </c>
      <c r="V18" s="38">
        <f>IF((N18=""),0,((((N18*Settings!$I$11)+(ROUND((O18/5),0)*Settings!$F$11))+(P18*Settings!$F$12))+(Q18*Settings!$F$15)))</f>
        <v>195</v>
      </c>
      <c r="W18" s="66">
        <f>ROUND((((T18*Settings!$B$21)+(U18*Settings!$B$22))+(V18*Settings!$B$23)),1)</f>
        <v>197</v>
      </c>
      <c r="X18" s="66">
        <f>IF(ISERROR(VLOOKUP(RANK(W18,W$4:W$182),X$4:X17,1,0)),RANK(W18,W$4:W$182),IF(ISERROR(VLOOKUP((RANK(W18,W$4:W$182)+1),X$4:X17,1,0)),(RANK(W18,W$4:W$182)+1),IF(ISERROR(VLOOKUP((RANK(W18,W$4:W$182)+2),X$4:X17,1,0)),(RANK(W18,W$4:W$182)+2),(RANK(W18,W$4:W$182)+3))))</f>
        <v>14</v>
      </c>
      <c r="Y18" t="str">
        <f t="shared" si="2"/>
        <v>Keenan Allen</v>
      </c>
    </row>
    <row r="19" spans="1:25" ht="12.75" customHeight="1">
      <c r="A19" s="33" t="str">
        <f>ESPNData!AH18</f>
        <v>Victor Cruz, NYG WR</v>
      </c>
      <c r="B19" s="33" t="str">
        <f t="shared" si="0"/>
        <v>Victor Cruz</v>
      </c>
      <c r="C19" s="64" t="str">
        <f t="shared" si="1"/>
        <v>NYG</v>
      </c>
      <c r="D19" s="117">
        <f>IF(OR(($A19=Settings!$A$31),($A19=Settings!$A$32),ISERROR(VLOOKUP($B19,FFTodayData!$AB:$AK,8,0))),"",VLOOKUP($B19,FFTodayData!$AB:$AK,8,0))</f>
        <v>0</v>
      </c>
      <c r="E19" s="33">
        <f>IF(OR(($A19=Settings!$A$31),($A19=Settings!$A$32),ISERROR(VLOOKUP($B19,FFTodayData!$AB:$AK,9,0))),"",VLOOKUP($B19,FFTodayData!$AB:$AK,9,0))</f>
        <v>0</v>
      </c>
      <c r="F19" s="33">
        <f>IF(OR(($A19=Settings!$A$31),($A19=Settings!$A$32),ISERROR(VLOOKUP($B19,FFTodayData!$AB:$AK,4,0))),"",VLOOKUP($B19,FFTodayData!$AB:$AK,4,0))</f>
        <v>95</v>
      </c>
      <c r="G19" s="33">
        <f>IF(OR(($A19=Settings!$A$31),($A19=Settings!$A$32),ISERROR(VLOOKUP($B19,FFTodayData!$AB:$AK,5,0))),"",VLOOKUP($B19,FFTodayData!$AB:$AK,5,0))</f>
        <v>1226</v>
      </c>
      <c r="H19" s="64">
        <f>IF(OR(($A19=Settings!$A$31),($A19=Settings!$A$32),ISERROR(VLOOKUP($B19,FFTodayData!$AB:$AK,6,0))),"",VLOOKUP($B19,FFTodayData!$AB:$AK,6,0))</f>
        <v>7</v>
      </c>
      <c r="I19" s="117">
        <f>IF(ISERROR(VLOOKUP($A19,ESPNData!$AH:$AU,9,0)),"",VLOOKUP($A19,ESPNData!$AH:$AU,9,0))</f>
        <v>0</v>
      </c>
      <c r="J19" s="33">
        <f>IF(ISERROR(VLOOKUP($A19,ESPNData!$AH:$AU,10,0)),"",VLOOKUP($A19,ESPNData!$AH:$AU,10,0))</f>
        <v>0</v>
      </c>
      <c r="K19" s="33">
        <f>IF(ISERROR(VLOOKUP($A19,ESPNData!$AH:$AU,11,0)),"",VLOOKUP($A19,ESPNData!$AH:$AU,11,0))</f>
        <v>80</v>
      </c>
      <c r="L19" s="33">
        <f>IF(ISERROR(VLOOKUP($A19,ESPNData!$AH:$AU,12,0)),"",VLOOKUP($A19,ESPNData!$AH:$AU,12,0))</f>
        <v>1042</v>
      </c>
      <c r="M19" s="64">
        <f>IF(ISERROR(VLOOKUP($A19,ESPNData!$AH:$AU,13,0)),"",VLOOKUP($A19,ESPNData!$AH:$AU,13,0))</f>
        <v>7</v>
      </c>
      <c r="N19" s="117">
        <f>IF(OR(($A19=Settings!$A$31),($A19=Settings!$A$32),ISERROR(VLOOKUP($B19,SportslineData!$AD:$AK,3,0))),"",ROUND(VLOOKUP($B19,SportslineData!$AD:$AK,3,0),0))</f>
        <v>82</v>
      </c>
      <c r="O19" s="33">
        <f>IF(OR(($A19=Settings!$A$31),($A19=Settings!$A$32),ISERROR(VLOOKUP($B19,SportslineData!$AD:$AK,4,0))),"",VLOOKUP($B19,SportslineData!$AD:$AK,4,0))</f>
        <v>1077</v>
      </c>
      <c r="P19" s="33">
        <f>IF(OR(($A19=Settings!$A$31),($A19=Settings!$A$32),ISERROR(VLOOKUP($B19,SportslineData!$AD:$AK,6,0))),"",ROUND(VLOOKUP($B19,SportslineData!$AD:$AK,6,0),0))</f>
        <v>7</v>
      </c>
      <c r="Q19" s="64">
        <f>IF(OR(($A19=Settings!$A$31),($A19=Settings!$A$32),ISERROR(VLOOKUP($B19,SportslineData!$AD:$AK,7,0))),"",ROUND(VLOOKUP($B19,SportslineData!$AD:$AK,7,0),0))</f>
        <v>1</v>
      </c>
      <c r="R19" s="117"/>
      <c r="S19" s="33"/>
      <c r="T19" s="38">
        <f>IF(ISERROR(ROUND((((((ROUNDDOWN((D19/5),0)*Settings!$F$7)+(E19*Settings!$I$7))+(F19*Settings!$I$11))+(ROUNDDOWN((G19/5),0)*Settings!$F$11))+(H19*Settings!$F$12)),1)),0,ROUND((((((ROUNDDOWN((D19/5),0)*Settings!$F$7)+(E19*Settings!$I$7))+(F19*Settings!$I$11))+(ROUNDDOWN((G19/5),0)*Settings!$F$11))+(H19*Settings!$F$12)),1))</f>
        <v>212</v>
      </c>
      <c r="U19" s="38">
        <f>IF(ISERROR(ROUND((((((ROUNDDOWN((I19/5),0)*Settings!$F$7)+(J19*Settings!$I$7))+(K19*Settings!$I$11))+(ROUNDDOWN((L19/5),0)*Settings!$F$11))+(M19*Settings!$F$12)),1)),0,ROUND((((((ROUNDDOWN((I19/5),0)*Settings!$F$7)+(J19*Settings!$I$7))+(K19*Settings!$I$11))+(ROUNDDOWN((L19/5),0)*Settings!$F$11))+(M19*Settings!$F$12)),1))</f>
        <v>186</v>
      </c>
      <c r="V19" s="38">
        <f>IF((N19=""),0,((((N19*Settings!$I$11)+(ROUND((O19/5),0)*Settings!$F$11))+(P19*Settings!$F$12))+(Q19*Settings!$F$15)))</f>
        <v>189.5</v>
      </c>
      <c r="W19" s="66">
        <f>ROUND((((T19*Settings!$B$21)+(U19*Settings!$B$22))+(V19*Settings!$B$23)),1)</f>
        <v>195.8</v>
      </c>
      <c r="X19" s="66">
        <f>IF(ISERROR(VLOOKUP(RANK(W19,W$4:W$182),X$4:X18,1,0)),RANK(W19,W$4:W$182),IF(ISERROR(VLOOKUP((RANK(W19,W$4:W$182)+1),X$4:X18,1,0)),(RANK(W19,W$4:W$182)+1),IF(ISERROR(VLOOKUP((RANK(W19,W$4:W$182)+2),X$4:X18,1,0)),(RANK(W19,W$4:W$182)+2),(RANK(W19,W$4:W$182)+3))))</f>
        <v>16</v>
      </c>
      <c r="Y19" t="str">
        <f t="shared" si="2"/>
        <v>Victor Cruz</v>
      </c>
    </row>
    <row r="20" spans="1:25" ht="12.75" customHeight="1">
      <c r="A20" s="33" t="str">
        <f>ESPNData!AH19</f>
        <v>Roddy White, Atl WR</v>
      </c>
      <c r="B20" s="33" t="str">
        <f t="shared" si="0"/>
        <v>Roddy White</v>
      </c>
      <c r="C20" s="64" t="str">
        <f t="shared" si="1"/>
        <v>ATL</v>
      </c>
      <c r="D20" s="117">
        <f>IF(OR(($A20=Settings!$A$31),($A20=Settings!$A$32),ISERROR(VLOOKUP($B20,FFTodayData!$AB:$AK,8,0))),"",VLOOKUP($B20,FFTodayData!$AB:$AK,8,0))</f>
        <v>0</v>
      </c>
      <c r="E20" s="33">
        <f>IF(OR(($A20=Settings!$A$31),($A20=Settings!$A$32),ISERROR(VLOOKUP($B20,FFTodayData!$AB:$AK,9,0))),"",VLOOKUP($B20,FFTodayData!$AB:$AK,9,0))</f>
        <v>0</v>
      </c>
      <c r="F20" s="33">
        <f>IF(OR(($A20=Settings!$A$31),($A20=Settings!$A$32),ISERROR(VLOOKUP($B20,FFTodayData!$AB:$AK,4,0))),"",VLOOKUP($B20,FFTodayData!$AB:$AK,4,0))</f>
        <v>90</v>
      </c>
      <c r="G20" s="33">
        <f>IF(OR(($A20=Settings!$A$31),($A20=Settings!$A$32),ISERROR(VLOOKUP($B20,FFTodayData!$AB:$AK,5,0))),"",VLOOKUP($B20,FFTodayData!$AB:$AK,5,0))</f>
        <v>1179</v>
      </c>
      <c r="H20" s="64">
        <f>IF(OR(($A20=Settings!$A$31),($A20=Settings!$A$32),ISERROR(VLOOKUP($B20,FFTodayData!$AB:$AK,6,0))),"",VLOOKUP($B20,FFTodayData!$AB:$AK,6,0))</f>
        <v>7</v>
      </c>
      <c r="I20" s="117">
        <f>IF(ISERROR(VLOOKUP($A20,ESPNData!$AH:$AU,9,0)),"",VLOOKUP($A20,ESPNData!$AH:$AU,9,0))</f>
        <v>0</v>
      </c>
      <c r="J20" s="33">
        <f>IF(ISERROR(VLOOKUP($A20,ESPNData!$AH:$AU,10,0)),"",VLOOKUP($A20,ESPNData!$AH:$AU,10,0))</f>
        <v>0</v>
      </c>
      <c r="K20" s="33">
        <f>IF(ISERROR(VLOOKUP($A20,ESPNData!$AH:$AU,11,0)),"",VLOOKUP($A20,ESPNData!$AH:$AU,11,0))</f>
        <v>80</v>
      </c>
      <c r="L20" s="33">
        <f>IF(ISERROR(VLOOKUP($A20,ESPNData!$AH:$AU,12,0)),"",VLOOKUP($A20,ESPNData!$AH:$AU,12,0))</f>
        <v>1004</v>
      </c>
      <c r="M20" s="64">
        <f>IF(ISERROR(VLOOKUP($A20,ESPNData!$AH:$AU,13,0)),"",VLOOKUP($A20,ESPNData!$AH:$AU,13,0))</f>
        <v>7</v>
      </c>
      <c r="N20" s="117">
        <f>IF(OR(($A20=Settings!$A$31),($A20=Settings!$A$32),ISERROR(VLOOKUP($B20,SportslineData!$AD:$AK,3,0))),"",ROUND(VLOOKUP($B20,SportslineData!$AD:$AK,3,0),0))</f>
        <v>86</v>
      </c>
      <c r="O20" s="33">
        <f>IF(OR(($A20=Settings!$A$31),($A20=Settings!$A$32),ISERROR(VLOOKUP($B20,SportslineData!$AD:$AK,4,0))),"",VLOOKUP($B20,SportslineData!$AD:$AK,4,0))</f>
        <v>1088.5</v>
      </c>
      <c r="P20" s="33">
        <f>IF(OR(($A20=Settings!$A$31),($A20=Settings!$A$32),ISERROR(VLOOKUP($B20,SportslineData!$AD:$AK,6,0))),"",ROUND(VLOOKUP($B20,SportslineData!$AD:$AK,6,0),0))</f>
        <v>8</v>
      </c>
      <c r="Q20" s="64">
        <f>IF(OR(($A20=Settings!$A$31),($A20=Settings!$A$32),ISERROR(VLOOKUP($B20,SportslineData!$AD:$AK,7,0))),"",ROUND(VLOOKUP($B20,SportslineData!$AD:$AK,7,0),0))</f>
        <v>1</v>
      </c>
      <c r="R20" s="117"/>
      <c r="S20" s="33"/>
      <c r="T20" s="38">
        <f>IF(ISERROR(ROUND((((((ROUNDDOWN((D20/5),0)*Settings!$F$7)+(E20*Settings!$I$7))+(F20*Settings!$I$11))+(ROUNDDOWN((G20/5),0)*Settings!$F$11))+(H20*Settings!$F$12)),1)),0,ROUND((((((ROUNDDOWN((D20/5),0)*Settings!$F$7)+(E20*Settings!$I$7))+(F20*Settings!$I$11))+(ROUNDDOWN((G20/5),0)*Settings!$F$11))+(H20*Settings!$F$12)),1))</f>
        <v>204.5</v>
      </c>
      <c r="U20" s="38">
        <f>IF(ISERROR(ROUND((((((ROUNDDOWN((I20/5),0)*Settings!$F$7)+(J20*Settings!$I$7))+(K20*Settings!$I$11))+(ROUNDDOWN((L20/5),0)*Settings!$F$11))+(M20*Settings!$F$12)),1)),0,ROUND((((((ROUNDDOWN((I20/5),0)*Settings!$F$7)+(J20*Settings!$I$7))+(K20*Settings!$I$11))+(ROUNDDOWN((L20/5),0)*Settings!$F$11))+(M20*Settings!$F$12)),1))</f>
        <v>182</v>
      </c>
      <c r="V20" s="38">
        <f>IF((N20=""),0,((((N20*Settings!$I$11)+(ROUND((O20/5),0)*Settings!$F$11))+(P20*Settings!$F$12))+(Q20*Settings!$F$15)))</f>
        <v>199</v>
      </c>
      <c r="W20" s="66">
        <f>ROUND((((T20*Settings!$B$21)+(U20*Settings!$B$22))+(V20*Settings!$B$23)),1)</f>
        <v>195.2</v>
      </c>
      <c r="X20" s="66">
        <f>IF(ISERROR(VLOOKUP(RANK(W20,W$4:W$182),X$4:X19,1,0)),RANK(W20,W$4:W$182),IF(ISERROR(VLOOKUP((RANK(W20,W$4:W$182)+1),X$4:X19,1,0)),(RANK(W20,W$4:W$182)+1),IF(ISERROR(VLOOKUP((RANK(W20,W$4:W$182)+2),X$4:X19,1,0)),(RANK(W20,W$4:W$182)+2),(RANK(W20,W$4:W$182)+3))))</f>
        <v>18</v>
      </c>
      <c r="Y20" t="str">
        <f t="shared" si="2"/>
        <v>Roddy White</v>
      </c>
    </row>
    <row r="21" spans="1:25" ht="12.75" customHeight="1">
      <c r="A21" s="33" t="str">
        <f>ESPNData!AH20</f>
        <v>DeSean Jackson, Wsh WR</v>
      </c>
      <c r="B21" s="33" t="str">
        <f t="shared" si="0"/>
        <v>DeSean Jackson</v>
      </c>
      <c r="C21" s="64" t="str">
        <f t="shared" si="1"/>
        <v>WSH</v>
      </c>
      <c r="D21" s="117">
        <f>IF(OR(($A21=Settings!$A$31),($A21=Settings!$A$32),ISERROR(VLOOKUP($B21,FFTodayData!$AB:$AK,8,0))),"",VLOOKUP($B21,FFTodayData!$AB:$AK,8,0))</f>
        <v>22</v>
      </c>
      <c r="E21" s="33">
        <f>IF(OR(($A21=Settings!$A$31),($A21=Settings!$A$32),ISERROR(VLOOKUP($B21,FFTodayData!$AB:$AK,9,0))),"",VLOOKUP($B21,FFTodayData!$AB:$AK,9,0))</f>
        <v>0</v>
      </c>
      <c r="F21" s="33">
        <f>IF(OR(($A21=Settings!$A$31),($A21=Settings!$A$32),ISERROR(VLOOKUP($B21,FFTodayData!$AB:$AK,4,0))),"",VLOOKUP($B21,FFTodayData!$AB:$AK,4,0))</f>
        <v>61</v>
      </c>
      <c r="G21" s="33">
        <f>IF(OR(($A21=Settings!$A$31),($A21=Settings!$A$32),ISERROR(VLOOKUP($B21,FFTodayData!$AB:$AK,5,0))),"",VLOOKUP($B21,FFTodayData!$AB:$AK,5,0))</f>
        <v>940</v>
      </c>
      <c r="H21" s="64">
        <f>IF(OR(($A21=Settings!$A$31),($A21=Settings!$A$32),ISERROR(VLOOKUP($B21,FFTodayData!$AB:$AK,6,0))),"",VLOOKUP($B21,FFTodayData!$AB:$AK,6,0))</f>
        <v>6</v>
      </c>
      <c r="I21" s="117">
        <f>IF(ISERROR(VLOOKUP($A21,ESPNData!$AH:$AU,9,0)),"",VLOOKUP($A21,ESPNData!$AH:$AU,9,0))</f>
        <v>26</v>
      </c>
      <c r="J21" s="33">
        <f>IF(ISERROR(VLOOKUP($A21,ESPNData!$AH:$AU,10,0)),"",VLOOKUP($A21,ESPNData!$AH:$AU,10,0))</f>
        <v>0</v>
      </c>
      <c r="K21" s="33">
        <f>IF(ISERROR(VLOOKUP($A21,ESPNData!$AH:$AU,11,0)),"",VLOOKUP($A21,ESPNData!$AH:$AU,11,0))</f>
        <v>65</v>
      </c>
      <c r="L21" s="33">
        <f>IF(ISERROR(VLOOKUP($A21,ESPNData!$AH:$AU,12,0)),"",VLOOKUP($A21,ESPNData!$AH:$AU,12,0))</f>
        <v>1031</v>
      </c>
      <c r="M21" s="64">
        <f>IF(ISERROR(VLOOKUP($A21,ESPNData!$AH:$AU,13,0)),"",VLOOKUP($A21,ESPNData!$AH:$AU,13,0))</f>
        <v>7</v>
      </c>
      <c r="N21" s="117">
        <f>IF(OR(($A21=Settings!$A$31),($A21=Settings!$A$32),ISERROR(VLOOKUP($B21,SportslineData!$AD:$AK,3,0))),"",ROUND(VLOOKUP($B21,SportslineData!$AD:$AK,3,0),0))</f>
        <v>58</v>
      </c>
      <c r="O21" s="33">
        <f>IF(OR(($A21=Settings!$A$31),($A21=Settings!$A$32),ISERROR(VLOOKUP($B21,SportslineData!$AD:$AK,4,0))),"",VLOOKUP($B21,SportslineData!$AD:$AK,4,0))</f>
        <v>949.5</v>
      </c>
      <c r="P21" s="33">
        <f>IF(OR(($A21=Settings!$A$31),($A21=Settings!$A$32),ISERROR(VLOOKUP($B21,SportslineData!$AD:$AK,6,0))),"",ROUND(VLOOKUP($B21,SportslineData!$AD:$AK,6,0),0))</f>
        <v>8</v>
      </c>
      <c r="Q21" s="64">
        <f>IF(OR(($A21=Settings!$A$31),($A21=Settings!$A$32),ISERROR(VLOOKUP($B21,SportslineData!$AD:$AK,7,0))),"",ROUND(VLOOKUP($B21,SportslineData!$AD:$AK,7,0),0))</f>
        <v>1</v>
      </c>
      <c r="R21" s="117"/>
      <c r="S21" s="33"/>
      <c r="T21" s="38">
        <f>IF(ISERROR(ROUND((((((ROUNDDOWN((D21/5),0)*Settings!$F$7)+(E21*Settings!$I$7))+(F21*Settings!$I$11))+(ROUNDDOWN((G21/5),0)*Settings!$F$11))+(H21*Settings!$F$12)),1)),0,ROUND((((((ROUNDDOWN((D21/5),0)*Settings!$F$7)+(E21*Settings!$I$7))+(F21*Settings!$I$11))+(ROUNDDOWN((G21/5),0)*Settings!$F$11))+(H21*Settings!$F$12)),1))</f>
        <v>162.5</v>
      </c>
      <c r="U21" s="38">
        <f>IF(ISERROR(ROUND((((((ROUNDDOWN((I21/5),0)*Settings!$F$7)+(J21*Settings!$I$7))+(K21*Settings!$I$11))+(ROUNDDOWN((L21/5),0)*Settings!$F$11))+(M21*Settings!$F$12)),1)),0,ROUND((((((ROUNDDOWN((I21/5),0)*Settings!$F$7)+(J21*Settings!$I$7))+(K21*Settings!$I$11))+(ROUNDDOWN((L21/5),0)*Settings!$F$11))+(M21*Settings!$F$12)),1))</f>
        <v>180</v>
      </c>
      <c r="V21" s="38">
        <f>IF((N21=""),0,((((N21*Settings!$I$11)+(ROUND((O21/5),0)*Settings!$F$11))+(P21*Settings!$F$12))+(Q21*Settings!$F$15)))</f>
        <v>171</v>
      </c>
      <c r="W21" s="66">
        <f>ROUND((((T21*Settings!$B$21)+(U21*Settings!$B$22))+(V21*Settings!$B$23)),1)</f>
        <v>171.2</v>
      </c>
      <c r="X21" s="66">
        <f>IF(ISERROR(VLOOKUP(RANK(W21,W$4:W$182),X$4:X20,1,0)),RANK(W21,W$4:W$182),IF(ISERROR(VLOOKUP((RANK(W21,W$4:W$182)+1),X$4:X20,1,0)),(RANK(W21,W$4:W$182)+1),IF(ISERROR(VLOOKUP((RANK(W21,W$4:W$182)+2),X$4:X20,1,0)),(RANK(W21,W$4:W$182)+2),(RANK(W21,W$4:W$182)+3))))</f>
        <v>30</v>
      </c>
      <c r="Y21" t="str">
        <f t="shared" si="2"/>
        <v>DeSean Jackson</v>
      </c>
    </row>
    <row r="22" spans="1:25" ht="12.75" customHeight="1">
      <c r="A22" s="33" t="str">
        <f>ESPNData!AH21</f>
        <v>Wes Welker, Den WR</v>
      </c>
      <c r="B22" s="33" t="str">
        <f t="shared" si="0"/>
        <v>Wes Welker</v>
      </c>
      <c r="C22" s="64" t="str">
        <f t="shared" si="1"/>
        <v>DEN</v>
      </c>
      <c r="D22" s="117">
        <f>IF(OR(($A22=Settings!$A$31),($A22=Settings!$A$32),ISERROR(VLOOKUP($B22,FFTodayData!$AB:$AK,8,0))),"",VLOOKUP($B22,FFTodayData!$AB:$AK,8,0))</f>
        <v>0</v>
      </c>
      <c r="E22" s="33">
        <f>IF(OR(($A22=Settings!$A$31),($A22=Settings!$A$32),ISERROR(VLOOKUP($B22,FFTodayData!$AB:$AK,9,0))),"",VLOOKUP($B22,FFTodayData!$AB:$AK,9,0))</f>
        <v>0</v>
      </c>
      <c r="F22" s="33">
        <f>IF(OR(($A22=Settings!$A$31),($A22=Settings!$A$32),ISERROR(VLOOKUP($B22,FFTodayData!$AB:$AK,4,0))),"",VLOOKUP($B22,FFTodayData!$AB:$AK,4,0))</f>
        <v>89</v>
      </c>
      <c r="G22" s="33">
        <f>IF(OR(($A22=Settings!$A$31),($A22=Settings!$A$32),ISERROR(VLOOKUP($B22,FFTodayData!$AB:$AK,5,0))),"",VLOOKUP($B22,FFTodayData!$AB:$AK,5,0))</f>
        <v>967</v>
      </c>
      <c r="H22" s="64">
        <f>IF(OR(($A22=Settings!$A$31),($A22=Settings!$A$32),ISERROR(VLOOKUP($B22,FFTodayData!$AB:$AK,6,0))),"",VLOOKUP($B22,FFTodayData!$AB:$AK,6,0))</f>
        <v>8</v>
      </c>
      <c r="I22" s="117">
        <f>IF(ISERROR(VLOOKUP($A22,ESPNData!$AH:$AU,9,0)),"",VLOOKUP($A22,ESPNData!$AH:$AU,9,0))</f>
        <v>0</v>
      </c>
      <c r="J22" s="33">
        <f>IF(ISERROR(VLOOKUP($A22,ESPNData!$AH:$AU,10,0)),"",VLOOKUP($A22,ESPNData!$AH:$AU,10,0))</f>
        <v>0</v>
      </c>
      <c r="K22" s="33">
        <f>IF(ISERROR(VLOOKUP($A22,ESPNData!$AH:$AU,11,0)),"",VLOOKUP($A22,ESPNData!$AH:$AU,11,0))</f>
        <v>76</v>
      </c>
      <c r="L22" s="33">
        <f>IF(ISERROR(VLOOKUP($A22,ESPNData!$AH:$AU,12,0)),"",VLOOKUP($A22,ESPNData!$AH:$AU,12,0))</f>
        <v>998</v>
      </c>
      <c r="M22" s="64">
        <f>IF(ISERROR(VLOOKUP($A22,ESPNData!$AH:$AU,13,0)),"",VLOOKUP($A22,ESPNData!$AH:$AU,13,0))</f>
        <v>6</v>
      </c>
      <c r="N22" s="117">
        <f>IF(OR(($A22=Settings!$A$31),($A22=Settings!$A$32),ISERROR(VLOOKUP($B22,SportslineData!$AD:$AK,3,0))),"",ROUND(VLOOKUP($B22,SportslineData!$AD:$AK,3,0),0))</f>
        <v>81</v>
      </c>
      <c r="O22" s="33">
        <f>IF(OR(($A22=Settings!$A$31),($A22=Settings!$A$32),ISERROR(VLOOKUP($B22,SportslineData!$AD:$AK,4,0))),"",VLOOKUP($B22,SportslineData!$AD:$AK,4,0))</f>
        <v>975.5</v>
      </c>
      <c r="P22" s="33">
        <f>IF(OR(($A22=Settings!$A$31),($A22=Settings!$A$32),ISERROR(VLOOKUP($B22,SportslineData!$AD:$AK,6,0))),"",ROUND(VLOOKUP($B22,SportslineData!$AD:$AK,6,0),0))</f>
        <v>9</v>
      </c>
      <c r="Q22" s="64">
        <f>IF(OR(($A22=Settings!$A$31),($A22=Settings!$A$32),ISERROR(VLOOKUP($B22,SportslineData!$AD:$AK,7,0))),"",ROUND(VLOOKUP($B22,SportslineData!$AD:$AK,7,0),0))</f>
        <v>1</v>
      </c>
      <c r="R22" s="117"/>
      <c r="S22" s="33"/>
      <c r="T22" s="38">
        <f>IF(ISERROR(ROUND((((((ROUNDDOWN((D22/5),0)*Settings!$F$7)+(E22*Settings!$I$7))+(F22*Settings!$I$11))+(ROUNDDOWN((G22/5),0)*Settings!$F$11))+(H22*Settings!$F$12)),1)),0,ROUND((((((ROUNDDOWN((D22/5),0)*Settings!$F$7)+(E22*Settings!$I$7))+(F22*Settings!$I$11))+(ROUNDDOWN((G22/5),0)*Settings!$F$11))+(H22*Settings!$F$12)),1))</f>
        <v>189</v>
      </c>
      <c r="U22" s="38">
        <f>IF(ISERROR(ROUND((((((ROUNDDOWN((I22/5),0)*Settings!$F$7)+(J22*Settings!$I$7))+(K22*Settings!$I$11))+(ROUNDDOWN((L22/5),0)*Settings!$F$11))+(M22*Settings!$F$12)),1)),0,ROUND((((((ROUNDDOWN((I22/5),0)*Settings!$F$7)+(J22*Settings!$I$7))+(K22*Settings!$I$11))+(ROUNDDOWN((L22/5),0)*Settings!$F$11))+(M22*Settings!$F$12)),1))</f>
        <v>173.5</v>
      </c>
      <c r="V22" s="38">
        <f>IF((N22=""),0,((((N22*Settings!$I$11)+(ROUND((O22/5),0)*Settings!$F$11))+(P22*Settings!$F$12))+(Q22*Settings!$F$15)))</f>
        <v>191</v>
      </c>
      <c r="W22" s="66">
        <f>ROUND((((T22*Settings!$B$21)+(U22*Settings!$B$22))+(V22*Settings!$B$23)),1)</f>
        <v>184.6</v>
      </c>
      <c r="X22" s="66">
        <f>IF(ISERROR(VLOOKUP(RANK(W22,W$4:W$182),X$4:X21,1,0)),RANK(W22,W$4:W$182),IF(ISERROR(VLOOKUP((RANK(W22,W$4:W$182)+1),X$4:X21,1,0)),(RANK(W22,W$4:W$182)+1),IF(ISERROR(VLOOKUP((RANK(W22,W$4:W$182)+2),X$4:X21,1,0)),(RANK(W22,W$4:W$182)+2),(RANK(W22,W$4:W$182)+3))))</f>
        <v>20</v>
      </c>
      <c r="Y22" t="str">
        <f t="shared" si="2"/>
        <v>Wes Welker</v>
      </c>
    </row>
    <row r="23" spans="1:25" ht="12.75" customHeight="1">
      <c r="A23" s="33" t="str">
        <f>ESPNData!AH22</f>
        <v>Percy Harvin, Sea WR</v>
      </c>
      <c r="B23" s="33" t="str">
        <f t="shared" si="0"/>
        <v>Percy Harvin</v>
      </c>
      <c r="C23" s="64" t="str">
        <f t="shared" si="1"/>
        <v>SEA</v>
      </c>
      <c r="D23" s="117">
        <f>IF(OR(($A23=Settings!$A$31),($A23=Settings!$A$32),ISERROR(VLOOKUP($B23,FFTodayData!$AB:$AK,8,0))),"",VLOOKUP($B23,FFTodayData!$AB:$AK,8,0))</f>
        <v>145</v>
      </c>
      <c r="E23" s="33">
        <f>IF(OR(($A23=Settings!$A$31),($A23=Settings!$A$32),ISERROR(VLOOKUP($B23,FFTodayData!$AB:$AK,9,0))),"",VLOOKUP($B23,FFTodayData!$AB:$AK,9,0))</f>
        <v>1</v>
      </c>
      <c r="F23" s="33">
        <f>IF(OR(($A23=Settings!$A$31),($A23=Settings!$A$32),ISERROR(VLOOKUP($B23,FFTodayData!$AB:$AK,4,0))),"",VLOOKUP($B23,FFTodayData!$AB:$AK,4,0))</f>
        <v>94</v>
      </c>
      <c r="G23" s="33">
        <f>IF(OR(($A23=Settings!$A$31),($A23=Settings!$A$32),ISERROR(VLOOKUP($B23,FFTodayData!$AB:$AK,5,0))),"",VLOOKUP($B23,FFTodayData!$AB:$AK,5,0))</f>
        <v>1067</v>
      </c>
      <c r="H23" s="64">
        <f>IF(OR(($A23=Settings!$A$31),($A23=Settings!$A$32),ISERROR(VLOOKUP($B23,FFTodayData!$AB:$AK,6,0))),"",VLOOKUP($B23,FFTodayData!$AB:$AK,6,0))</f>
        <v>7</v>
      </c>
      <c r="I23" s="117">
        <f>IF(ISERROR(VLOOKUP($A23,ESPNData!$AH:$AU,9,0)),"",VLOOKUP($A23,ESPNData!$AH:$AU,9,0))</f>
        <v>81</v>
      </c>
      <c r="J23" s="33">
        <f>IF(ISERROR(VLOOKUP($A23,ESPNData!$AH:$AU,10,0)),"",VLOOKUP($A23,ESPNData!$AH:$AU,10,0))</f>
        <v>1</v>
      </c>
      <c r="K23" s="33">
        <f>IF(ISERROR(VLOOKUP($A23,ESPNData!$AH:$AU,11,0)),"",VLOOKUP($A23,ESPNData!$AH:$AU,11,0))</f>
        <v>77</v>
      </c>
      <c r="L23" s="33">
        <f>IF(ISERROR(VLOOKUP($A23,ESPNData!$AH:$AU,12,0)),"",VLOOKUP($A23,ESPNData!$AH:$AU,12,0))</f>
        <v>916</v>
      </c>
      <c r="M23" s="64">
        <f>IF(ISERROR(VLOOKUP($A23,ESPNData!$AH:$AU,13,0)),"",VLOOKUP($A23,ESPNData!$AH:$AU,13,0))</f>
        <v>4</v>
      </c>
      <c r="N23" s="117">
        <f>IF(OR(($A23=Settings!$A$31),($A23=Settings!$A$32),ISERROR(VLOOKUP($B23,SportslineData!$AD:$AK,3,0))),"",ROUND(VLOOKUP($B23,SportslineData!$AD:$AK,3,0),0))</f>
        <v>68</v>
      </c>
      <c r="O23" s="33">
        <f>IF(OR(($A23=Settings!$A$31),($A23=Settings!$A$32),ISERROR(VLOOKUP($B23,SportslineData!$AD:$AK,4,0))),"",VLOOKUP($B23,SportslineData!$AD:$AK,4,0))</f>
        <v>853</v>
      </c>
      <c r="P23" s="33">
        <f>IF(OR(($A23=Settings!$A$31),($A23=Settings!$A$32),ISERROR(VLOOKUP($B23,SportslineData!$AD:$AK,6,0))),"",ROUND(VLOOKUP($B23,SportslineData!$AD:$AK,6,0),0))</f>
        <v>7</v>
      </c>
      <c r="Q23" s="64">
        <f>IF(OR(($A23=Settings!$A$31),($A23=Settings!$A$32),ISERROR(VLOOKUP($B23,SportslineData!$AD:$AK,7,0))),"",ROUND(VLOOKUP($B23,SportslineData!$AD:$AK,7,0),0))</f>
        <v>1</v>
      </c>
      <c r="R23" s="117"/>
      <c r="S23" s="33"/>
      <c r="T23" s="38">
        <f>IF(ISERROR(ROUND((((((ROUNDDOWN((D23/5),0)*Settings!$F$7)+(E23*Settings!$I$7))+(F23*Settings!$I$11))+(ROUNDDOWN((G23/5),0)*Settings!$F$11))+(H23*Settings!$F$12)),1)),0,ROUND((((((ROUNDDOWN((D23/5),0)*Settings!$F$7)+(E23*Settings!$I$7))+(F23*Settings!$I$11))+(ROUNDDOWN((G23/5),0)*Settings!$F$11))+(H23*Settings!$F$12)),1))</f>
        <v>216</v>
      </c>
      <c r="U23" s="38">
        <f>IF(ISERROR(ROUND((((((ROUNDDOWN((I23/5),0)*Settings!$F$7)+(J23*Settings!$I$7))+(K23*Settings!$I$11))+(ROUNDDOWN((L23/5),0)*Settings!$F$11))+(M23*Settings!$F$12)),1)),0,ROUND((((((ROUNDDOWN((I23/5),0)*Settings!$F$7)+(J23*Settings!$I$7))+(K23*Settings!$I$11))+(ROUNDDOWN((L23/5),0)*Settings!$F$11))+(M23*Settings!$F$12)),1))</f>
        <v>168</v>
      </c>
      <c r="V23" s="38">
        <f>IF((N23=""),0,((((N23*Settings!$I$11)+(ROUND((O23/5),0)*Settings!$F$11))+(P23*Settings!$F$12))+(Q23*Settings!$F$15)))</f>
        <v>160.5</v>
      </c>
      <c r="W23" s="66">
        <f>ROUND((((T23*Settings!$B$21)+(U23*Settings!$B$22))+(V23*Settings!$B$23)),1)</f>
        <v>181.3</v>
      </c>
      <c r="X23" s="66">
        <f>IF(ISERROR(VLOOKUP(RANK(W23,W$4:W$182),X$4:X22,1,0)),RANK(W23,W$4:W$182),IF(ISERROR(VLOOKUP((RANK(W23,W$4:W$182)+1),X$4:X22,1,0)),(RANK(W23,W$4:W$182)+1),IF(ISERROR(VLOOKUP((RANK(W23,W$4:W$182)+2),X$4:X22,1,0)),(RANK(W23,W$4:W$182)+2),(RANK(W23,W$4:W$182)+3))))</f>
        <v>22</v>
      </c>
      <c r="Y23" t="str">
        <f t="shared" si="2"/>
        <v>Percy Harvin</v>
      </c>
    </row>
    <row r="24" spans="1:25" ht="12.75" customHeight="1">
      <c r="A24" s="33" t="str">
        <f>ESPNData!AH23</f>
        <v>Michael Crabtree, SF WR</v>
      </c>
      <c r="B24" s="33" t="str">
        <f t="shared" si="0"/>
        <v>Michael Crabtree</v>
      </c>
      <c r="C24" s="64" t="str">
        <f t="shared" si="1"/>
        <v>SF</v>
      </c>
      <c r="D24" s="117">
        <f>IF(OR(($A24=Settings!$A$31),($A24=Settings!$A$32),ISERROR(VLOOKUP($B24,FFTodayData!$AB:$AK,8,0))),"",VLOOKUP($B24,FFTodayData!$AB:$AK,8,0))</f>
        <v>0</v>
      </c>
      <c r="E24" s="33">
        <f>IF(OR(($A24=Settings!$A$31),($A24=Settings!$A$32),ISERROR(VLOOKUP($B24,FFTodayData!$AB:$AK,9,0))),"",VLOOKUP($B24,FFTodayData!$AB:$AK,9,0))</f>
        <v>0</v>
      </c>
      <c r="F24" s="33">
        <f>IF(OR(($A24=Settings!$A$31),($A24=Settings!$A$32),ISERROR(VLOOKUP($B24,FFTodayData!$AB:$AK,4,0))),"",VLOOKUP($B24,FFTodayData!$AB:$AK,4,0))</f>
        <v>77</v>
      </c>
      <c r="G24" s="33">
        <f>IF(OR(($A24=Settings!$A$31),($A24=Settings!$A$32),ISERROR(VLOOKUP($B24,FFTodayData!$AB:$AK,5,0))),"",VLOOKUP($B24,FFTodayData!$AB:$AK,5,0))</f>
        <v>1096</v>
      </c>
      <c r="H24" s="64">
        <f>IF(OR(($A24=Settings!$A$31),($A24=Settings!$A$32),ISERROR(VLOOKUP($B24,FFTodayData!$AB:$AK,6,0))),"",VLOOKUP($B24,FFTodayData!$AB:$AK,6,0))</f>
        <v>7</v>
      </c>
      <c r="I24" s="117">
        <f>IF(ISERROR(VLOOKUP($A24,ESPNData!$AH:$AU,9,0)),"",VLOOKUP($A24,ESPNData!$AH:$AU,9,0))</f>
        <v>12</v>
      </c>
      <c r="J24" s="33">
        <f>IF(ISERROR(VLOOKUP($A24,ESPNData!$AH:$AU,10,0)),"",VLOOKUP($A24,ESPNData!$AH:$AU,10,0))</f>
        <v>0</v>
      </c>
      <c r="K24" s="33">
        <f>IF(ISERROR(VLOOKUP($A24,ESPNData!$AH:$AU,11,0)),"",VLOOKUP($A24,ESPNData!$AH:$AU,11,0))</f>
        <v>80</v>
      </c>
      <c r="L24" s="33">
        <f>IF(ISERROR(VLOOKUP($A24,ESPNData!$AH:$AU,12,0)),"",VLOOKUP($A24,ESPNData!$AH:$AU,12,0))</f>
        <v>1043</v>
      </c>
      <c r="M24" s="64">
        <f>IF(ISERROR(VLOOKUP($A24,ESPNData!$AH:$AU,13,0)),"",VLOOKUP($A24,ESPNData!$AH:$AU,13,0))</f>
        <v>6</v>
      </c>
      <c r="N24" s="117">
        <f>IF(OR(($A24=Settings!$A$31),($A24=Settings!$A$32),ISERROR(VLOOKUP($B24,SportslineData!$AD:$AK,3,0))),"",ROUND(VLOOKUP($B24,SportslineData!$AD:$AK,3,0),0))</f>
        <v>83</v>
      </c>
      <c r="O24" s="33">
        <f>IF(OR(($A24=Settings!$A$31),($A24=Settings!$A$32),ISERROR(VLOOKUP($B24,SportslineData!$AD:$AK,4,0))),"",VLOOKUP($B24,SportslineData!$AD:$AK,4,0))</f>
        <v>1209.5</v>
      </c>
      <c r="P24" s="33">
        <f>IF(OR(($A24=Settings!$A$31),($A24=Settings!$A$32),ISERROR(VLOOKUP($B24,SportslineData!$AD:$AK,6,0))),"",ROUND(VLOOKUP($B24,SportslineData!$AD:$AK,6,0),0))</f>
        <v>9</v>
      </c>
      <c r="Q24" s="64">
        <f>IF(OR(($A24=Settings!$A$31),($A24=Settings!$A$32),ISERROR(VLOOKUP($B24,SportslineData!$AD:$AK,7,0))),"",ROUND(VLOOKUP($B24,SportslineData!$AD:$AK,7,0),0))</f>
        <v>1</v>
      </c>
      <c r="R24" s="117"/>
      <c r="S24" s="33"/>
      <c r="T24" s="38">
        <f>IF(ISERROR(ROUND((((((ROUNDDOWN((D24/5),0)*Settings!$F$7)+(E24*Settings!$I$7))+(F24*Settings!$I$11))+(ROUNDDOWN((G24/5),0)*Settings!$F$11))+(H24*Settings!$F$12)),1)),0,ROUND((((((ROUNDDOWN((D24/5),0)*Settings!$F$7)+(E24*Settings!$I$7))+(F24*Settings!$I$11))+(ROUNDDOWN((G24/5),0)*Settings!$F$11))+(H24*Settings!$F$12)),1))</f>
        <v>190</v>
      </c>
      <c r="U24" s="38">
        <f>IF(ISERROR(ROUND((((((ROUNDDOWN((I24/5),0)*Settings!$F$7)+(J24*Settings!$I$7))+(K24*Settings!$I$11))+(ROUNDDOWN((L24/5),0)*Settings!$F$11))+(M24*Settings!$F$12)),1)),0,ROUND((((((ROUNDDOWN((I24/5),0)*Settings!$F$7)+(J24*Settings!$I$7))+(K24*Settings!$I$11))+(ROUNDDOWN((L24/5),0)*Settings!$F$11))+(M24*Settings!$F$12)),1))</f>
        <v>181</v>
      </c>
      <c r="V24" s="38">
        <f>IF((N24=""),0,((((N24*Settings!$I$11)+(ROUND((O24/5),0)*Settings!$F$11))+(P24*Settings!$F$12))+(Q24*Settings!$F$15)))</f>
        <v>215.5</v>
      </c>
      <c r="W24" s="66">
        <f>ROUND((((T24*Settings!$B$21)+(U24*Settings!$B$22))+(V24*Settings!$B$23)),1)</f>
        <v>195.7</v>
      </c>
      <c r="X24" s="66">
        <f>IF(ISERROR(VLOOKUP(RANK(W24,W$4:W$182),X$4:X23,1,0)),RANK(W24,W$4:W$182),IF(ISERROR(VLOOKUP((RANK(W24,W$4:W$182)+1),X$4:X23,1,0)),(RANK(W24,W$4:W$182)+1),IF(ISERROR(VLOOKUP((RANK(W24,W$4:W$182)+2),X$4:X23,1,0)),(RANK(W24,W$4:W$182)+2),(RANK(W24,W$4:W$182)+3))))</f>
        <v>17</v>
      </c>
      <c r="Y24" t="str">
        <f t="shared" si="2"/>
        <v>Michael Crabtree</v>
      </c>
    </row>
    <row r="25" spans="1:25" ht="12.75" customHeight="1">
      <c r="A25" s="33" t="str">
        <f>ESPNData!AH24</f>
        <v>Torrey Smith, Bal WR</v>
      </c>
      <c r="B25" s="33" t="str">
        <f t="shared" si="0"/>
        <v>Torrey Smith</v>
      </c>
      <c r="C25" s="64" t="str">
        <f t="shared" si="1"/>
        <v>BAL</v>
      </c>
      <c r="D25" s="117">
        <f>IF(OR(($A25=Settings!$A$31),($A25=Settings!$A$32),ISERROR(VLOOKUP($B25,FFTodayData!$AB:$AK,8,0))),"",VLOOKUP($B25,FFTodayData!$AB:$AK,8,0))</f>
        <v>21</v>
      </c>
      <c r="E25" s="33">
        <f>IF(OR(($A25=Settings!$A$31),($A25=Settings!$A$32),ISERROR(VLOOKUP($B25,FFTodayData!$AB:$AK,9,0))),"",VLOOKUP($B25,FFTodayData!$AB:$AK,9,0))</f>
        <v>0</v>
      </c>
      <c r="F25" s="33">
        <f>IF(OR(($A25=Settings!$A$31),($A25=Settings!$A$32),ISERROR(VLOOKUP($B25,FFTodayData!$AB:$AK,4,0))),"",VLOOKUP($B25,FFTodayData!$AB:$AK,4,0))</f>
        <v>76</v>
      </c>
      <c r="G25" s="33">
        <f>IF(OR(($A25=Settings!$A$31),($A25=Settings!$A$32),ISERROR(VLOOKUP($B25,FFTodayData!$AB:$AK,5,0))),"",VLOOKUP($B25,FFTodayData!$AB:$AK,5,0))</f>
        <v>1097</v>
      </c>
      <c r="H25" s="64">
        <f>IF(OR(($A25=Settings!$A$31),($A25=Settings!$A$32),ISERROR(VLOOKUP($B25,FFTodayData!$AB:$AK,6,0))),"",VLOOKUP($B25,FFTodayData!$AB:$AK,6,0))</f>
        <v>6</v>
      </c>
      <c r="I25" s="117">
        <f>IF(ISERROR(VLOOKUP($A25,ESPNData!$AH:$AU,9,0)),"",VLOOKUP($A25,ESPNData!$AH:$AU,9,0))</f>
        <v>12</v>
      </c>
      <c r="J25" s="33">
        <f>IF(ISERROR(VLOOKUP($A25,ESPNData!$AH:$AU,10,0)),"",VLOOKUP($A25,ESPNData!$AH:$AU,10,0))</f>
        <v>0</v>
      </c>
      <c r="K25" s="33">
        <f>IF(ISERROR(VLOOKUP($A25,ESPNData!$AH:$AU,11,0)),"",VLOOKUP($A25,ESPNData!$AH:$AU,11,0))</f>
        <v>61</v>
      </c>
      <c r="L25" s="33">
        <f>IF(ISERROR(VLOOKUP($A25,ESPNData!$AH:$AU,12,0)),"",VLOOKUP($A25,ESPNData!$AH:$AU,12,0))</f>
        <v>1056</v>
      </c>
      <c r="M25" s="64">
        <f>IF(ISERROR(VLOOKUP($A25,ESPNData!$AH:$AU,13,0)),"",VLOOKUP($A25,ESPNData!$AH:$AU,13,0))</f>
        <v>6</v>
      </c>
      <c r="N25" s="117">
        <f>IF(OR(($A25=Settings!$A$31),($A25=Settings!$A$32),ISERROR(VLOOKUP($B25,SportslineData!$AD:$AK,3,0))),"",ROUND(VLOOKUP($B25,SportslineData!$AD:$AK,3,0),0))</f>
        <v>64</v>
      </c>
      <c r="O25" s="33">
        <f>IF(OR(($A25=Settings!$A$31),($A25=Settings!$A$32),ISERROR(VLOOKUP($B25,SportslineData!$AD:$AK,4,0))),"",VLOOKUP($B25,SportslineData!$AD:$AK,4,0))</f>
        <v>1039</v>
      </c>
      <c r="P25" s="33">
        <f>IF(OR(($A25=Settings!$A$31),($A25=Settings!$A$32),ISERROR(VLOOKUP($B25,SportslineData!$AD:$AK,6,0))),"",ROUND(VLOOKUP($B25,SportslineData!$AD:$AK,6,0),0))</f>
        <v>6</v>
      </c>
      <c r="Q25" s="64">
        <f>IF(OR(($A25=Settings!$A$31),($A25=Settings!$A$32),ISERROR(VLOOKUP($B25,SportslineData!$AD:$AK,7,0))),"",ROUND(VLOOKUP($B25,SportslineData!$AD:$AK,7,0),0))</f>
        <v>1</v>
      </c>
      <c r="R25" s="117"/>
      <c r="S25" s="33"/>
      <c r="T25" s="38">
        <f>IF(ISERROR(ROUND((((((ROUNDDOWN((D25/5),0)*Settings!$F$7)+(E25*Settings!$I$7))+(F25*Settings!$I$11))+(ROUNDDOWN((G25/5),0)*Settings!$F$11))+(H25*Settings!$F$12)),1)),0,ROUND((((((ROUNDDOWN((D25/5),0)*Settings!$F$7)+(E25*Settings!$I$7))+(F25*Settings!$I$11))+(ROUNDDOWN((G25/5),0)*Settings!$F$11))+(H25*Settings!$F$12)),1))</f>
        <v>185.5</v>
      </c>
      <c r="U25" s="38">
        <f>IF(ISERROR(ROUND((((((ROUNDDOWN((I25/5),0)*Settings!$F$7)+(J25*Settings!$I$7))+(K25*Settings!$I$11))+(ROUNDDOWN((L25/5),0)*Settings!$F$11))+(M25*Settings!$F$12)),1)),0,ROUND((((((ROUNDDOWN((I25/5),0)*Settings!$F$7)+(J25*Settings!$I$7))+(K25*Settings!$I$11))+(ROUNDDOWN((L25/5),0)*Settings!$F$11))+(M25*Settings!$F$12)),1))</f>
        <v>173</v>
      </c>
      <c r="V25" s="38">
        <f>IF((N25=""),0,((((N25*Settings!$I$11)+(ROUND((O25/5),0)*Settings!$F$11))+(P25*Settings!$F$12))+(Q25*Settings!$F$15)))</f>
        <v>171</v>
      </c>
      <c r="W25" s="66">
        <f>ROUND((((T25*Settings!$B$21)+(U25*Settings!$B$22))+(V25*Settings!$B$23)),1)</f>
        <v>176.4</v>
      </c>
      <c r="X25" s="66">
        <f>IF(ISERROR(VLOOKUP(RANK(W25,W$4:W$182),X$4:X24,1,0)),RANK(W25,W$4:W$182),IF(ISERROR(VLOOKUP((RANK(W25,W$4:W$182)+1),X$4:X24,1,0)),(RANK(W25,W$4:W$182)+1),IF(ISERROR(VLOOKUP((RANK(W25,W$4:W$182)+2),X$4:X24,1,0)),(RANK(W25,W$4:W$182)+2),(RANK(W25,W$4:W$182)+3))))</f>
        <v>24</v>
      </c>
      <c r="Y25" t="str">
        <f t="shared" si="2"/>
        <v>Torrey Smith</v>
      </c>
    </row>
    <row r="26" spans="1:25" ht="12.75" customHeight="1">
      <c r="A26" s="33" t="str">
        <f>ESPNData!AH25</f>
        <v>Michael Floyd, Ari WR  P</v>
      </c>
      <c r="B26" s="33" t="str">
        <f t="shared" si="0"/>
        <v>Michael Floyd</v>
      </c>
      <c r="C26" s="64" t="str">
        <f t="shared" si="1"/>
        <v>ARI</v>
      </c>
      <c r="D26" s="117">
        <f>IF(OR(($A26=Settings!$A$31),($A26=Settings!$A$32),ISERROR(VLOOKUP($B26,FFTodayData!$AB:$AK,8,0))),"",VLOOKUP($B26,FFTodayData!$AB:$AK,8,0))</f>
        <v>0</v>
      </c>
      <c r="E26" s="33">
        <f>IF(OR(($A26=Settings!$A$31),($A26=Settings!$A$32),ISERROR(VLOOKUP($B26,FFTodayData!$AB:$AK,9,0))),"",VLOOKUP($B26,FFTodayData!$AB:$AK,9,0))</f>
        <v>0</v>
      </c>
      <c r="F26" s="33">
        <f>IF(OR(($A26=Settings!$A$31),($A26=Settings!$A$32),ISERROR(VLOOKUP($B26,FFTodayData!$AB:$AK,4,0))),"",VLOOKUP($B26,FFTodayData!$AB:$AK,4,0))</f>
        <v>77</v>
      </c>
      <c r="G26" s="33">
        <f>IF(OR(($A26=Settings!$A$31),($A26=Settings!$A$32),ISERROR(VLOOKUP($B26,FFTodayData!$AB:$AK,5,0))),"",VLOOKUP($B26,FFTodayData!$AB:$AK,5,0))</f>
        <v>1177</v>
      </c>
      <c r="H26" s="64">
        <f>IF(OR(($A26=Settings!$A$31),($A26=Settings!$A$32),ISERROR(VLOOKUP($B26,FFTodayData!$AB:$AK,6,0))),"",VLOOKUP($B26,FFTodayData!$AB:$AK,6,0))</f>
        <v>7</v>
      </c>
      <c r="I26" s="117">
        <f>IF(ISERROR(VLOOKUP($A26,ESPNData!$AH:$AU,9,0)),"",VLOOKUP($A26,ESPNData!$AH:$AU,9,0))</f>
        <v>0</v>
      </c>
      <c r="J26" s="33">
        <f>IF(ISERROR(VLOOKUP($A26,ESPNData!$AH:$AU,10,0)),"",VLOOKUP($A26,ESPNData!$AH:$AU,10,0))</f>
        <v>0</v>
      </c>
      <c r="K26" s="33">
        <f>IF(ISERROR(VLOOKUP($A26,ESPNData!$AH:$AU,11,0)),"",VLOOKUP($A26,ESPNData!$AH:$AU,11,0))</f>
        <v>70</v>
      </c>
      <c r="L26" s="33">
        <f>IF(ISERROR(VLOOKUP($A26,ESPNData!$AH:$AU,12,0)),"",VLOOKUP($A26,ESPNData!$AH:$AU,12,0))</f>
        <v>1076</v>
      </c>
      <c r="M26" s="64">
        <f>IF(ISERROR(VLOOKUP($A26,ESPNData!$AH:$AU,13,0)),"",VLOOKUP($A26,ESPNData!$AH:$AU,13,0))</f>
        <v>5</v>
      </c>
      <c r="N26" s="117">
        <f>IF(OR(($A26=Settings!$A$31),($A26=Settings!$A$32),ISERROR(VLOOKUP($B26,SportslineData!$AD:$AK,3,0))),"",ROUND(VLOOKUP($B26,SportslineData!$AD:$AK,3,0),0))</f>
        <v>79</v>
      </c>
      <c r="O26" s="33">
        <f>IF(OR(($A26=Settings!$A$31),($A26=Settings!$A$32),ISERROR(VLOOKUP($B26,SportslineData!$AD:$AK,4,0))),"",VLOOKUP($B26,SportslineData!$AD:$AK,4,0))</f>
        <v>1108</v>
      </c>
      <c r="P26" s="33">
        <f>IF(OR(($A26=Settings!$A$31),($A26=Settings!$A$32),ISERROR(VLOOKUP($B26,SportslineData!$AD:$AK,6,0))),"",ROUND(VLOOKUP($B26,SportslineData!$AD:$AK,6,0),0))</f>
        <v>7</v>
      </c>
      <c r="Q26" s="64">
        <f>IF(OR(($A26=Settings!$A$31),($A26=Settings!$A$32),ISERROR(VLOOKUP($B26,SportslineData!$AD:$AK,7,0))),"",ROUND(VLOOKUP($B26,SportslineData!$AD:$AK,7,0),0))</f>
        <v>0</v>
      </c>
      <c r="R26" s="117"/>
      <c r="S26" s="33"/>
      <c r="T26" s="38">
        <f>IF(ISERROR(ROUND((((((ROUNDDOWN((D26/5),0)*Settings!$F$7)+(E26*Settings!$I$7))+(F26*Settings!$I$11))+(ROUNDDOWN((G26/5),0)*Settings!$F$11))+(H26*Settings!$F$12)),1)),0,ROUND((((((ROUNDDOWN((D26/5),0)*Settings!$F$7)+(E26*Settings!$I$7))+(F26*Settings!$I$11))+(ROUNDDOWN((G26/5),0)*Settings!$F$11))+(H26*Settings!$F$12)),1))</f>
        <v>198</v>
      </c>
      <c r="U26" s="38">
        <f>IF(ISERROR(ROUND((((((ROUNDDOWN((I26/5),0)*Settings!$F$7)+(J26*Settings!$I$7))+(K26*Settings!$I$11))+(ROUNDDOWN((L26/5),0)*Settings!$F$11))+(M26*Settings!$F$12)),1)),0,ROUND((((((ROUNDDOWN((I26/5),0)*Settings!$F$7)+(J26*Settings!$I$7))+(K26*Settings!$I$11))+(ROUNDDOWN((L26/5),0)*Settings!$F$11))+(M26*Settings!$F$12)),1))</f>
        <v>172.5</v>
      </c>
      <c r="V26" s="38">
        <f>IF((N26=""),0,((((N26*Settings!$I$11)+(ROUND((O26/5),0)*Settings!$F$11))+(P26*Settings!$F$12))+(Q26*Settings!$F$15)))</f>
        <v>192.5</v>
      </c>
      <c r="W26" s="66">
        <f>ROUND((((T26*Settings!$B$21)+(U26*Settings!$B$22))+(V26*Settings!$B$23)),1)</f>
        <v>187.7</v>
      </c>
      <c r="X26" s="66">
        <f>IF(ISERROR(VLOOKUP(RANK(W26,W$4:W$182),X$4:X25,1,0)),RANK(W26,W$4:W$182),IF(ISERROR(VLOOKUP((RANK(W26,W$4:W$182)+1),X$4:X25,1,0)),(RANK(W26,W$4:W$182)+1),IF(ISERROR(VLOOKUP((RANK(W26,W$4:W$182)+2),X$4:X25,1,0)),(RANK(W26,W$4:W$182)+2),(RANK(W26,W$4:W$182)+3))))</f>
        <v>19</v>
      </c>
      <c r="Y26" t="str">
        <f t="shared" si="2"/>
        <v>Michael Floyd</v>
      </c>
    </row>
    <row r="27" spans="1:25" ht="12.75" customHeight="1">
      <c r="A27" s="33" t="str">
        <f>ESPNData!AH26</f>
        <v>Cordarrelle Patterson, Min WR</v>
      </c>
      <c r="B27" s="33" t="str">
        <f t="shared" si="0"/>
        <v>Cordarrelle Patterson</v>
      </c>
      <c r="C27" s="64" t="str">
        <f t="shared" si="1"/>
        <v>MIN</v>
      </c>
      <c r="D27" s="117">
        <f>IF(OR(($A27=Settings!$A$31),($A27=Settings!$A$32),ISERROR(VLOOKUP($B27,FFTodayData!$AB:$AK,8,0))),"",VLOOKUP($B27,FFTodayData!$AB:$AK,8,0))</f>
        <v>127</v>
      </c>
      <c r="E27" s="33">
        <f>IF(OR(($A27=Settings!$A$31),($A27=Settings!$A$32),ISERROR(VLOOKUP($B27,FFTodayData!$AB:$AK,9,0))),"",VLOOKUP($B27,FFTodayData!$AB:$AK,9,0))</f>
        <v>1</v>
      </c>
      <c r="F27" s="33">
        <f>IF(OR(($A27=Settings!$A$31),($A27=Settings!$A$32),ISERROR(VLOOKUP($B27,FFTodayData!$AB:$AK,4,0))),"",VLOOKUP($B27,FFTodayData!$AB:$AK,4,0))</f>
        <v>79</v>
      </c>
      <c r="G27" s="33">
        <f>IF(OR(($A27=Settings!$A$31),($A27=Settings!$A$32),ISERROR(VLOOKUP($B27,FFTodayData!$AB:$AK,5,0))),"",VLOOKUP($B27,FFTodayData!$AB:$AK,5,0))</f>
        <v>989</v>
      </c>
      <c r="H27" s="64">
        <f>IF(OR(($A27=Settings!$A$31),($A27=Settings!$A$32),ISERROR(VLOOKUP($B27,FFTodayData!$AB:$AK,6,0))),"",VLOOKUP($B27,FFTodayData!$AB:$AK,6,0))</f>
        <v>7</v>
      </c>
      <c r="I27" s="117">
        <f>IF(ISERROR(VLOOKUP($A27,ESPNData!$AH:$AU,9,0)),"",VLOOKUP($A27,ESPNData!$AH:$AU,9,0))</f>
        <v>104</v>
      </c>
      <c r="J27" s="33">
        <f>IF(ISERROR(VLOOKUP($A27,ESPNData!$AH:$AU,10,0)),"",VLOOKUP($A27,ESPNData!$AH:$AU,10,0))</f>
        <v>1</v>
      </c>
      <c r="K27" s="33">
        <f>IF(ISERROR(VLOOKUP($A27,ESPNData!$AH:$AU,11,0)),"",VLOOKUP($A27,ESPNData!$AH:$AU,11,0))</f>
        <v>73</v>
      </c>
      <c r="L27" s="33">
        <f>IF(ISERROR(VLOOKUP($A27,ESPNData!$AH:$AU,12,0)),"",VLOOKUP($A27,ESPNData!$AH:$AU,12,0))</f>
        <v>814</v>
      </c>
      <c r="M27" s="64">
        <f>IF(ISERROR(VLOOKUP($A27,ESPNData!$AH:$AU,13,0)),"",VLOOKUP($A27,ESPNData!$AH:$AU,13,0))</f>
        <v>7</v>
      </c>
      <c r="N27" s="117">
        <f>IF(OR(($A27=Settings!$A$31),($A27=Settings!$A$32),ISERROR(VLOOKUP($B27,SportslineData!$AD:$AK,3,0))),"",ROUND(VLOOKUP($B27,SportslineData!$AD:$AK,3,0),0))</f>
        <v>65</v>
      </c>
      <c r="O27" s="33">
        <f>IF(OR(($A27=Settings!$A$31),($A27=Settings!$A$32),ISERROR(VLOOKUP($B27,SportslineData!$AD:$AK,4,0))),"",VLOOKUP($B27,SportslineData!$AD:$AK,4,0))</f>
        <v>947</v>
      </c>
      <c r="P27" s="33">
        <f>IF(OR(($A27=Settings!$A$31),($A27=Settings!$A$32),ISERROR(VLOOKUP($B27,SportslineData!$AD:$AK,6,0))),"",ROUND(VLOOKUP($B27,SportslineData!$AD:$AK,6,0),0))</f>
        <v>7</v>
      </c>
      <c r="Q27" s="64">
        <f>IF(OR(($A27=Settings!$A$31),($A27=Settings!$A$32),ISERROR(VLOOKUP($B27,SportslineData!$AD:$AK,7,0))),"",ROUND(VLOOKUP($B27,SportslineData!$AD:$AK,7,0),0))</f>
        <v>0</v>
      </c>
      <c r="R27" s="117"/>
      <c r="S27" s="33"/>
      <c r="T27" s="38">
        <f>IF(ISERROR(ROUND((((((ROUNDDOWN((D27/5),0)*Settings!$F$7)+(E27*Settings!$I$7))+(F27*Settings!$I$11))+(ROUNDDOWN((G27/5),0)*Settings!$F$11))+(H27*Settings!$F$12)),1)),0,ROUND((((((ROUNDDOWN((D27/5),0)*Settings!$F$7)+(E27*Settings!$I$7))+(F27*Settings!$I$11))+(ROUNDDOWN((G27/5),0)*Settings!$F$11))+(H27*Settings!$F$12)),1))</f>
        <v>198.5</v>
      </c>
      <c r="U27" s="38">
        <f>IF(ISERROR(ROUND((((((ROUNDDOWN((I27/5),0)*Settings!$F$7)+(J27*Settings!$I$7))+(K27*Settings!$I$11))+(ROUNDDOWN((L27/5),0)*Settings!$F$11))+(M27*Settings!$F$12)),1)),0,ROUND((((((ROUNDDOWN((I27/5),0)*Settings!$F$7)+(J27*Settings!$I$7))+(K27*Settings!$I$11))+(ROUNDDOWN((L27/5),0)*Settings!$F$11))+(M27*Settings!$F$12)),1))</f>
        <v>175.5</v>
      </c>
      <c r="V27" s="38">
        <f>IF((N27=""),0,((((N27*Settings!$I$11)+(ROUND((O27/5),0)*Settings!$F$11))+(P27*Settings!$F$12))+(Q27*Settings!$F$15)))</f>
        <v>169</v>
      </c>
      <c r="W27" s="66">
        <f>ROUND((((T27*Settings!$B$21)+(U27*Settings!$B$22))+(V27*Settings!$B$23)),1)</f>
        <v>180.9</v>
      </c>
      <c r="X27" s="66">
        <f>IF(ISERROR(VLOOKUP(RANK(W27,W$4:W$182),X$4:X26,1,0)),RANK(W27,W$4:W$182),IF(ISERROR(VLOOKUP((RANK(W27,W$4:W$182)+1),X$4:X26,1,0)),(RANK(W27,W$4:W$182)+1),IF(ISERROR(VLOOKUP((RANK(W27,W$4:W$182)+2),X$4:X26,1,0)),(RANK(W27,W$4:W$182)+2),(RANK(W27,W$4:W$182)+3))))</f>
        <v>23</v>
      </c>
      <c r="Y27" t="str">
        <f t="shared" si="2"/>
        <v>Cordarrelle Patterson</v>
      </c>
    </row>
    <row r="28" spans="1:25" ht="12.75" customHeight="1">
      <c r="A28" s="33" t="str">
        <f>ESPNData!AH27</f>
        <v>Julian Edelman, NE WR</v>
      </c>
      <c r="B28" s="33" t="str">
        <f t="shared" si="0"/>
        <v>Julian Edelman</v>
      </c>
      <c r="C28" s="64" t="str">
        <f t="shared" si="1"/>
        <v>NE</v>
      </c>
      <c r="D28" s="117">
        <f>IF(OR(($A28=Settings!$A$31),($A28=Settings!$A$32),ISERROR(VLOOKUP($B28,FFTodayData!$AB:$AK,8,0))),"",VLOOKUP($B28,FFTodayData!$AB:$AK,8,0))</f>
        <v>0</v>
      </c>
      <c r="E28" s="33">
        <f>IF(OR(($A28=Settings!$A$31),($A28=Settings!$A$32),ISERROR(VLOOKUP($B28,FFTodayData!$AB:$AK,9,0))),"",VLOOKUP($B28,FFTodayData!$AB:$AK,9,0))</f>
        <v>0</v>
      </c>
      <c r="F28" s="33">
        <f>IF(OR(($A28=Settings!$A$31),($A28=Settings!$A$32),ISERROR(VLOOKUP($B28,FFTodayData!$AB:$AK,4,0))),"",VLOOKUP($B28,FFTodayData!$AB:$AK,4,0))</f>
        <v>84</v>
      </c>
      <c r="G28" s="33">
        <f>IF(OR(($A28=Settings!$A$31),($A28=Settings!$A$32),ISERROR(VLOOKUP($B28,FFTodayData!$AB:$AK,5,0))),"",VLOOKUP($B28,FFTodayData!$AB:$AK,5,0))</f>
        <v>946</v>
      </c>
      <c r="H28" s="64">
        <f>IF(OR(($A28=Settings!$A$31),($A28=Settings!$A$32),ISERROR(VLOOKUP($B28,FFTodayData!$AB:$AK,6,0))),"",VLOOKUP($B28,FFTodayData!$AB:$AK,6,0))</f>
        <v>6</v>
      </c>
      <c r="I28" s="117">
        <f>IF(ISERROR(VLOOKUP($A28,ESPNData!$AH:$AU,9,0)),"",VLOOKUP($A28,ESPNData!$AH:$AU,9,0))</f>
        <v>34</v>
      </c>
      <c r="J28" s="33">
        <f>IF(ISERROR(VLOOKUP($A28,ESPNData!$AH:$AU,10,0)),"",VLOOKUP($A28,ESPNData!$AH:$AU,10,0))</f>
        <v>0</v>
      </c>
      <c r="K28" s="33">
        <f>IF(ISERROR(VLOOKUP($A28,ESPNData!$AH:$AU,11,0)),"",VLOOKUP($A28,ESPNData!$AH:$AU,11,0))</f>
        <v>96</v>
      </c>
      <c r="L28" s="33">
        <f>IF(ISERROR(VLOOKUP($A28,ESPNData!$AH:$AU,12,0)),"",VLOOKUP($A28,ESPNData!$AH:$AU,12,0))</f>
        <v>935</v>
      </c>
      <c r="M28" s="64">
        <f>IF(ISERROR(VLOOKUP($A28,ESPNData!$AH:$AU,13,0)),"",VLOOKUP($A28,ESPNData!$AH:$AU,13,0))</f>
        <v>7</v>
      </c>
      <c r="N28" s="117">
        <f>IF(OR(($A28=Settings!$A$31),($A28=Settings!$A$32),ISERROR(VLOOKUP($B28,SportslineData!$AD:$AK,3,0))),"",ROUND(VLOOKUP($B28,SportslineData!$AD:$AK,3,0),0))</f>
        <v>92</v>
      </c>
      <c r="O28" s="33">
        <f>IF(OR(($A28=Settings!$A$31),($A28=Settings!$A$32),ISERROR(VLOOKUP($B28,SportslineData!$AD:$AK,4,0))),"",VLOOKUP($B28,SportslineData!$AD:$AK,4,0))</f>
        <v>1037.5</v>
      </c>
      <c r="P28" s="33">
        <f>IF(OR(($A28=Settings!$A$31),($A28=Settings!$A$32),ISERROR(VLOOKUP($B28,SportslineData!$AD:$AK,6,0))),"",ROUND(VLOOKUP($B28,SportslineData!$AD:$AK,6,0),0))</f>
        <v>6</v>
      </c>
      <c r="Q28" s="64">
        <f>IF(OR(($A28=Settings!$A$31),($A28=Settings!$A$32),ISERROR(VLOOKUP($B28,SportslineData!$AD:$AK,7,0))),"",ROUND(VLOOKUP($B28,SportslineData!$AD:$AK,7,0),0))</f>
        <v>1</v>
      </c>
      <c r="R28" s="117"/>
      <c r="S28" s="33"/>
      <c r="T28" s="38">
        <f>IF(ISERROR(ROUND((((((ROUNDDOWN((D28/5),0)*Settings!$F$7)+(E28*Settings!$I$7))+(F28*Settings!$I$11))+(ROUNDDOWN((G28/5),0)*Settings!$F$11))+(H28*Settings!$F$12)),1)),0,ROUND((((((ROUNDDOWN((D28/5),0)*Settings!$F$7)+(E28*Settings!$I$7))+(F28*Settings!$I$11))+(ROUNDDOWN((G28/5),0)*Settings!$F$11))+(H28*Settings!$F$12)),1))</f>
        <v>172.5</v>
      </c>
      <c r="U28" s="38">
        <f>IF(ISERROR(ROUND((((((ROUNDDOWN((I28/5),0)*Settings!$F$7)+(J28*Settings!$I$7))+(K28*Settings!$I$11))+(ROUNDDOWN((L28/5),0)*Settings!$F$11))+(M28*Settings!$F$12)),1)),0,ROUND((((((ROUNDDOWN((I28/5),0)*Settings!$F$7)+(J28*Settings!$I$7))+(K28*Settings!$I$11))+(ROUNDDOWN((L28/5),0)*Settings!$F$11))+(M28*Settings!$F$12)),1))</f>
        <v>186.5</v>
      </c>
      <c r="V28" s="38">
        <f>IF((N28=""),0,((((N28*Settings!$I$11)+(ROUND((O28/5),0)*Settings!$F$11))+(P28*Settings!$F$12))+(Q28*Settings!$F$15)))</f>
        <v>185</v>
      </c>
      <c r="W28" s="66">
        <f>ROUND((((T28*Settings!$B$21)+(U28*Settings!$B$22))+(V28*Settings!$B$23)),1)</f>
        <v>181.4</v>
      </c>
      <c r="X28" s="66">
        <f>IF(ISERROR(VLOOKUP(RANK(W28,W$4:W$182),X$4:X27,1,0)),RANK(W28,W$4:W$182),IF(ISERROR(VLOOKUP((RANK(W28,W$4:W$182)+1),X$4:X27,1,0)),(RANK(W28,W$4:W$182)+1),IF(ISERROR(VLOOKUP((RANK(W28,W$4:W$182)+2),X$4:X27,1,0)),(RANK(W28,W$4:W$182)+2),(RANK(W28,W$4:W$182)+3))))</f>
        <v>21</v>
      </c>
      <c r="Y28" t="str">
        <f t="shared" si="2"/>
        <v>Julian Edelman</v>
      </c>
    </row>
    <row r="29" spans="1:25" ht="12.75" customHeight="1">
      <c r="A29" s="33" t="str">
        <f>ESPNData!AH28</f>
        <v>Jeremy Maclin, Phi WR  P</v>
      </c>
      <c r="B29" s="33" t="str">
        <f t="shared" si="0"/>
        <v>Jeremy Maclin</v>
      </c>
      <c r="C29" s="64" t="str">
        <f t="shared" si="1"/>
        <v>PHI</v>
      </c>
      <c r="D29" s="117">
        <f>IF(OR(($A29=Settings!$A$31),($A29=Settings!$A$32),ISERROR(VLOOKUP($B29,FFTodayData!$AB:$AK,8,0))),"",VLOOKUP($B29,FFTodayData!$AB:$AK,8,0))</f>
        <v>0</v>
      </c>
      <c r="E29" s="33">
        <f>IF(OR(($A29=Settings!$A$31),($A29=Settings!$A$32),ISERROR(VLOOKUP($B29,FFTodayData!$AB:$AK,9,0))),"",VLOOKUP($B29,FFTodayData!$AB:$AK,9,0))</f>
        <v>0</v>
      </c>
      <c r="F29" s="33">
        <f>IF(OR(($A29=Settings!$A$31),($A29=Settings!$A$32),ISERROR(VLOOKUP($B29,FFTodayData!$AB:$AK,4,0))),"",VLOOKUP($B29,FFTodayData!$AB:$AK,4,0))</f>
        <v>78</v>
      </c>
      <c r="G29" s="33">
        <f>IF(OR(($A29=Settings!$A$31),($A29=Settings!$A$32),ISERROR(VLOOKUP($B29,FFTodayData!$AB:$AK,5,0))),"",VLOOKUP($B29,FFTodayData!$AB:$AK,5,0))</f>
        <v>1140</v>
      </c>
      <c r="H29" s="64">
        <f>IF(OR(($A29=Settings!$A$31),($A29=Settings!$A$32),ISERROR(VLOOKUP($B29,FFTodayData!$AB:$AK,6,0))),"",VLOOKUP($B29,FFTodayData!$AB:$AK,6,0))</f>
        <v>7</v>
      </c>
      <c r="I29" s="117">
        <f>IF(ISERROR(VLOOKUP($A29,ESPNData!$AH:$AU,9,0)),"",VLOOKUP($A29,ESPNData!$AH:$AU,9,0))</f>
        <v>0</v>
      </c>
      <c r="J29" s="33">
        <f>IF(ISERROR(VLOOKUP($A29,ESPNData!$AH:$AU,10,0)),"",VLOOKUP($A29,ESPNData!$AH:$AU,10,0))</f>
        <v>0</v>
      </c>
      <c r="K29" s="33">
        <f>IF(ISERROR(VLOOKUP($A29,ESPNData!$AH:$AU,11,0)),"",VLOOKUP($A29,ESPNData!$AH:$AU,11,0))</f>
        <v>63</v>
      </c>
      <c r="L29" s="33">
        <f>IF(ISERROR(VLOOKUP($A29,ESPNData!$AH:$AU,12,0)),"",VLOOKUP($A29,ESPNData!$AH:$AU,12,0))</f>
        <v>875</v>
      </c>
      <c r="M29" s="64">
        <f>IF(ISERROR(VLOOKUP($A29,ESPNData!$AH:$AU,13,0)),"",VLOOKUP($A29,ESPNData!$AH:$AU,13,0))</f>
        <v>7</v>
      </c>
      <c r="N29" s="117">
        <f>IF(OR(($A29=Settings!$A$31),($A29=Settings!$A$32),ISERROR(VLOOKUP($B29,SportslineData!$AD:$AK,3,0))),"",ROUND(VLOOKUP($B29,SportslineData!$AD:$AK,3,0),0))</f>
        <v>73</v>
      </c>
      <c r="O29" s="33">
        <f>IF(OR(($A29=Settings!$A$31),($A29=Settings!$A$32),ISERROR(VLOOKUP($B29,SportslineData!$AD:$AK,4,0))),"",VLOOKUP($B29,SportslineData!$AD:$AK,4,0))</f>
        <v>986.5</v>
      </c>
      <c r="P29" s="33">
        <f>IF(OR(($A29=Settings!$A$31),($A29=Settings!$A$32),ISERROR(VLOOKUP($B29,SportslineData!$AD:$AK,6,0))),"",ROUND(VLOOKUP($B29,SportslineData!$AD:$AK,6,0),0))</f>
        <v>6</v>
      </c>
      <c r="Q29" s="64">
        <f>IF(OR(($A29=Settings!$A$31),($A29=Settings!$A$32),ISERROR(VLOOKUP($B29,SportslineData!$AD:$AK,7,0))),"",ROUND(VLOOKUP($B29,SportslineData!$AD:$AK,7,0),0))</f>
        <v>1</v>
      </c>
      <c r="R29" s="117"/>
      <c r="S29" s="33"/>
      <c r="T29" s="38">
        <f>IF(ISERROR(ROUND((((((ROUNDDOWN((D29/5),0)*Settings!$F$7)+(E29*Settings!$I$7))+(F29*Settings!$I$11))+(ROUNDDOWN((G29/5),0)*Settings!$F$11))+(H29*Settings!$F$12)),1)),0,ROUND((((((ROUNDDOWN((D29/5),0)*Settings!$F$7)+(E29*Settings!$I$7))+(F29*Settings!$I$11))+(ROUNDDOWN((G29/5),0)*Settings!$F$11))+(H29*Settings!$F$12)),1))</f>
        <v>195</v>
      </c>
      <c r="U29" s="38">
        <f>IF(ISERROR(ROUND((((((ROUNDDOWN((I29/5),0)*Settings!$F$7)+(J29*Settings!$I$7))+(K29*Settings!$I$11))+(ROUNDDOWN((L29/5),0)*Settings!$F$11))+(M29*Settings!$F$12)),1)),0,ROUND((((((ROUNDDOWN((I29/5),0)*Settings!$F$7)+(J29*Settings!$I$7))+(K29*Settings!$I$11))+(ROUNDDOWN((L29/5),0)*Settings!$F$11))+(M29*Settings!$F$12)),1))</f>
        <v>161</v>
      </c>
      <c r="V29" s="38">
        <f>IF((N29=""),0,((((N29*Settings!$I$11)+(ROUND((O29/5),0)*Settings!$F$11))+(P29*Settings!$F$12))+(Q29*Settings!$F$15)))</f>
        <v>170</v>
      </c>
      <c r="W29" s="66">
        <f>ROUND((((T29*Settings!$B$21)+(U29*Settings!$B$22))+(V29*Settings!$B$23)),1)</f>
        <v>175.3</v>
      </c>
      <c r="X29" s="66">
        <f>IF(ISERROR(VLOOKUP(RANK(W29,W$4:W$182),X$4:X28,1,0)),RANK(W29,W$4:W$182),IF(ISERROR(VLOOKUP((RANK(W29,W$4:W$182)+1),X$4:X28,1,0)),(RANK(W29,W$4:W$182)+1),IF(ISERROR(VLOOKUP((RANK(W29,W$4:W$182)+2),X$4:X28,1,0)),(RANK(W29,W$4:W$182)+2),(RANK(W29,W$4:W$182)+3))))</f>
        <v>25</v>
      </c>
      <c r="Y29" t="str">
        <f t="shared" si="2"/>
        <v>Jeremy Maclin</v>
      </c>
    </row>
    <row r="30" spans="1:25" ht="12.75" customHeight="1">
      <c r="A30" s="33" t="str">
        <f>ESPNData!AH29</f>
        <v>T.Y. Hilton, Ind WR</v>
      </c>
      <c r="B30" s="33" t="str">
        <f t="shared" si="0"/>
        <v>T.Y. Hilton</v>
      </c>
      <c r="C30" s="64" t="str">
        <f t="shared" si="1"/>
        <v>IND</v>
      </c>
      <c r="D30" s="117">
        <f>IF(OR(($A30=Settings!$A$31),($A30=Settings!$A$32),ISERROR(VLOOKUP($B30,FFTodayData!$AB:$AK,8,0))),"",VLOOKUP($B30,FFTodayData!$AB:$AK,8,0))</f>
        <v>33</v>
      </c>
      <c r="E30" s="33">
        <f>IF(OR(($A30=Settings!$A$31),($A30=Settings!$A$32),ISERROR(VLOOKUP($B30,FFTodayData!$AB:$AK,9,0))),"",VLOOKUP($B30,FFTodayData!$AB:$AK,9,0))</f>
        <v>0</v>
      </c>
      <c r="F30" s="33">
        <f>IF(OR(($A30=Settings!$A$31),($A30=Settings!$A$32),ISERROR(VLOOKUP($B30,FFTodayData!$AB:$AK,4,0))),"",VLOOKUP($B30,FFTodayData!$AB:$AK,4,0))</f>
        <v>76</v>
      </c>
      <c r="G30" s="33">
        <f>IF(OR(($A30=Settings!$A$31),($A30=Settings!$A$32),ISERROR(VLOOKUP($B30,FFTodayData!$AB:$AK,5,0))),"",VLOOKUP($B30,FFTodayData!$AB:$AK,5,0))</f>
        <v>1095</v>
      </c>
      <c r="H30" s="64">
        <f>IF(OR(($A30=Settings!$A$31),($A30=Settings!$A$32),ISERROR(VLOOKUP($B30,FFTodayData!$AB:$AK,6,0))),"",VLOOKUP($B30,FFTodayData!$AB:$AK,6,0))</f>
        <v>6</v>
      </c>
      <c r="I30" s="117">
        <f>IF(ISERROR(VLOOKUP($A30,ESPNData!$AH:$AU,9,0)),"",VLOOKUP($A30,ESPNData!$AH:$AU,9,0))</f>
        <v>26</v>
      </c>
      <c r="J30" s="33">
        <f>IF(ISERROR(VLOOKUP($A30,ESPNData!$AH:$AU,10,0)),"",VLOOKUP($A30,ESPNData!$AH:$AU,10,0))</f>
        <v>0</v>
      </c>
      <c r="K30" s="33">
        <f>IF(ISERROR(VLOOKUP($A30,ESPNData!$AH:$AU,11,0)),"",VLOOKUP($A30,ESPNData!$AH:$AU,11,0))</f>
        <v>74</v>
      </c>
      <c r="L30" s="33">
        <f>IF(ISERROR(VLOOKUP($A30,ESPNData!$AH:$AU,12,0)),"",VLOOKUP($A30,ESPNData!$AH:$AU,12,0))</f>
        <v>1087</v>
      </c>
      <c r="M30" s="64">
        <f>IF(ISERROR(VLOOKUP($A30,ESPNData!$AH:$AU,13,0)),"",VLOOKUP($A30,ESPNData!$AH:$AU,13,0))</f>
        <v>5</v>
      </c>
      <c r="N30" s="117">
        <f>IF(OR(($A30=Settings!$A$31),($A30=Settings!$A$32),ISERROR(VLOOKUP($B30,SportslineData!$AD:$AK,3,0))),"",ROUND(VLOOKUP($B30,SportslineData!$AD:$AK,3,0),0))</f>
        <v>66</v>
      </c>
      <c r="O30" s="33">
        <f>IF(OR(($A30=Settings!$A$31),($A30=Settings!$A$32),ISERROR(VLOOKUP($B30,SportslineData!$AD:$AK,4,0))),"",VLOOKUP($B30,SportslineData!$AD:$AK,4,0))</f>
        <v>917</v>
      </c>
      <c r="P30" s="33">
        <f>IF(OR(($A30=Settings!$A$31),($A30=Settings!$A$32),ISERROR(VLOOKUP($B30,SportslineData!$AD:$AK,6,0))),"",ROUND(VLOOKUP($B30,SportslineData!$AD:$AK,6,0),0))</f>
        <v>6</v>
      </c>
      <c r="Q30" s="64">
        <f>IF(OR(($A30=Settings!$A$31),($A30=Settings!$A$32),ISERROR(VLOOKUP($B30,SportslineData!$AD:$AK,7,0))),"",ROUND(VLOOKUP($B30,SportslineData!$AD:$AK,7,0),0))</f>
        <v>1</v>
      </c>
      <c r="R30" s="117"/>
      <c r="S30" s="33"/>
      <c r="T30" s="38">
        <f>IF(ISERROR(ROUND((((((ROUNDDOWN((D30/5),0)*Settings!$F$7)+(E30*Settings!$I$7))+(F30*Settings!$I$11))+(ROUNDDOWN((G30/5),0)*Settings!$F$11))+(H30*Settings!$F$12)),1)),0,ROUND((((((ROUNDDOWN((D30/5),0)*Settings!$F$7)+(E30*Settings!$I$7))+(F30*Settings!$I$11))+(ROUNDDOWN((G30/5),0)*Settings!$F$11))+(H30*Settings!$F$12)),1))</f>
        <v>186.5</v>
      </c>
      <c r="U30" s="38">
        <f>IF(ISERROR(ROUND((((((ROUNDDOWN((I30/5),0)*Settings!$F$7)+(J30*Settings!$I$7))+(K30*Settings!$I$11))+(ROUNDDOWN((L30/5),0)*Settings!$F$11))+(M30*Settings!$F$12)),1)),0,ROUND((((((ROUNDDOWN((I30/5),0)*Settings!$F$7)+(J30*Settings!$I$7))+(K30*Settings!$I$11))+(ROUNDDOWN((L30/5),0)*Settings!$F$11))+(M30*Settings!$F$12)),1))</f>
        <v>178</v>
      </c>
      <c r="V30" s="38">
        <f>IF((N30=""),0,((((N30*Settings!$I$11)+(ROUND((O30/5),0)*Settings!$F$11))+(P30*Settings!$F$12))+(Q30*Settings!$F$15)))</f>
        <v>159.5</v>
      </c>
      <c r="W30" s="66">
        <f>ROUND((((T30*Settings!$B$21)+(U30*Settings!$B$22))+(V30*Settings!$B$23)),1)</f>
        <v>174.5</v>
      </c>
      <c r="X30" s="66">
        <f>IF(ISERROR(VLOOKUP(RANK(W30,W$4:W$182),X$4:X29,1,0)),RANK(W30,W$4:W$182),IF(ISERROR(VLOOKUP((RANK(W30,W$4:W$182)+1),X$4:X29,1,0)),(RANK(W30,W$4:W$182)+1),IF(ISERROR(VLOOKUP((RANK(W30,W$4:W$182)+2),X$4:X29,1,0)),(RANK(W30,W$4:W$182)+2),(RANK(W30,W$4:W$182)+3))))</f>
        <v>26</v>
      </c>
      <c r="Y30" t="str">
        <f t="shared" si="2"/>
        <v>T.Y. Hilton</v>
      </c>
    </row>
    <row r="31" spans="1:25" ht="12.75" customHeight="1">
      <c r="A31" s="33" t="str">
        <f>ESPNData!AH30</f>
        <v>Reggie Wayne, Ind WR  P</v>
      </c>
      <c r="B31" s="33" t="str">
        <f t="shared" si="0"/>
        <v>Reggie Wayne</v>
      </c>
      <c r="C31" s="64" t="str">
        <f t="shared" si="1"/>
        <v>IND</v>
      </c>
      <c r="D31" s="117">
        <f>IF(OR(($A31=Settings!$A$31),($A31=Settings!$A$32),ISERROR(VLOOKUP($B31,FFTodayData!$AB:$AK,8,0))),"",VLOOKUP($B31,FFTodayData!$AB:$AK,8,0))</f>
        <v>0</v>
      </c>
      <c r="E31" s="33">
        <f>IF(OR(($A31=Settings!$A$31),($A31=Settings!$A$32),ISERROR(VLOOKUP($B31,FFTodayData!$AB:$AK,9,0))),"",VLOOKUP($B31,FFTodayData!$AB:$AK,9,0))</f>
        <v>0</v>
      </c>
      <c r="F31" s="33">
        <f>IF(OR(($A31=Settings!$A$31),($A31=Settings!$A$32),ISERROR(VLOOKUP($B31,FFTodayData!$AB:$AK,4,0))),"",VLOOKUP($B31,FFTodayData!$AB:$AK,4,0))</f>
        <v>63</v>
      </c>
      <c r="G31" s="33">
        <f>IF(OR(($A31=Settings!$A$31),($A31=Settings!$A$32),ISERROR(VLOOKUP($B31,FFTodayData!$AB:$AK,5,0))),"",VLOOKUP($B31,FFTodayData!$AB:$AK,5,0))</f>
        <v>814</v>
      </c>
      <c r="H31" s="64">
        <f>IF(OR(($A31=Settings!$A$31),($A31=Settings!$A$32),ISERROR(VLOOKUP($B31,FFTodayData!$AB:$AK,6,0))),"",VLOOKUP($B31,FFTodayData!$AB:$AK,6,0))</f>
        <v>5</v>
      </c>
      <c r="I31" s="117">
        <f>IF(ISERROR(VLOOKUP($A31,ESPNData!$AH:$AU,9,0)),"",VLOOKUP($A31,ESPNData!$AH:$AU,9,0))</f>
        <v>0</v>
      </c>
      <c r="J31" s="33">
        <f>IF(ISERROR(VLOOKUP($A31,ESPNData!$AH:$AU,10,0)),"",VLOOKUP($A31,ESPNData!$AH:$AU,10,0))</f>
        <v>0</v>
      </c>
      <c r="K31" s="33">
        <f>IF(ISERROR(VLOOKUP($A31,ESPNData!$AH:$AU,11,0)),"",VLOOKUP($A31,ESPNData!$AH:$AU,11,0))</f>
        <v>90</v>
      </c>
      <c r="L31" s="33">
        <f>IF(ISERROR(VLOOKUP($A31,ESPNData!$AH:$AU,12,0)),"",VLOOKUP($A31,ESPNData!$AH:$AU,12,0))</f>
        <v>1108</v>
      </c>
      <c r="M31" s="64">
        <f>IF(ISERROR(VLOOKUP($A31,ESPNData!$AH:$AU,13,0)),"",VLOOKUP($A31,ESPNData!$AH:$AU,13,0))</f>
        <v>4</v>
      </c>
      <c r="N31" s="117">
        <f>IF(OR(($A31=Settings!$A$31),($A31=Settings!$A$32),ISERROR(VLOOKUP($B31,SportslineData!$AD:$AK,3,0))),"",ROUND(VLOOKUP($B31,SportslineData!$AD:$AK,3,0),0))</f>
        <v>73</v>
      </c>
      <c r="O31" s="33">
        <f>IF(OR(($A31=Settings!$A$31),($A31=Settings!$A$32),ISERROR(VLOOKUP($B31,SportslineData!$AD:$AK,4,0))),"",VLOOKUP($B31,SportslineData!$AD:$AK,4,0))</f>
        <v>920.5</v>
      </c>
      <c r="P31" s="33">
        <f>IF(OR(($A31=Settings!$A$31),($A31=Settings!$A$32),ISERROR(VLOOKUP($B31,SportslineData!$AD:$AK,6,0))),"",ROUND(VLOOKUP($B31,SportslineData!$AD:$AK,6,0),0))</f>
        <v>5</v>
      </c>
      <c r="Q31" s="64">
        <f>IF(OR(($A31=Settings!$A$31),($A31=Settings!$A$32),ISERROR(VLOOKUP($B31,SportslineData!$AD:$AK,7,0))),"",ROUND(VLOOKUP($B31,SportslineData!$AD:$AK,7,0),0))</f>
        <v>0</v>
      </c>
      <c r="R31" s="117"/>
      <c r="S31" s="33"/>
      <c r="T31" s="38">
        <f>IF(ISERROR(ROUND((((((ROUNDDOWN((D31/5),0)*Settings!$F$7)+(E31*Settings!$I$7))+(F31*Settings!$I$11))+(ROUNDDOWN((G31/5),0)*Settings!$F$11))+(H31*Settings!$F$12)),1)),0,ROUND((((((ROUNDDOWN((D31/5),0)*Settings!$F$7)+(E31*Settings!$I$7))+(F31*Settings!$I$11))+(ROUNDDOWN((G31/5),0)*Settings!$F$11))+(H31*Settings!$F$12)),1))</f>
        <v>142.5</v>
      </c>
      <c r="U31" s="38">
        <f>IF(ISERROR(ROUND((((((ROUNDDOWN((I31/5),0)*Settings!$F$7)+(J31*Settings!$I$7))+(K31*Settings!$I$11))+(ROUNDDOWN((L31/5),0)*Settings!$F$11))+(M31*Settings!$F$12)),1)),0,ROUND((((((ROUNDDOWN((I31/5),0)*Settings!$F$7)+(J31*Settings!$I$7))+(K31*Settings!$I$11))+(ROUNDDOWN((L31/5),0)*Settings!$F$11))+(M31*Settings!$F$12)),1))</f>
        <v>179.5</v>
      </c>
      <c r="V31" s="38">
        <f>IF((N31=""),0,((((N31*Settings!$I$11)+(ROUND((O31/5),0)*Settings!$F$11))+(P31*Settings!$F$12))+(Q31*Settings!$F$15)))</f>
        <v>158.5</v>
      </c>
      <c r="W31" s="66">
        <f>ROUND((((T31*Settings!$B$21)+(U31*Settings!$B$22))+(V31*Settings!$B$23)),1)</f>
        <v>160.19999999999999</v>
      </c>
      <c r="X31" s="66">
        <f>IF(ISERROR(VLOOKUP(RANK(W31,W$4:W$182),X$4:X30,1,0)),RANK(W31,W$4:W$182),IF(ISERROR(VLOOKUP((RANK(W31,W$4:W$182)+1),X$4:X30,1,0)),(RANK(W31,W$4:W$182)+1),IF(ISERROR(VLOOKUP((RANK(W31,W$4:W$182)+2),X$4:X30,1,0)),(RANK(W31,W$4:W$182)+2),(RANK(W31,W$4:W$182)+3))))</f>
        <v>33</v>
      </c>
      <c r="Y31" t="str">
        <f t="shared" si="2"/>
        <v>Reggie Wayne</v>
      </c>
    </row>
    <row r="32" spans="1:25" ht="12.75" customHeight="1">
      <c r="A32" s="33" t="str">
        <f>ESPNData!AH31</f>
        <v>Marques Colston, NO WR</v>
      </c>
      <c r="B32" s="33" t="str">
        <f t="shared" si="0"/>
        <v>Marques Colston</v>
      </c>
      <c r="C32" s="64" t="str">
        <f t="shared" si="1"/>
        <v>NO</v>
      </c>
      <c r="D32" s="117">
        <f>IF(OR(($A32=Settings!$A$31),($A32=Settings!$A$32),ISERROR(VLOOKUP($B32,FFTodayData!$AB:$AK,8,0))),"",VLOOKUP($B32,FFTodayData!$AB:$AK,8,0))</f>
        <v>0</v>
      </c>
      <c r="E32" s="33">
        <f>IF(OR(($A32=Settings!$A$31),($A32=Settings!$A$32),ISERROR(VLOOKUP($B32,FFTodayData!$AB:$AK,9,0))),"",VLOOKUP($B32,FFTodayData!$AB:$AK,9,0))</f>
        <v>0</v>
      </c>
      <c r="F32" s="33">
        <f>IF(OR(($A32=Settings!$A$31),($A32=Settings!$A$32),ISERROR(VLOOKUP($B32,FFTodayData!$AB:$AK,4,0))),"",VLOOKUP($B32,FFTodayData!$AB:$AK,4,0))</f>
        <v>81</v>
      </c>
      <c r="G32" s="33">
        <f>IF(OR(($A32=Settings!$A$31),($A32=Settings!$A$32),ISERROR(VLOOKUP($B32,FFTodayData!$AB:$AK,5,0))),"",VLOOKUP($B32,FFTodayData!$AB:$AK,5,0))</f>
        <v>1067</v>
      </c>
      <c r="H32" s="64">
        <f>IF(OR(($A32=Settings!$A$31),($A32=Settings!$A$32),ISERROR(VLOOKUP($B32,FFTodayData!$AB:$AK,6,0))),"",VLOOKUP($B32,FFTodayData!$AB:$AK,6,0))</f>
        <v>7</v>
      </c>
      <c r="I32" s="117">
        <f>IF(ISERROR(VLOOKUP($A32,ESPNData!$AH:$AU,9,0)),"",VLOOKUP($A32,ESPNData!$AH:$AU,9,0))</f>
        <v>0</v>
      </c>
      <c r="J32" s="33">
        <f>IF(ISERROR(VLOOKUP($A32,ESPNData!$AH:$AU,10,0)),"",VLOOKUP($A32,ESPNData!$AH:$AU,10,0))</f>
        <v>0</v>
      </c>
      <c r="K32" s="33">
        <f>IF(ISERROR(VLOOKUP($A32,ESPNData!$AH:$AU,11,0)),"",VLOOKUP($A32,ESPNData!$AH:$AU,11,0))</f>
        <v>73</v>
      </c>
      <c r="L32" s="33">
        <f>IF(ISERROR(VLOOKUP($A32,ESPNData!$AH:$AU,12,0)),"",VLOOKUP($A32,ESPNData!$AH:$AU,12,0))</f>
        <v>907</v>
      </c>
      <c r="M32" s="64">
        <f>IF(ISERROR(VLOOKUP($A32,ESPNData!$AH:$AU,13,0)),"",VLOOKUP($A32,ESPNData!$AH:$AU,13,0))</f>
        <v>6</v>
      </c>
      <c r="N32" s="117">
        <f>IF(OR(($A32=Settings!$A$31),($A32=Settings!$A$32),ISERROR(VLOOKUP($B32,SportslineData!$AD:$AK,3,0))),"",ROUND(VLOOKUP($B32,SportslineData!$AD:$AK,3,0),0))</f>
        <v>76</v>
      </c>
      <c r="O32" s="33">
        <f>IF(OR(($A32=Settings!$A$31),($A32=Settings!$A$32),ISERROR(VLOOKUP($B32,SportslineData!$AD:$AK,4,0))),"",VLOOKUP($B32,SportslineData!$AD:$AK,4,0))</f>
        <v>961.5</v>
      </c>
      <c r="P32" s="33">
        <f>IF(OR(($A32=Settings!$A$31),($A32=Settings!$A$32),ISERROR(VLOOKUP($B32,SportslineData!$AD:$AK,6,0))),"",ROUND(VLOOKUP($B32,SportslineData!$AD:$AK,6,0),0))</f>
        <v>6</v>
      </c>
      <c r="Q32" s="64">
        <f>IF(OR(($A32=Settings!$A$31),($A32=Settings!$A$32),ISERROR(VLOOKUP($B32,SportslineData!$AD:$AK,7,0))),"",ROUND(VLOOKUP($B32,SportslineData!$AD:$AK,7,0),0))</f>
        <v>1</v>
      </c>
      <c r="R32" s="117"/>
      <c r="S32" s="33"/>
      <c r="T32" s="38">
        <f>IF(ISERROR(ROUND((((((ROUNDDOWN((D32/5),0)*Settings!$F$7)+(E32*Settings!$I$7))+(F32*Settings!$I$11))+(ROUNDDOWN((G32/5),0)*Settings!$F$11))+(H32*Settings!$F$12)),1)),0,ROUND((((((ROUNDDOWN((D32/5),0)*Settings!$F$7)+(E32*Settings!$I$7))+(F32*Settings!$I$11))+(ROUNDDOWN((G32/5),0)*Settings!$F$11))+(H32*Settings!$F$12)),1))</f>
        <v>189</v>
      </c>
      <c r="U32" s="38">
        <f>IF(ISERROR(ROUND((((((ROUNDDOWN((I32/5),0)*Settings!$F$7)+(J32*Settings!$I$7))+(K32*Settings!$I$11))+(ROUNDDOWN((L32/5),0)*Settings!$F$11))+(M32*Settings!$F$12)),1)),0,ROUND((((((ROUNDDOWN((I32/5),0)*Settings!$F$7)+(J32*Settings!$I$7))+(K32*Settings!$I$11))+(ROUNDDOWN((L32/5),0)*Settings!$F$11))+(M32*Settings!$F$12)),1))</f>
        <v>163</v>
      </c>
      <c r="V32" s="38">
        <f>IF((N32=""),0,((((N32*Settings!$I$11)+(ROUND((O32/5),0)*Settings!$F$11))+(P32*Settings!$F$12))+(Q32*Settings!$F$15)))</f>
        <v>169</v>
      </c>
      <c r="W32" s="66">
        <f>ROUND((((T32*Settings!$B$21)+(U32*Settings!$B$22))+(V32*Settings!$B$23)),1)</f>
        <v>173.6</v>
      </c>
      <c r="X32" s="66">
        <f>IF(ISERROR(VLOOKUP(RANK(W32,W$4:W$182),X$4:X31,1,0)),RANK(W32,W$4:W$182),IF(ISERROR(VLOOKUP((RANK(W32,W$4:W$182)+1),X$4:X31,1,0)),(RANK(W32,W$4:W$182)+1),IF(ISERROR(VLOOKUP((RANK(W32,W$4:W$182)+2),X$4:X31,1,0)),(RANK(W32,W$4:W$182)+2),(RANK(W32,W$4:W$182)+3))))</f>
        <v>28</v>
      </c>
      <c r="Y32" t="str">
        <f t="shared" si="2"/>
        <v>Marques Colston</v>
      </c>
    </row>
    <row r="33" spans="1:25" ht="12.75" customHeight="1">
      <c r="A33" s="33" t="str">
        <f>ESPNData!AH32</f>
        <v>Emmanuel Sanders, Den WR  P</v>
      </c>
      <c r="B33" s="33" t="str">
        <f t="shared" si="0"/>
        <v>Emmanuel Sanders</v>
      </c>
      <c r="C33" s="64" t="str">
        <f t="shared" si="1"/>
        <v>DEN</v>
      </c>
      <c r="D33" s="117">
        <f>IF(OR(($A33=Settings!$A$31),($A33=Settings!$A$32),ISERROR(VLOOKUP($B33,FFTodayData!$AB:$AK,8,0))),"",VLOOKUP($B33,FFTodayData!$AB:$AK,8,0))</f>
        <v>0</v>
      </c>
      <c r="E33" s="33">
        <f>IF(OR(($A33=Settings!$A$31),($A33=Settings!$A$32),ISERROR(VLOOKUP($B33,FFTodayData!$AB:$AK,9,0))),"",VLOOKUP($B33,FFTodayData!$AB:$AK,9,0))</f>
        <v>0</v>
      </c>
      <c r="F33" s="33">
        <f>IF(OR(($A33=Settings!$A$31),($A33=Settings!$A$32),ISERROR(VLOOKUP($B33,FFTodayData!$AB:$AK,4,0))),"",VLOOKUP($B33,FFTodayData!$AB:$AK,4,0))</f>
        <v>62</v>
      </c>
      <c r="G33" s="33">
        <f>IF(OR(($A33=Settings!$A$31),($A33=Settings!$A$32),ISERROR(VLOOKUP($B33,FFTodayData!$AB:$AK,5,0))),"",VLOOKUP($B33,FFTodayData!$AB:$AK,5,0))</f>
        <v>845</v>
      </c>
      <c r="H33" s="64">
        <f>IF(OR(($A33=Settings!$A$31),($A33=Settings!$A$32),ISERROR(VLOOKUP($B33,FFTodayData!$AB:$AK,6,0))),"",VLOOKUP($B33,FFTodayData!$AB:$AK,6,0))</f>
        <v>6</v>
      </c>
      <c r="I33" s="117">
        <f>IF(ISERROR(VLOOKUP($A33,ESPNData!$AH:$AU,9,0)),"",VLOOKUP($A33,ESPNData!$AH:$AU,9,0))</f>
        <v>19</v>
      </c>
      <c r="J33" s="33">
        <f>IF(ISERROR(VLOOKUP($A33,ESPNData!$AH:$AU,10,0)),"",VLOOKUP($A33,ESPNData!$AH:$AU,10,0))</f>
        <v>0</v>
      </c>
      <c r="K33" s="33">
        <f>IF(ISERROR(VLOOKUP($A33,ESPNData!$AH:$AU,11,0)),"",VLOOKUP($A33,ESPNData!$AH:$AU,11,0))</f>
        <v>77</v>
      </c>
      <c r="L33" s="33">
        <f>IF(ISERROR(VLOOKUP($A33,ESPNData!$AH:$AU,12,0)),"",VLOOKUP($A33,ESPNData!$AH:$AU,12,0))</f>
        <v>971</v>
      </c>
      <c r="M33" s="64">
        <f>IF(ISERROR(VLOOKUP($A33,ESPNData!$AH:$AU,13,0)),"",VLOOKUP($A33,ESPNData!$AH:$AU,13,0))</f>
        <v>5</v>
      </c>
      <c r="N33" s="117">
        <f>IF(OR(($A33=Settings!$A$31),($A33=Settings!$A$32),ISERROR(VLOOKUP($B33,SportslineData!$AD:$AK,3,0))),"",ROUND(VLOOKUP($B33,SportslineData!$AD:$AK,3,0),0))</f>
        <v>72</v>
      </c>
      <c r="O33" s="33">
        <f>IF(OR(($A33=Settings!$A$31),($A33=Settings!$A$32),ISERROR(VLOOKUP($B33,SportslineData!$AD:$AK,4,0))),"",VLOOKUP($B33,SportslineData!$AD:$AK,4,0))</f>
        <v>1052</v>
      </c>
      <c r="P33" s="33">
        <f>IF(OR(($A33=Settings!$A$31),($A33=Settings!$A$32),ISERROR(VLOOKUP($B33,SportslineData!$AD:$AK,6,0))),"",ROUND(VLOOKUP($B33,SportslineData!$AD:$AK,6,0),0))</f>
        <v>7</v>
      </c>
      <c r="Q33" s="64">
        <f>IF(OR(($A33=Settings!$A$31),($A33=Settings!$A$32),ISERROR(VLOOKUP($B33,SportslineData!$AD:$AK,7,0))),"",ROUND(VLOOKUP($B33,SportslineData!$AD:$AK,7,0),0))</f>
        <v>1</v>
      </c>
      <c r="R33" s="117"/>
      <c r="S33" s="33"/>
      <c r="T33" s="38">
        <f>IF(ISERROR(ROUND((((((ROUNDDOWN((D33/5),0)*Settings!$F$7)+(E33*Settings!$I$7))+(F33*Settings!$I$11))+(ROUNDDOWN((G33/5),0)*Settings!$F$11))+(H33*Settings!$F$12)),1)),0,ROUND((((((ROUNDDOWN((D33/5),0)*Settings!$F$7)+(E33*Settings!$I$7))+(F33*Settings!$I$11))+(ROUNDDOWN((G33/5),0)*Settings!$F$11))+(H33*Settings!$F$12)),1))</f>
        <v>151.5</v>
      </c>
      <c r="U33" s="38">
        <f>IF(ISERROR(ROUND((((((ROUNDDOWN((I33/5),0)*Settings!$F$7)+(J33*Settings!$I$7))+(K33*Settings!$I$11))+(ROUNDDOWN((L33/5),0)*Settings!$F$11))+(M33*Settings!$F$12)),1)),0,ROUND((((((ROUNDDOWN((I33/5),0)*Settings!$F$7)+(J33*Settings!$I$7))+(K33*Settings!$I$11))+(ROUNDDOWN((L33/5),0)*Settings!$F$11))+(M33*Settings!$F$12)),1))</f>
        <v>167</v>
      </c>
      <c r="V33" s="38">
        <f>IF((N33=""),0,((((N33*Settings!$I$11)+(ROUND((O33/5),0)*Settings!$F$11))+(P33*Settings!$F$12))+(Q33*Settings!$F$15)))</f>
        <v>182</v>
      </c>
      <c r="W33" s="66">
        <f>ROUND((((T33*Settings!$B$21)+(U33*Settings!$B$22))+(V33*Settings!$B$23)),1)</f>
        <v>167</v>
      </c>
      <c r="X33" s="66">
        <f>IF(ISERROR(VLOOKUP(RANK(W33,W$4:W$182),X$4:X32,1,0)),RANK(W33,W$4:W$182),IF(ISERROR(VLOOKUP((RANK(W33,W$4:W$182)+1),X$4:X32,1,0)),(RANK(W33,W$4:W$182)+1),IF(ISERROR(VLOOKUP((RANK(W33,W$4:W$182)+2),X$4:X32,1,0)),(RANK(W33,W$4:W$182)+2),(RANK(W33,W$4:W$182)+3))))</f>
        <v>31</v>
      </c>
      <c r="Y33" t="str">
        <f t="shared" si="2"/>
        <v>Emmanuel Sanders</v>
      </c>
    </row>
    <row r="34" spans="1:25" ht="12.75" customHeight="1">
      <c r="A34" s="33" t="str">
        <f>ESPNData!AH33</f>
        <v>Golden Tate, Det WR</v>
      </c>
      <c r="B34" s="33" t="str">
        <f t="shared" si="0"/>
        <v>Golden Tate</v>
      </c>
      <c r="C34" s="64" t="str">
        <f t="shared" si="1"/>
        <v>DET</v>
      </c>
      <c r="D34" s="117">
        <f>IF(OR(($A34=Settings!$A$31),($A34=Settings!$A$32),ISERROR(VLOOKUP($B34,FFTodayData!$AB:$AK,8,0))),"",VLOOKUP($B34,FFTodayData!$AB:$AK,8,0))</f>
        <v>0</v>
      </c>
      <c r="E34" s="33">
        <f>IF(OR(($A34=Settings!$A$31),($A34=Settings!$A$32),ISERROR(VLOOKUP($B34,FFTodayData!$AB:$AK,9,0))),"",VLOOKUP($B34,FFTodayData!$AB:$AK,9,0))</f>
        <v>0</v>
      </c>
      <c r="F34" s="33">
        <f>IF(OR(($A34=Settings!$A$31),($A34=Settings!$A$32),ISERROR(VLOOKUP($B34,FFTodayData!$AB:$AK,4,0))),"",VLOOKUP($B34,FFTodayData!$AB:$AK,4,0))</f>
        <v>58</v>
      </c>
      <c r="G34" s="33">
        <f>IF(OR(($A34=Settings!$A$31),($A34=Settings!$A$32),ISERROR(VLOOKUP($B34,FFTodayData!$AB:$AK,5,0))),"",VLOOKUP($B34,FFTodayData!$AB:$AK,5,0))</f>
        <v>785</v>
      </c>
      <c r="H34" s="64">
        <f>IF(OR(($A34=Settings!$A$31),($A34=Settings!$A$32),ISERROR(VLOOKUP($B34,FFTodayData!$AB:$AK,6,0))),"",VLOOKUP($B34,FFTodayData!$AB:$AK,6,0))</f>
        <v>4</v>
      </c>
      <c r="I34" s="117">
        <f>IF(ISERROR(VLOOKUP($A34,ESPNData!$AH:$AU,9,0)),"",VLOOKUP($A34,ESPNData!$AH:$AU,9,0))</f>
        <v>50</v>
      </c>
      <c r="J34" s="33">
        <f>IF(ISERROR(VLOOKUP($A34,ESPNData!$AH:$AU,10,0)),"",VLOOKUP($A34,ESPNData!$AH:$AU,10,0))</f>
        <v>0</v>
      </c>
      <c r="K34" s="33">
        <f>IF(ISERROR(VLOOKUP($A34,ESPNData!$AH:$AU,11,0)),"",VLOOKUP($A34,ESPNData!$AH:$AU,11,0))</f>
        <v>84</v>
      </c>
      <c r="L34" s="33">
        <f>IF(ISERROR(VLOOKUP($A34,ESPNData!$AH:$AU,12,0)),"",VLOOKUP($A34,ESPNData!$AH:$AU,12,0))</f>
        <v>1041</v>
      </c>
      <c r="M34" s="64">
        <f>IF(ISERROR(VLOOKUP($A34,ESPNData!$AH:$AU,13,0)),"",VLOOKUP($A34,ESPNData!$AH:$AU,13,0))</f>
        <v>5</v>
      </c>
      <c r="N34" s="117">
        <f>IF(OR(($A34=Settings!$A$31),($A34=Settings!$A$32),ISERROR(VLOOKUP($B34,SportslineData!$AD:$AK,3,0))),"",ROUND(VLOOKUP($B34,SportslineData!$AD:$AK,3,0),0))</f>
        <v>71</v>
      </c>
      <c r="O34" s="33">
        <f>IF(OR(($A34=Settings!$A$31),($A34=Settings!$A$32),ISERROR(VLOOKUP($B34,SportslineData!$AD:$AK,4,0))),"",VLOOKUP($B34,SportslineData!$AD:$AK,4,0))</f>
        <v>1015.5</v>
      </c>
      <c r="P34" s="33">
        <f>IF(OR(($A34=Settings!$A$31),($A34=Settings!$A$32),ISERROR(VLOOKUP($B34,SportslineData!$AD:$AK,6,0))),"",ROUND(VLOOKUP($B34,SportslineData!$AD:$AK,6,0),0))</f>
        <v>7</v>
      </c>
      <c r="Q34" s="64">
        <f>IF(OR(($A34=Settings!$A$31),($A34=Settings!$A$32),ISERROR(VLOOKUP($B34,SportslineData!$AD:$AK,7,0))),"",ROUND(VLOOKUP($B34,SportslineData!$AD:$AK,7,0),0))</f>
        <v>1</v>
      </c>
      <c r="R34" s="117"/>
      <c r="S34" s="33"/>
      <c r="T34" s="38">
        <f>IF(ISERROR(ROUND((((((ROUNDDOWN((D34/5),0)*Settings!$F$7)+(E34*Settings!$I$7))+(F34*Settings!$I$11))+(ROUNDDOWN((G34/5),0)*Settings!$F$11))+(H34*Settings!$F$12)),1)),0,ROUND((((((ROUNDDOWN((D34/5),0)*Settings!$F$7)+(E34*Settings!$I$7))+(F34*Settings!$I$11))+(ROUNDDOWN((G34/5),0)*Settings!$F$11))+(H34*Settings!$F$12)),1))</f>
        <v>131.5</v>
      </c>
      <c r="U34" s="38">
        <f>IF(ISERROR(ROUND((((((ROUNDDOWN((I34/5),0)*Settings!$F$7)+(J34*Settings!$I$7))+(K34*Settings!$I$11))+(ROUNDDOWN((L34/5),0)*Settings!$F$11))+(M34*Settings!$F$12)),1)),0,ROUND((((((ROUNDDOWN((I34/5),0)*Settings!$F$7)+(J34*Settings!$I$7))+(K34*Settings!$I$11))+(ROUNDDOWN((L34/5),0)*Settings!$F$11))+(M34*Settings!$F$12)),1))</f>
        <v>181</v>
      </c>
      <c r="V34" s="38">
        <f>IF((N34=""),0,((((N34*Settings!$I$11)+(ROUND((O34/5),0)*Settings!$F$11))+(P34*Settings!$F$12))+(Q34*Settings!$F$15)))</f>
        <v>178</v>
      </c>
      <c r="W34" s="66">
        <f>ROUND((((T34*Settings!$B$21)+(U34*Settings!$B$22))+(V34*Settings!$B$23)),1)</f>
        <v>163.6</v>
      </c>
      <c r="X34" s="66">
        <f>IF(ISERROR(VLOOKUP(RANK(W34,W$4:W$182),X$4:X33,1,0)),RANK(W34,W$4:W$182),IF(ISERROR(VLOOKUP((RANK(W34,W$4:W$182)+1),X$4:X33,1,0)),(RANK(W34,W$4:W$182)+1),IF(ISERROR(VLOOKUP((RANK(W34,W$4:W$182)+2),X$4:X33,1,0)),(RANK(W34,W$4:W$182)+2),(RANK(W34,W$4:W$182)+3))))</f>
        <v>32</v>
      </c>
      <c r="Y34" t="str">
        <f t="shared" si="2"/>
        <v>Golden Tate</v>
      </c>
    </row>
    <row r="35" spans="1:25" ht="12.75" customHeight="1">
      <c r="A35" s="33" t="str">
        <f>ESPNData!AH34</f>
        <v>Kendall Wright, Ten WR</v>
      </c>
      <c r="B35" s="33" t="str">
        <f t="shared" si="0"/>
        <v>Kendall Wright</v>
      </c>
      <c r="C35" s="64" t="str">
        <f t="shared" si="1"/>
        <v>TEN</v>
      </c>
      <c r="D35" s="117">
        <f>IF(OR(($A35=Settings!$A$31),($A35=Settings!$A$32),ISERROR(VLOOKUP($B35,FFTodayData!$AB:$AK,8,0))),"",VLOOKUP($B35,FFTodayData!$AB:$AK,8,0))</f>
        <v>0</v>
      </c>
      <c r="E35" s="33">
        <f>IF(OR(($A35=Settings!$A$31),($A35=Settings!$A$32),ISERROR(VLOOKUP($B35,FFTodayData!$AB:$AK,9,0))),"",VLOOKUP($B35,FFTodayData!$AB:$AK,9,0))</f>
        <v>0</v>
      </c>
      <c r="F35" s="33">
        <f>IF(OR(($A35=Settings!$A$31),($A35=Settings!$A$32),ISERROR(VLOOKUP($B35,FFTodayData!$AB:$AK,4,0))),"",VLOOKUP($B35,FFTodayData!$AB:$AK,4,0))</f>
        <v>83</v>
      </c>
      <c r="G35" s="33">
        <f>IF(OR(($A35=Settings!$A$31),($A35=Settings!$A$32),ISERROR(VLOOKUP($B35,FFTodayData!$AB:$AK,5,0))),"",VLOOKUP($B35,FFTodayData!$AB:$AK,5,0))</f>
        <v>1025</v>
      </c>
      <c r="H35" s="64">
        <f>IF(OR(($A35=Settings!$A$31),($A35=Settings!$A$32),ISERROR(VLOOKUP($B35,FFTodayData!$AB:$AK,6,0))),"",VLOOKUP($B35,FFTodayData!$AB:$AK,6,0))</f>
        <v>4</v>
      </c>
      <c r="I35" s="117">
        <f>IF(ISERROR(VLOOKUP($A35,ESPNData!$AH:$AU,9,0)),"",VLOOKUP($A35,ESPNData!$AH:$AU,9,0))</f>
        <v>8</v>
      </c>
      <c r="J35" s="33">
        <f>IF(ISERROR(VLOOKUP($A35,ESPNData!$AH:$AU,10,0)),"",VLOOKUP($A35,ESPNData!$AH:$AU,10,0))</f>
        <v>0</v>
      </c>
      <c r="K35" s="33">
        <f>IF(ISERROR(VLOOKUP($A35,ESPNData!$AH:$AU,11,0)),"",VLOOKUP($A35,ESPNData!$AH:$AU,11,0))</f>
        <v>91</v>
      </c>
      <c r="L35" s="33">
        <f>IF(ISERROR(VLOOKUP($A35,ESPNData!$AH:$AU,12,0)),"",VLOOKUP($A35,ESPNData!$AH:$AU,12,0))</f>
        <v>1051</v>
      </c>
      <c r="M35" s="64">
        <f>IF(ISERROR(VLOOKUP($A35,ESPNData!$AH:$AU,13,0)),"",VLOOKUP($A35,ESPNData!$AH:$AU,13,0))</f>
        <v>4</v>
      </c>
      <c r="N35" s="117">
        <f>IF(OR(($A35=Settings!$A$31),($A35=Settings!$A$32),ISERROR(VLOOKUP($B35,SportslineData!$AD:$AK,3,0))),"",ROUND(VLOOKUP($B35,SportslineData!$AD:$AK,3,0),0))</f>
        <v>89</v>
      </c>
      <c r="O35" s="33">
        <f>IF(OR(($A35=Settings!$A$31),($A35=Settings!$A$32),ISERROR(VLOOKUP($B35,SportslineData!$AD:$AK,4,0))),"",VLOOKUP($B35,SportslineData!$AD:$AK,4,0))</f>
        <v>1046.5</v>
      </c>
      <c r="P35" s="33">
        <f>IF(OR(($A35=Settings!$A$31),($A35=Settings!$A$32),ISERROR(VLOOKUP($B35,SportslineData!$AD:$AK,6,0))),"",ROUND(VLOOKUP($B35,SportslineData!$AD:$AK,6,0),0))</f>
        <v>5</v>
      </c>
      <c r="Q35" s="64">
        <f>IF(OR(($A35=Settings!$A$31),($A35=Settings!$A$32),ISERROR(VLOOKUP($B35,SportslineData!$AD:$AK,7,0))),"",ROUND(VLOOKUP($B35,SportslineData!$AD:$AK,7,0),0))</f>
        <v>1</v>
      </c>
      <c r="R35" s="117"/>
      <c r="S35" s="33"/>
      <c r="T35" s="38">
        <f>IF(ISERROR(ROUND((((((ROUNDDOWN((D35/5),0)*Settings!$F$7)+(E35*Settings!$I$7))+(F35*Settings!$I$11))+(ROUNDDOWN((G35/5),0)*Settings!$F$11))+(H35*Settings!$F$12)),1)),0,ROUND((((((ROUNDDOWN((D35/5),0)*Settings!$F$7)+(E35*Settings!$I$7))+(F35*Settings!$I$11))+(ROUNDDOWN((G35/5),0)*Settings!$F$11))+(H35*Settings!$F$12)),1))</f>
        <v>168</v>
      </c>
      <c r="U35" s="38">
        <f>IF(ISERROR(ROUND((((((ROUNDDOWN((I35/5),0)*Settings!$F$7)+(J35*Settings!$I$7))+(K35*Settings!$I$11))+(ROUNDDOWN((L35/5),0)*Settings!$F$11))+(M35*Settings!$F$12)),1)),0,ROUND((((((ROUNDDOWN((I35/5),0)*Settings!$F$7)+(J35*Settings!$I$7))+(K35*Settings!$I$11))+(ROUNDDOWN((L35/5),0)*Settings!$F$11))+(M35*Settings!$F$12)),1))</f>
        <v>175</v>
      </c>
      <c r="V35" s="38">
        <f>IF((N35=""),0,((((N35*Settings!$I$11)+(ROUND((O35/5),0)*Settings!$F$11))+(P35*Settings!$F$12))+(Q35*Settings!$F$15)))</f>
        <v>178</v>
      </c>
      <c r="W35" s="66">
        <f>ROUND((((T35*Settings!$B$21)+(U35*Settings!$B$22))+(V35*Settings!$B$23)),1)</f>
        <v>173.7</v>
      </c>
      <c r="X35" s="66">
        <f>IF(ISERROR(VLOOKUP(RANK(W35,W$4:W$182),X$4:X34,1,0)),RANK(W35,W$4:W$182),IF(ISERROR(VLOOKUP((RANK(W35,W$4:W$182)+1),X$4:X34,1,0)),(RANK(W35,W$4:W$182)+1),IF(ISERROR(VLOOKUP((RANK(W35,W$4:W$182)+2),X$4:X34,1,0)),(RANK(W35,W$4:W$182)+2),(RANK(W35,W$4:W$182)+3))))</f>
        <v>27</v>
      </c>
      <c r="Y35" t="str">
        <f t="shared" si="2"/>
        <v>Kendall Wright</v>
      </c>
    </row>
    <row r="36" spans="1:25" ht="12.75" customHeight="1">
      <c r="A36" s="33" t="str">
        <f>ESPNData!AH35</f>
        <v>Sammy Watkins, Buf WR  P</v>
      </c>
      <c r="B36" s="33" t="str">
        <f t="shared" ref="B36:B67" si="3">IF(OR((A36=""),(A36=0)),"",IF(ISERROR(FIND("*",A36)),LEFT(A36,(FIND(",",A36)-1)),LEFT(A36,(FIND("*",A36)-1))))</f>
        <v>Sammy Watkins</v>
      </c>
      <c r="C36" s="64" t="str">
        <f t="shared" ref="C36:C67" si="4">IF((A36=""),"",UPPER(RIGHT(LEFT(A36,(FIND("WR",A36)-2)),(LEN(LEFT(A36,(FIND("WR",A36)-2)))-(FIND(",",LEFT(A36,(FIND("WR",A36)-2)))+1)))))</f>
        <v>BUF</v>
      </c>
      <c r="D36" s="117">
        <f>IF(OR(($A36=Settings!$A$31),($A36=Settings!$A$32),ISERROR(VLOOKUP($B36,FFTodayData!$AB:$AK,8,0))),"",VLOOKUP($B36,FFTodayData!$AB:$AK,8,0))</f>
        <v>0</v>
      </c>
      <c r="E36" s="33">
        <f>IF(OR(($A36=Settings!$A$31),($A36=Settings!$A$32),ISERROR(VLOOKUP($B36,FFTodayData!$AB:$AK,9,0))),"",VLOOKUP($B36,FFTodayData!$AB:$AK,9,0))</f>
        <v>0</v>
      </c>
      <c r="F36" s="33">
        <f>IF(OR(($A36=Settings!$A$31),($A36=Settings!$A$32),ISERROR(VLOOKUP($B36,FFTodayData!$AB:$AK,4,0))),"",VLOOKUP($B36,FFTodayData!$AB:$AK,4,0))</f>
        <v>62</v>
      </c>
      <c r="G36" s="33">
        <f>IF(OR(($A36=Settings!$A$31),($A36=Settings!$A$32),ISERROR(VLOOKUP($B36,FFTodayData!$AB:$AK,5,0))),"",VLOOKUP($B36,FFTodayData!$AB:$AK,5,0))</f>
        <v>822</v>
      </c>
      <c r="H36" s="64">
        <f>IF(OR(($A36=Settings!$A$31),($A36=Settings!$A$32),ISERROR(VLOOKUP($B36,FFTodayData!$AB:$AK,6,0))),"",VLOOKUP($B36,FFTodayData!$AB:$AK,6,0))</f>
        <v>5</v>
      </c>
      <c r="I36" s="117">
        <f>IF(ISERROR(VLOOKUP($A36,ESPNData!$AH:$AU,9,0)),"",VLOOKUP($A36,ESPNData!$AH:$AU,9,0))</f>
        <v>42</v>
      </c>
      <c r="J36" s="33">
        <f>IF(ISERROR(VLOOKUP($A36,ESPNData!$AH:$AU,10,0)),"",VLOOKUP($A36,ESPNData!$AH:$AU,10,0))</f>
        <v>0</v>
      </c>
      <c r="K36" s="33">
        <f>IF(ISERROR(VLOOKUP($A36,ESPNData!$AH:$AU,11,0)),"",VLOOKUP($A36,ESPNData!$AH:$AU,11,0))</f>
        <v>65</v>
      </c>
      <c r="L36" s="33">
        <f>IF(ISERROR(VLOOKUP($A36,ESPNData!$AH:$AU,12,0)),"",VLOOKUP($A36,ESPNData!$AH:$AU,12,0))</f>
        <v>893</v>
      </c>
      <c r="M36" s="64">
        <f>IF(ISERROR(VLOOKUP($A36,ESPNData!$AH:$AU,13,0)),"",VLOOKUP($A36,ESPNData!$AH:$AU,13,0))</f>
        <v>6</v>
      </c>
      <c r="N36" s="117">
        <f>IF(OR(($A36=Settings!$A$31),($A36=Settings!$A$32),ISERROR(VLOOKUP($B36,SportslineData!$AD:$AK,3,0))),"",ROUND(VLOOKUP($B36,SportslineData!$AD:$AK,3,0),0))</f>
        <v>58</v>
      </c>
      <c r="O36" s="33">
        <f>IF(OR(($A36=Settings!$A$31),($A36=Settings!$A$32),ISERROR(VLOOKUP($B36,SportslineData!$AD:$AK,4,0))),"",VLOOKUP($B36,SportslineData!$AD:$AK,4,0))</f>
        <v>866</v>
      </c>
      <c r="P36" s="33">
        <f>IF(OR(($A36=Settings!$A$31),($A36=Settings!$A$32),ISERROR(VLOOKUP($B36,SportslineData!$AD:$AK,6,0))),"",ROUND(VLOOKUP($B36,SportslineData!$AD:$AK,6,0),0))</f>
        <v>7</v>
      </c>
      <c r="Q36" s="64">
        <f>IF(OR(($A36=Settings!$A$31),($A36=Settings!$A$32),ISERROR(VLOOKUP($B36,SportslineData!$AD:$AK,7,0))),"",ROUND(VLOOKUP($B36,SportslineData!$AD:$AK,7,0),0))</f>
        <v>1</v>
      </c>
      <c r="R36" s="117"/>
      <c r="S36" s="33"/>
      <c r="T36" s="38">
        <f>IF(ISERROR(ROUND((((((ROUNDDOWN((D36/5),0)*Settings!$F$7)+(E36*Settings!$I$7))+(F36*Settings!$I$11))+(ROUNDDOWN((G36/5),0)*Settings!$F$11))+(H36*Settings!$F$12)),1)),0,ROUND((((((ROUNDDOWN((D36/5),0)*Settings!$F$7)+(E36*Settings!$I$7))+(F36*Settings!$I$11))+(ROUNDDOWN((G36/5),0)*Settings!$F$11))+(H36*Settings!$F$12)),1))</f>
        <v>143</v>
      </c>
      <c r="U36" s="38">
        <f>IF(ISERROR(ROUND((((((ROUNDDOWN((I36/5),0)*Settings!$F$7)+(J36*Settings!$I$7))+(K36*Settings!$I$11))+(ROUNDDOWN((L36/5),0)*Settings!$F$11))+(M36*Settings!$F$12)),1)),0,ROUND((((((ROUNDDOWN((I36/5),0)*Settings!$F$7)+(J36*Settings!$I$7))+(K36*Settings!$I$11))+(ROUNDDOWN((L36/5),0)*Settings!$F$11))+(M36*Settings!$F$12)),1))</f>
        <v>161.5</v>
      </c>
      <c r="V36" s="38">
        <f>IF((N36=""),0,((((N36*Settings!$I$11)+(ROUND((O36/5),0)*Settings!$F$11))+(P36*Settings!$F$12))+(Q36*Settings!$F$15)))</f>
        <v>156.5</v>
      </c>
      <c r="W36" s="66">
        <f>ROUND((((T36*Settings!$B$21)+(U36*Settings!$B$22))+(V36*Settings!$B$23)),1)</f>
        <v>153.69999999999999</v>
      </c>
      <c r="X36" s="66">
        <f>IF(ISERROR(VLOOKUP(RANK(W36,W$4:W$182),X$4:X35,1,0)),RANK(W36,W$4:W$182),IF(ISERROR(VLOOKUP((RANK(W36,W$4:W$182)+1),X$4:X35,1,0)),(RANK(W36,W$4:W$182)+1),IF(ISERROR(VLOOKUP((RANK(W36,W$4:W$182)+2),X$4:X35,1,0)),(RANK(W36,W$4:W$182)+2),(RANK(W36,W$4:W$182)+3))))</f>
        <v>36</v>
      </c>
      <c r="Y36" t="str">
        <f t="shared" ref="Y36:Y67" si="5">B36</f>
        <v>Sammy Watkins</v>
      </c>
    </row>
    <row r="37" spans="1:25" ht="12.75" customHeight="1">
      <c r="A37" s="33" t="str">
        <f>ESPNData!AH36</f>
        <v>Mike Wallace, Mia WR</v>
      </c>
      <c r="B37" s="33" t="str">
        <f t="shared" si="3"/>
        <v>Mike Wallace</v>
      </c>
      <c r="C37" s="64" t="str">
        <f t="shared" si="4"/>
        <v>MIA</v>
      </c>
      <c r="D37" s="117">
        <f>IF(OR(($A37=Settings!$A$31),($A37=Settings!$A$32),ISERROR(VLOOKUP($B37,FFTodayData!$AB:$AK,8,0))),"",VLOOKUP($B37,FFTodayData!$AB:$AK,8,0))</f>
        <v>46</v>
      </c>
      <c r="E37" s="33">
        <f>IF(OR(($A37=Settings!$A$31),($A37=Settings!$A$32),ISERROR(VLOOKUP($B37,FFTodayData!$AB:$AK,9,0))),"",VLOOKUP($B37,FFTodayData!$AB:$AK,9,0))</f>
        <v>0</v>
      </c>
      <c r="F37" s="33">
        <f>IF(OR(($A37=Settings!$A$31),($A37=Settings!$A$32),ISERROR(VLOOKUP($B37,FFTodayData!$AB:$AK,4,0))),"",VLOOKUP($B37,FFTodayData!$AB:$AK,4,0))</f>
        <v>72</v>
      </c>
      <c r="G37" s="33">
        <f>IF(OR(($A37=Settings!$A$31),($A37=Settings!$A$32),ISERROR(VLOOKUP($B37,FFTodayData!$AB:$AK,5,0))),"",VLOOKUP($B37,FFTodayData!$AB:$AK,5,0))</f>
        <v>989</v>
      </c>
      <c r="H37" s="64">
        <f>IF(OR(($A37=Settings!$A$31),($A37=Settings!$A$32),ISERROR(VLOOKUP($B37,FFTodayData!$AB:$AK,6,0))),"",VLOOKUP($B37,FFTodayData!$AB:$AK,6,0))</f>
        <v>6</v>
      </c>
      <c r="I37" s="117">
        <f>IF(ISERROR(VLOOKUP($A37,ESPNData!$AH:$AU,9,0)),"",VLOOKUP($A37,ESPNData!$AH:$AU,9,0))</f>
        <v>31</v>
      </c>
      <c r="J37" s="33">
        <f>IF(ISERROR(VLOOKUP($A37,ESPNData!$AH:$AU,10,0)),"",VLOOKUP($A37,ESPNData!$AH:$AU,10,0))</f>
        <v>0</v>
      </c>
      <c r="K37" s="33">
        <f>IF(ISERROR(VLOOKUP($A37,ESPNData!$AH:$AU,11,0)),"",VLOOKUP($A37,ESPNData!$AH:$AU,11,0))</f>
        <v>76</v>
      </c>
      <c r="L37" s="33">
        <f>IF(ISERROR(VLOOKUP($A37,ESPNData!$AH:$AU,12,0)),"",VLOOKUP($A37,ESPNData!$AH:$AU,12,0))</f>
        <v>986</v>
      </c>
      <c r="M37" s="64">
        <f>IF(ISERROR(VLOOKUP($A37,ESPNData!$AH:$AU,13,0)),"",VLOOKUP($A37,ESPNData!$AH:$AU,13,0))</f>
        <v>5</v>
      </c>
      <c r="N37" s="117">
        <f>IF(OR(($A37=Settings!$A$31),($A37=Settings!$A$32),ISERROR(VLOOKUP($B37,SportslineData!$AD:$AK,3,0))),"",ROUND(VLOOKUP($B37,SportslineData!$AD:$AK,3,0),0))</f>
        <v>70</v>
      </c>
      <c r="O37" s="33">
        <f>IF(OR(($A37=Settings!$A$31),($A37=Settings!$A$32),ISERROR(VLOOKUP($B37,SportslineData!$AD:$AK,4,0))),"",VLOOKUP($B37,SportslineData!$AD:$AK,4,0))</f>
        <v>1015.5</v>
      </c>
      <c r="P37" s="33">
        <f>IF(OR(($A37=Settings!$A$31),($A37=Settings!$A$32),ISERROR(VLOOKUP($B37,SportslineData!$AD:$AK,6,0))),"",ROUND(VLOOKUP($B37,SportslineData!$AD:$AK,6,0),0))</f>
        <v>6</v>
      </c>
      <c r="Q37" s="64">
        <f>IF(OR(($A37=Settings!$A$31),($A37=Settings!$A$32),ISERROR(VLOOKUP($B37,SportslineData!$AD:$AK,7,0))),"",ROUND(VLOOKUP($B37,SportslineData!$AD:$AK,7,0),0))</f>
        <v>1</v>
      </c>
      <c r="R37" s="117"/>
      <c r="S37" s="33"/>
      <c r="T37" s="38">
        <f>IF(ISERROR(ROUND((((((ROUNDDOWN((D37/5),0)*Settings!$F$7)+(E37*Settings!$I$7))+(F37*Settings!$I$11))+(ROUNDDOWN((G37/5),0)*Settings!$F$11))+(H37*Settings!$F$12)),1)),0,ROUND((((((ROUNDDOWN((D37/5),0)*Settings!$F$7)+(E37*Settings!$I$7))+(F37*Settings!$I$11))+(ROUNDDOWN((G37/5),0)*Settings!$F$11))+(H37*Settings!$F$12)),1))</f>
        <v>175</v>
      </c>
      <c r="U37" s="38">
        <f>IF(ISERROR(ROUND((((((ROUNDDOWN((I37/5),0)*Settings!$F$7)+(J37*Settings!$I$7))+(K37*Settings!$I$11))+(ROUNDDOWN((L37/5),0)*Settings!$F$11))+(M37*Settings!$F$12)),1)),0,ROUND((((((ROUNDDOWN((I37/5),0)*Settings!$F$7)+(J37*Settings!$I$7))+(K37*Settings!$I$11))+(ROUNDDOWN((L37/5),0)*Settings!$F$11))+(M37*Settings!$F$12)),1))</f>
        <v>169.5</v>
      </c>
      <c r="V37" s="38">
        <f>IF((N37=""),0,((((N37*Settings!$I$11)+(ROUND((O37/5),0)*Settings!$F$11))+(P37*Settings!$F$12))+(Q37*Settings!$F$15)))</f>
        <v>171.5</v>
      </c>
      <c r="W37" s="66">
        <f>ROUND((((T37*Settings!$B$21)+(U37*Settings!$B$22))+(V37*Settings!$B$23)),1)</f>
        <v>172</v>
      </c>
      <c r="X37" s="66">
        <f>IF(ISERROR(VLOOKUP(RANK(W37,W$4:W$182),X$4:X36,1,0)),RANK(W37,W$4:W$182),IF(ISERROR(VLOOKUP((RANK(W37,W$4:W$182)+1),X$4:X36,1,0)),(RANK(W37,W$4:W$182)+1),IF(ISERROR(VLOOKUP((RANK(W37,W$4:W$182)+2),X$4:X36,1,0)),(RANK(W37,W$4:W$182)+2),(RANK(W37,W$4:W$182)+3))))</f>
        <v>29</v>
      </c>
      <c r="Y37" t="str">
        <f t="shared" si="5"/>
        <v>Mike Wallace</v>
      </c>
    </row>
    <row r="38" spans="1:25" ht="12.75" customHeight="1">
      <c r="A38" s="33" t="str">
        <f>ESPNData!AH37</f>
        <v>Eric Decker, NYJ WR  P</v>
      </c>
      <c r="B38" s="33" t="str">
        <f t="shared" si="3"/>
        <v>Eric Decker</v>
      </c>
      <c r="C38" s="64" t="str">
        <f t="shared" si="4"/>
        <v>NYJ</v>
      </c>
      <c r="D38" s="117">
        <f>IF(OR(($A38=Settings!$A$31),($A38=Settings!$A$32),ISERROR(VLOOKUP($B38,FFTodayData!$AB:$AK,8,0))),"",VLOOKUP($B38,FFTodayData!$AB:$AK,8,0))</f>
        <v>0</v>
      </c>
      <c r="E38" s="33">
        <f>IF(OR(($A38=Settings!$A$31),($A38=Settings!$A$32),ISERROR(VLOOKUP($B38,FFTodayData!$AB:$AK,9,0))),"",VLOOKUP($B38,FFTodayData!$AB:$AK,9,0))</f>
        <v>0</v>
      </c>
      <c r="F38" s="33">
        <f>IF(OR(($A38=Settings!$A$31),($A38=Settings!$A$32),ISERROR(VLOOKUP($B38,FFTodayData!$AB:$AK,4,0))),"",VLOOKUP($B38,FFTodayData!$AB:$AK,4,0))</f>
        <v>64</v>
      </c>
      <c r="G38" s="33">
        <f>IF(OR(($A38=Settings!$A$31),($A38=Settings!$A$32),ISERROR(VLOOKUP($B38,FFTodayData!$AB:$AK,5,0))),"",VLOOKUP($B38,FFTodayData!$AB:$AK,5,0))</f>
        <v>837</v>
      </c>
      <c r="H38" s="64">
        <f>IF(OR(($A38=Settings!$A$31),($A38=Settings!$A$32),ISERROR(VLOOKUP($B38,FFTodayData!$AB:$AK,6,0))),"",VLOOKUP($B38,FFTodayData!$AB:$AK,6,0))</f>
        <v>6</v>
      </c>
      <c r="I38" s="117">
        <f>IF(ISERROR(VLOOKUP($A38,ESPNData!$AH:$AU,9,0)),"",VLOOKUP($A38,ESPNData!$AH:$AU,9,0))</f>
        <v>0</v>
      </c>
      <c r="J38" s="33">
        <f>IF(ISERROR(VLOOKUP($A38,ESPNData!$AH:$AU,10,0)),"",VLOOKUP($A38,ESPNData!$AH:$AU,10,0))</f>
        <v>0</v>
      </c>
      <c r="K38" s="33">
        <f>IF(ISERROR(VLOOKUP($A38,ESPNData!$AH:$AU,11,0)),"",VLOOKUP($A38,ESPNData!$AH:$AU,11,0))</f>
        <v>64</v>
      </c>
      <c r="L38" s="33">
        <f>IF(ISERROR(VLOOKUP($A38,ESPNData!$AH:$AU,12,0)),"",VLOOKUP($A38,ESPNData!$AH:$AU,12,0))</f>
        <v>947</v>
      </c>
      <c r="M38" s="64">
        <f>IF(ISERROR(VLOOKUP($A38,ESPNData!$AH:$AU,13,0)),"",VLOOKUP($A38,ESPNData!$AH:$AU,13,0))</f>
        <v>6</v>
      </c>
      <c r="N38" s="117">
        <f>IF(OR(($A38=Settings!$A$31),($A38=Settings!$A$32),ISERROR(VLOOKUP($B38,SportslineData!$AD:$AK,3,0))),"",ROUND(VLOOKUP($B38,SportslineData!$AD:$AK,3,0),0))</f>
        <v>67</v>
      </c>
      <c r="O38" s="33">
        <f>IF(OR(($A38=Settings!$A$31),($A38=Settings!$A$32),ISERROR(VLOOKUP($B38,SportslineData!$AD:$AK,4,0))),"",VLOOKUP($B38,SportslineData!$AD:$AK,4,0))</f>
        <v>936.5</v>
      </c>
      <c r="P38" s="33">
        <f>IF(OR(($A38=Settings!$A$31),($A38=Settings!$A$32),ISERROR(VLOOKUP($B38,SportslineData!$AD:$AK,6,0))),"",ROUND(VLOOKUP($B38,SportslineData!$AD:$AK,6,0),0))</f>
        <v>6</v>
      </c>
      <c r="Q38" s="64">
        <f>IF(OR(($A38=Settings!$A$31),($A38=Settings!$A$32),ISERROR(VLOOKUP($B38,SportslineData!$AD:$AK,7,0))),"",ROUND(VLOOKUP($B38,SportslineData!$AD:$AK,7,0),0))</f>
        <v>1</v>
      </c>
      <c r="R38" s="117"/>
      <c r="S38" s="33"/>
      <c r="T38" s="38">
        <f>IF(ISERROR(ROUND((((((ROUNDDOWN((D38/5),0)*Settings!$F$7)+(E38*Settings!$I$7))+(F38*Settings!$I$11))+(ROUNDDOWN((G38/5),0)*Settings!$F$11))+(H38*Settings!$F$12)),1)),0,ROUND((((((ROUNDDOWN((D38/5),0)*Settings!$F$7)+(E38*Settings!$I$7))+(F38*Settings!$I$11))+(ROUNDDOWN((G38/5),0)*Settings!$F$11))+(H38*Settings!$F$12)),1))</f>
        <v>151.5</v>
      </c>
      <c r="U38" s="38">
        <f>IF(ISERROR(ROUND((((((ROUNDDOWN((I38/5),0)*Settings!$F$7)+(J38*Settings!$I$7))+(K38*Settings!$I$11))+(ROUNDDOWN((L38/5),0)*Settings!$F$11))+(M38*Settings!$F$12)),1)),0,ROUND((((((ROUNDDOWN((I38/5),0)*Settings!$F$7)+(J38*Settings!$I$7))+(K38*Settings!$I$11))+(ROUNDDOWN((L38/5),0)*Settings!$F$11))+(M38*Settings!$F$12)),1))</f>
        <v>162.5</v>
      </c>
      <c r="V38" s="38">
        <f>IF((N38=""),0,((((N38*Settings!$I$11)+(ROUND((O38/5),0)*Settings!$F$11))+(P38*Settings!$F$12))+(Q38*Settings!$F$15)))</f>
        <v>162</v>
      </c>
      <c r="W38" s="66">
        <f>ROUND((((T38*Settings!$B$21)+(U38*Settings!$B$22))+(V38*Settings!$B$23)),1)</f>
        <v>158.69999999999999</v>
      </c>
      <c r="X38" s="66">
        <f>IF(ISERROR(VLOOKUP(RANK(W38,W$4:W$182),X$4:X37,1,0)),RANK(W38,W$4:W$182),IF(ISERROR(VLOOKUP((RANK(W38,W$4:W$182)+1),X$4:X37,1,0)),(RANK(W38,W$4:W$182)+1),IF(ISERROR(VLOOKUP((RANK(W38,W$4:W$182)+2),X$4:X37,1,0)),(RANK(W38,W$4:W$182)+2),(RANK(W38,W$4:W$182)+3))))</f>
        <v>34</v>
      </c>
      <c r="Y38" t="str">
        <f t="shared" si="5"/>
        <v>Eric Decker</v>
      </c>
    </row>
    <row r="39" spans="1:25" ht="12.75" customHeight="1">
      <c r="A39" s="33" t="str">
        <f>ESPNData!AH38</f>
        <v>Terrance Williams, Dal WR</v>
      </c>
      <c r="B39" s="33" t="str">
        <f t="shared" si="3"/>
        <v>Terrance Williams</v>
      </c>
      <c r="C39" s="64" t="str">
        <f t="shared" si="4"/>
        <v>DAL</v>
      </c>
      <c r="D39" s="117">
        <f>IF(OR(($A39=Settings!$A$31),($A39=Settings!$A$32),ISERROR(VLOOKUP($B39,FFTodayData!$AB:$AK,8,0))),"",VLOOKUP($B39,FFTodayData!$AB:$AK,8,0))</f>
        <v>0</v>
      </c>
      <c r="E39" s="33">
        <f>IF(OR(($A39=Settings!$A$31),($A39=Settings!$A$32),ISERROR(VLOOKUP($B39,FFTodayData!$AB:$AK,9,0))),"",VLOOKUP($B39,FFTodayData!$AB:$AK,9,0))</f>
        <v>0</v>
      </c>
      <c r="F39" s="33">
        <f>IF(OR(($A39=Settings!$A$31),($A39=Settings!$A$32),ISERROR(VLOOKUP($B39,FFTodayData!$AB:$AK,4,0))),"",VLOOKUP($B39,FFTodayData!$AB:$AK,4,0))</f>
        <v>53</v>
      </c>
      <c r="G39" s="33">
        <f>IF(OR(($A39=Settings!$A$31),($A39=Settings!$A$32),ISERROR(VLOOKUP($B39,FFTodayData!$AB:$AK,5,0))),"",VLOOKUP($B39,FFTodayData!$AB:$AK,5,0))</f>
        <v>795</v>
      </c>
      <c r="H39" s="64">
        <f>IF(OR(($A39=Settings!$A$31),($A39=Settings!$A$32),ISERROR(VLOOKUP($B39,FFTodayData!$AB:$AK,6,0))),"",VLOOKUP($B39,FFTodayData!$AB:$AK,6,0))</f>
        <v>5</v>
      </c>
      <c r="I39" s="117">
        <f>IF(ISERROR(VLOOKUP($A39,ESPNData!$AH:$AU,9,0)),"",VLOOKUP($A39,ESPNData!$AH:$AU,9,0))</f>
        <v>19</v>
      </c>
      <c r="J39" s="33">
        <f>IF(ISERROR(VLOOKUP($A39,ESPNData!$AH:$AU,10,0)),"",VLOOKUP($A39,ESPNData!$AH:$AU,10,0))</f>
        <v>0</v>
      </c>
      <c r="K39" s="33">
        <f>IF(ISERROR(VLOOKUP($A39,ESPNData!$AH:$AU,11,0)),"",VLOOKUP($A39,ESPNData!$AH:$AU,11,0))</f>
        <v>57</v>
      </c>
      <c r="L39" s="33">
        <f>IF(ISERROR(VLOOKUP($A39,ESPNData!$AH:$AU,12,0)),"",VLOOKUP($A39,ESPNData!$AH:$AU,12,0))</f>
        <v>928</v>
      </c>
      <c r="M39" s="64">
        <f>IF(ISERROR(VLOOKUP($A39,ESPNData!$AH:$AU,13,0)),"",VLOOKUP($A39,ESPNData!$AH:$AU,13,0))</f>
        <v>6</v>
      </c>
      <c r="N39" s="117">
        <f>IF(OR(($A39=Settings!$A$31),($A39=Settings!$A$32),ISERROR(VLOOKUP($B39,SportslineData!$AD:$AK,3,0))),"",ROUND(VLOOKUP($B39,SportslineData!$AD:$AK,3,0),0))</f>
        <v>64</v>
      </c>
      <c r="O39" s="33">
        <f>IF(OR(($A39=Settings!$A$31),($A39=Settings!$A$32),ISERROR(VLOOKUP($B39,SportslineData!$AD:$AK,4,0))),"",VLOOKUP($B39,SportslineData!$AD:$AK,4,0))</f>
        <v>934</v>
      </c>
      <c r="P39" s="33">
        <f>IF(OR(($A39=Settings!$A$31),($A39=Settings!$A$32),ISERROR(VLOOKUP($B39,SportslineData!$AD:$AK,6,0))),"",ROUND(VLOOKUP($B39,SportslineData!$AD:$AK,6,0),0))</f>
        <v>7</v>
      </c>
      <c r="Q39" s="64">
        <f>IF(OR(($A39=Settings!$A$31),($A39=Settings!$A$32),ISERROR(VLOOKUP($B39,SportslineData!$AD:$AK,7,0))),"",ROUND(VLOOKUP($B39,SportslineData!$AD:$AK,7,0),0))</f>
        <v>1</v>
      </c>
      <c r="R39" s="117"/>
      <c r="S39" s="33"/>
      <c r="T39" s="38">
        <f>IF(ISERROR(ROUND((((((ROUNDDOWN((D39/5),0)*Settings!$F$7)+(E39*Settings!$I$7))+(F39*Settings!$I$11))+(ROUNDDOWN((G39/5),0)*Settings!$F$11))+(H39*Settings!$F$12)),1)),0,ROUND((((((ROUNDDOWN((D39/5),0)*Settings!$F$7)+(E39*Settings!$I$7))+(F39*Settings!$I$11))+(ROUNDDOWN((G39/5),0)*Settings!$F$11))+(H39*Settings!$F$12)),1))</f>
        <v>136</v>
      </c>
      <c r="U39" s="38">
        <f>IF(ISERROR(ROUND((((((ROUNDDOWN((I39/5),0)*Settings!$F$7)+(J39*Settings!$I$7))+(K39*Settings!$I$11))+(ROUNDDOWN((L39/5),0)*Settings!$F$11))+(M39*Settings!$F$12)),1)),0,ROUND((((((ROUNDDOWN((I39/5),0)*Settings!$F$7)+(J39*Settings!$I$7))+(K39*Settings!$I$11))+(ROUNDDOWN((L39/5),0)*Settings!$F$11))+(M39*Settings!$F$12)),1))</f>
        <v>158.5</v>
      </c>
      <c r="V39" s="38">
        <f>IF((N39=""),0,((((N39*Settings!$I$11)+(ROUND((O39/5),0)*Settings!$F$11))+(P39*Settings!$F$12))+(Q39*Settings!$F$15)))</f>
        <v>166.5</v>
      </c>
      <c r="W39" s="66">
        <f>ROUND((((T39*Settings!$B$21)+(U39*Settings!$B$22))+(V39*Settings!$B$23)),1)</f>
        <v>153.80000000000001</v>
      </c>
      <c r="X39" s="66">
        <f>IF(ISERROR(VLOOKUP(RANK(W39,W$4:W$182),X$4:X38,1,0)),RANK(W39,W$4:W$182),IF(ISERROR(VLOOKUP((RANK(W39,W$4:W$182)+1),X$4:X38,1,0)),(RANK(W39,W$4:W$182)+1),IF(ISERROR(VLOOKUP((RANK(W39,W$4:W$182)+2),X$4:X38,1,0)),(RANK(W39,W$4:W$182)+2),(RANK(W39,W$4:W$182)+3))))</f>
        <v>35</v>
      </c>
      <c r="Y39" t="str">
        <f t="shared" si="5"/>
        <v>Terrance Williams</v>
      </c>
    </row>
    <row r="40" spans="1:25" ht="12.75" customHeight="1">
      <c r="A40" s="33" t="str">
        <f>ESPNData!AH39</f>
        <v>Cecil Shorts, Jac WR  P</v>
      </c>
      <c r="B40" s="33" t="str">
        <f t="shared" si="3"/>
        <v>Cecil Shorts</v>
      </c>
      <c r="C40" s="64" t="str">
        <f t="shared" si="4"/>
        <v>JAC</v>
      </c>
      <c r="D40" s="117">
        <f>IF(OR(($A40=Settings!$A$31),($A40=Settings!$A$32),ISERROR(VLOOKUP($B40,FFTodayData!$AB:$AK,8,0))),"",VLOOKUP($B40,FFTodayData!$AB:$AK,8,0))</f>
        <v>0</v>
      </c>
      <c r="E40" s="33">
        <f>IF(OR(($A40=Settings!$A$31),($A40=Settings!$A$32),ISERROR(VLOOKUP($B40,FFTodayData!$AB:$AK,9,0))),"",VLOOKUP($B40,FFTodayData!$AB:$AK,9,0))</f>
        <v>0</v>
      </c>
      <c r="F40" s="33">
        <f>IF(OR(($A40=Settings!$A$31),($A40=Settings!$A$32),ISERROR(VLOOKUP($B40,FFTodayData!$AB:$AK,4,0))),"",VLOOKUP($B40,FFTodayData!$AB:$AK,4,0))</f>
        <v>64</v>
      </c>
      <c r="G40" s="33">
        <f>IF(OR(($A40=Settings!$A$31),($A40=Settings!$A$32),ISERROR(VLOOKUP($B40,FFTodayData!$AB:$AK,5,0))),"",VLOOKUP($B40,FFTodayData!$AB:$AK,5,0))</f>
        <v>880</v>
      </c>
      <c r="H40" s="64">
        <f>IF(OR(($A40=Settings!$A$31),($A40=Settings!$A$32),ISERROR(VLOOKUP($B40,FFTodayData!$AB:$AK,6,0))),"",VLOOKUP($B40,FFTodayData!$AB:$AK,6,0))</f>
        <v>5</v>
      </c>
      <c r="I40" s="117">
        <f>IF(ISERROR(VLOOKUP($A40,ESPNData!$AH:$AU,9,0)),"",VLOOKUP($A40,ESPNData!$AH:$AU,9,0))</f>
        <v>0</v>
      </c>
      <c r="J40" s="33">
        <f>IF(ISERROR(VLOOKUP($A40,ESPNData!$AH:$AU,10,0)),"",VLOOKUP($A40,ESPNData!$AH:$AU,10,0))</f>
        <v>0</v>
      </c>
      <c r="K40" s="33">
        <f>IF(ISERROR(VLOOKUP($A40,ESPNData!$AH:$AU,11,0)),"",VLOOKUP($A40,ESPNData!$AH:$AU,11,0))</f>
        <v>63</v>
      </c>
      <c r="L40" s="33">
        <f>IF(ISERROR(VLOOKUP($A40,ESPNData!$AH:$AU,12,0)),"",VLOOKUP($A40,ESPNData!$AH:$AU,12,0))</f>
        <v>882</v>
      </c>
      <c r="M40" s="64">
        <f>IF(ISERROR(VLOOKUP($A40,ESPNData!$AH:$AU,13,0)),"",VLOOKUP($A40,ESPNData!$AH:$AU,13,0))</f>
        <v>5</v>
      </c>
      <c r="N40" s="117">
        <f>IF(OR(($A40=Settings!$A$31),($A40=Settings!$A$32),ISERROR(VLOOKUP($B40,SportslineData!$AD:$AK,3,0))),"",ROUND(VLOOKUP($B40,SportslineData!$AD:$AK,3,0),0))</f>
        <v>60</v>
      </c>
      <c r="O40" s="33">
        <f>IF(OR(($A40=Settings!$A$31),($A40=Settings!$A$32),ISERROR(VLOOKUP($B40,SportslineData!$AD:$AK,4,0))),"",VLOOKUP($B40,SportslineData!$AD:$AK,4,0))</f>
        <v>802</v>
      </c>
      <c r="P40" s="33">
        <f>IF(OR(($A40=Settings!$A$31),($A40=Settings!$A$32),ISERROR(VLOOKUP($B40,SportslineData!$AD:$AK,6,0))),"",ROUND(VLOOKUP($B40,SportslineData!$AD:$AK,6,0),0))</f>
        <v>4</v>
      </c>
      <c r="Q40" s="64">
        <f>IF(OR(($A40=Settings!$A$31),($A40=Settings!$A$32),ISERROR(VLOOKUP($B40,SportslineData!$AD:$AK,7,0))),"",ROUND(VLOOKUP($B40,SportslineData!$AD:$AK,7,0),0))</f>
        <v>0</v>
      </c>
      <c r="R40" s="117"/>
      <c r="S40" s="33"/>
      <c r="T40" s="38">
        <f>IF(ISERROR(ROUND((((((ROUNDDOWN((D40/5),0)*Settings!$F$7)+(E40*Settings!$I$7))+(F40*Settings!$I$11))+(ROUNDDOWN((G40/5),0)*Settings!$F$11))+(H40*Settings!$F$12)),1)),0,ROUND((((((ROUNDDOWN((D40/5),0)*Settings!$F$7)+(E40*Settings!$I$7))+(F40*Settings!$I$11))+(ROUNDDOWN((G40/5),0)*Settings!$F$11))+(H40*Settings!$F$12)),1))</f>
        <v>150</v>
      </c>
      <c r="U40" s="38">
        <f>IF(ISERROR(ROUND((((((ROUNDDOWN((I40/5),0)*Settings!$F$7)+(J40*Settings!$I$7))+(K40*Settings!$I$11))+(ROUNDDOWN((L40/5),0)*Settings!$F$11))+(M40*Settings!$F$12)),1)),0,ROUND((((((ROUNDDOWN((I40/5),0)*Settings!$F$7)+(J40*Settings!$I$7))+(K40*Settings!$I$11))+(ROUNDDOWN((L40/5),0)*Settings!$F$11))+(M40*Settings!$F$12)),1))</f>
        <v>149.5</v>
      </c>
      <c r="V40" s="38">
        <f>IF((N40=""),0,((((N40*Settings!$I$11)+(ROUND((O40/5),0)*Settings!$F$11))+(P40*Settings!$F$12))+(Q40*Settings!$F$15)))</f>
        <v>134</v>
      </c>
      <c r="W40" s="66">
        <f>ROUND((((T40*Settings!$B$21)+(U40*Settings!$B$22))+(V40*Settings!$B$23)),1)</f>
        <v>144.4</v>
      </c>
      <c r="X40" s="66">
        <f>IF(ISERROR(VLOOKUP(RANK(W40,W$4:W$182),X$4:X39,1,0)),RANK(W40,W$4:W$182),IF(ISERROR(VLOOKUP((RANK(W40,W$4:W$182)+1),X$4:X39,1,0)),(RANK(W40,W$4:W$182)+1),IF(ISERROR(VLOOKUP((RANK(W40,W$4:W$182)+2),X$4:X39,1,0)),(RANK(W40,W$4:W$182)+2),(RANK(W40,W$4:W$182)+3))))</f>
        <v>37</v>
      </c>
      <c r="Y40" t="str">
        <f t="shared" si="5"/>
        <v>Cecil Shorts</v>
      </c>
    </row>
    <row r="41" spans="1:25" ht="12.75" customHeight="1">
      <c r="A41" s="33" t="str">
        <f>ESPNData!AH40</f>
        <v>Anquan Boldin, SF WR</v>
      </c>
      <c r="B41" s="33" t="str">
        <f t="shared" si="3"/>
        <v>Anquan Boldin</v>
      </c>
      <c r="C41" s="64" t="str">
        <f t="shared" si="4"/>
        <v>SF</v>
      </c>
      <c r="D41" s="117">
        <f>IF(OR(($A41=Settings!$A$31),($A41=Settings!$A$32),ISERROR(VLOOKUP($B41,FFTodayData!$AB:$AK,8,0))),"",VLOOKUP($B41,FFTodayData!$AB:$AK,8,0))</f>
        <v>0</v>
      </c>
      <c r="E41" s="33">
        <f>IF(OR(($A41=Settings!$A$31),($A41=Settings!$A$32),ISERROR(VLOOKUP($B41,FFTodayData!$AB:$AK,9,0))),"",VLOOKUP($B41,FFTodayData!$AB:$AK,9,0))</f>
        <v>0</v>
      </c>
      <c r="F41" s="33">
        <f>IF(OR(($A41=Settings!$A$31),($A41=Settings!$A$32),ISERROR(VLOOKUP($B41,FFTodayData!$AB:$AK,4,0))),"",VLOOKUP($B41,FFTodayData!$AB:$AK,4,0))</f>
        <v>54</v>
      </c>
      <c r="G41" s="33">
        <f>IF(OR(($A41=Settings!$A$31),($A41=Settings!$A$32),ISERROR(VLOOKUP($B41,FFTodayData!$AB:$AK,5,0))),"",VLOOKUP($B41,FFTodayData!$AB:$AK,5,0))</f>
        <v>737</v>
      </c>
      <c r="H41" s="64">
        <f>IF(OR(($A41=Settings!$A$31),($A41=Settings!$A$32),ISERROR(VLOOKUP($B41,FFTodayData!$AB:$AK,6,0))),"",VLOOKUP($B41,FFTodayData!$AB:$AK,6,0))</f>
        <v>5</v>
      </c>
      <c r="I41" s="117">
        <f>IF(ISERROR(VLOOKUP($A41,ESPNData!$AH:$AU,9,0)),"",VLOOKUP($A41,ESPNData!$AH:$AU,9,0))</f>
        <v>14</v>
      </c>
      <c r="J41" s="33">
        <f>IF(ISERROR(VLOOKUP($A41,ESPNData!$AH:$AU,10,0)),"",VLOOKUP($A41,ESPNData!$AH:$AU,10,0))</f>
        <v>0</v>
      </c>
      <c r="K41" s="33">
        <f>IF(ISERROR(VLOOKUP($A41,ESPNData!$AH:$AU,11,0)),"",VLOOKUP($A41,ESPNData!$AH:$AU,11,0))</f>
        <v>69</v>
      </c>
      <c r="L41" s="33">
        <f>IF(ISERROR(VLOOKUP($A41,ESPNData!$AH:$AU,12,0)),"",VLOOKUP($A41,ESPNData!$AH:$AU,12,0))</f>
        <v>967</v>
      </c>
      <c r="M41" s="64">
        <f>IF(ISERROR(VLOOKUP($A41,ESPNData!$AH:$AU,13,0)),"",VLOOKUP($A41,ESPNData!$AH:$AU,13,0))</f>
        <v>4</v>
      </c>
      <c r="N41" s="117">
        <f>IF(OR(($A41=Settings!$A$31),($A41=Settings!$A$32),ISERROR(VLOOKUP($B41,SportslineData!$AD:$AK,3,0))),"",ROUND(VLOOKUP($B41,SportslineData!$AD:$AK,3,0),0))</f>
        <v>62</v>
      </c>
      <c r="O41" s="33">
        <f>IF(OR(($A41=Settings!$A$31),($A41=Settings!$A$32),ISERROR(VLOOKUP($B41,SportslineData!$AD:$AK,4,0))),"",VLOOKUP($B41,SportslineData!$AD:$AK,4,0))</f>
        <v>783.5</v>
      </c>
      <c r="P41" s="33">
        <f>IF(OR(($A41=Settings!$A$31),($A41=Settings!$A$32),ISERROR(VLOOKUP($B41,SportslineData!$AD:$AK,6,0))),"",ROUND(VLOOKUP($B41,SportslineData!$AD:$AK,6,0),0))</f>
        <v>5</v>
      </c>
      <c r="Q41" s="64">
        <f>IF(OR(($A41=Settings!$A$31),($A41=Settings!$A$32),ISERROR(VLOOKUP($B41,SportslineData!$AD:$AK,7,0))),"",ROUND(VLOOKUP($B41,SportslineData!$AD:$AK,7,0),0))</f>
        <v>1</v>
      </c>
      <c r="R41" s="117"/>
      <c r="S41" s="33"/>
      <c r="T41" s="38">
        <f>IF(ISERROR(ROUND((((((ROUNDDOWN((D41/5),0)*Settings!$F$7)+(E41*Settings!$I$7))+(F41*Settings!$I$11))+(ROUNDDOWN((G41/5),0)*Settings!$F$11))+(H41*Settings!$F$12)),1)),0,ROUND((((((ROUNDDOWN((D41/5),0)*Settings!$F$7)+(E41*Settings!$I$7))+(F41*Settings!$I$11))+(ROUNDDOWN((G41/5),0)*Settings!$F$11))+(H41*Settings!$F$12)),1))</f>
        <v>130.5</v>
      </c>
      <c r="U41" s="38">
        <f>IF(ISERROR(ROUND((((((ROUNDDOWN((I41/5),0)*Settings!$F$7)+(J41*Settings!$I$7))+(K41*Settings!$I$11))+(ROUNDDOWN((L41/5),0)*Settings!$F$11))+(M41*Settings!$F$12)),1)),0,ROUND((((((ROUNDDOWN((I41/5),0)*Settings!$F$7)+(J41*Settings!$I$7))+(K41*Settings!$I$11))+(ROUNDDOWN((L41/5),0)*Settings!$F$11))+(M41*Settings!$F$12)),1))</f>
        <v>156</v>
      </c>
      <c r="V41" s="38">
        <f>IF((N41=""),0,((((N41*Settings!$I$11)+(ROUND((O41/5),0)*Settings!$F$11))+(P41*Settings!$F$12))+(Q41*Settings!$F$15)))</f>
        <v>138.5</v>
      </c>
      <c r="W41" s="66">
        <f>ROUND((((T41*Settings!$B$21)+(U41*Settings!$B$22))+(V41*Settings!$B$23)),1)</f>
        <v>141.6</v>
      </c>
      <c r="X41" s="66">
        <f>IF(ISERROR(VLOOKUP(RANK(W41,W$4:W$182),X$4:X40,1,0)),RANK(W41,W$4:W$182),IF(ISERROR(VLOOKUP((RANK(W41,W$4:W$182)+1),X$4:X40,1,0)),(RANK(W41,W$4:W$182)+1),IF(ISERROR(VLOOKUP((RANK(W41,W$4:W$182)+2),X$4:X40,1,0)),(RANK(W41,W$4:W$182)+2),(RANK(W41,W$4:W$182)+3))))</f>
        <v>39</v>
      </c>
      <c r="Y41" t="str">
        <f t="shared" si="5"/>
        <v>Anquan Boldin</v>
      </c>
    </row>
    <row r="42" spans="1:25" ht="12.75" customHeight="1">
      <c r="A42" s="33" t="str">
        <f>ESPNData!AH41</f>
        <v>DeAndre Hopkins, Hou WR</v>
      </c>
      <c r="B42" s="33" t="str">
        <f t="shared" si="3"/>
        <v>DeAndre Hopkins</v>
      </c>
      <c r="C42" s="64" t="str">
        <f t="shared" si="4"/>
        <v>HOU</v>
      </c>
      <c r="D42" s="117">
        <f>IF(OR(($A42=Settings!$A$31),($A42=Settings!$A$32),ISERROR(VLOOKUP($B42,FFTodayData!$AB:$AK,8,0))),"",VLOOKUP($B42,FFTodayData!$AB:$AK,8,0))</f>
        <v>0</v>
      </c>
      <c r="E42" s="33">
        <f>IF(OR(($A42=Settings!$A$31),($A42=Settings!$A$32),ISERROR(VLOOKUP($B42,FFTodayData!$AB:$AK,9,0))),"",VLOOKUP($B42,FFTodayData!$AB:$AK,9,0))</f>
        <v>0</v>
      </c>
      <c r="F42" s="33">
        <f>IF(OR(($A42=Settings!$A$31),($A42=Settings!$A$32),ISERROR(VLOOKUP($B42,FFTodayData!$AB:$AK,4,0))),"",VLOOKUP($B42,FFTodayData!$AB:$AK,4,0))</f>
        <v>54</v>
      </c>
      <c r="G42" s="33">
        <f>IF(OR(($A42=Settings!$A$31),($A42=Settings!$A$32),ISERROR(VLOOKUP($B42,FFTodayData!$AB:$AK,5,0))),"",VLOOKUP($B42,FFTodayData!$AB:$AK,5,0))</f>
        <v>757</v>
      </c>
      <c r="H42" s="64">
        <f>IF(OR(($A42=Settings!$A$31),($A42=Settings!$A$32),ISERROR(VLOOKUP($B42,FFTodayData!$AB:$AK,6,0))),"",VLOOKUP($B42,FFTodayData!$AB:$AK,6,0))</f>
        <v>5</v>
      </c>
      <c r="I42" s="117">
        <f>IF(ISERROR(VLOOKUP($A42,ESPNData!$AH:$AU,9,0)),"",VLOOKUP($A42,ESPNData!$AH:$AU,9,0))</f>
        <v>0</v>
      </c>
      <c r="J42" s="33">
        <f>IF(ISERROR(VLOOKUP($A42,ESPNData!$AH:$AU,10,0)),"",VLOOKUP($A42,ESPNData!$AH:$AU,10,0))</f>
        <v>0</v>
      </c>
      <c r="K42" s="33">
        <f>IF(ISERROR(VLOOKUP($A42,ESPNData!$AH:$AU,11,0)),"",VLOOKUP($A42,ESPNData!$AH:$AU,11,0))</f>
        <v>64</v>
      </c>
      <c r="L42" s="33">
        <f>IF(ISERROR(VLOOKUP($A42,ESPNData!$AH:$AU,12,0)),"",VLOOKUP($A42,ESPNData!$AH:$AU,12,0))</f>
        <v>970</v>
      </c>
      <c r="M42" s="64">
        <f>IF(ISERROR(VLOOKUP($A42,ESPNData!$AH:$AU,13,0)),"",VLOOKUP($A42,ESPNData!$AH:$AU,13,0))</f>
        <v>4</v>
      </c>
      <c r="N42" s="117">
        <f>IF(OR(($A42=Settings!$A$31),($A42=Settings!$A$32),ISERROR(VLOOKUP($B42,SportslineData!$AD:$AK,3,0))),"",ROUND(VLOOKUP($B42,SportslineData!$AD:$AK,3,0),0))</f>
        <v>59</v>
      </c>
      <c r="O42" s="33">
        <f>IF(OR(($A42=Settings!$A$31),($A42=Settings!$A$32),ISERROR(VLOOKUP($B42,SportslineData!$AD:$AK,4,0))),"",VLOOKUP($B42,SportslineData!$AD:$AK,4,0))</f>
        <v>747</v>
      </c>
      <c r="P42" s="33">
        <f>IF(OR(($A42=Settings!$A$31),($A42=Settings!$A$32),ISERROR(VLOOKUP($B42,SportslineData!$AD:$AK,6,0))),"",ROUND(VLOOKUP($B42,SportslineData!$AD:$AK,6,0),0))</f>
        <v>5</v>
      </c>
      <c r="Q42" s="64">
        <f>IF(OR(($A42=Settings!$A$31),($A42=Settings!$A$32),ISERROR(VLOOKUP($B42,SportslineData!$AD:$AK,7,0))),"",ROUND(VLOOKUP($B42,SportslineData!$AD:$AK,7,0),0))</f>
        <v>1</v>
      </c>
      <c r="R42" s="117"/>
      <c r="S42" s="33"/>
      <c r="T42" s="38">
        <f>IF(ISERROR(ROUND((((((ROUNDDOWN((D42/5),0)*Settings!$F$7)+(E42*Settings!$I$7))+(F42*Settings!$I$11))+(ROUNDDOWN((G42/5),0)*Settings!$F$11))+(H42*Settings!$F$12)),1)),0,ROUND((((((ROUNDDOWN((D42/5),0)*Settings!$F$7)+(E42*Settings!$I$7))+(F42*Settings!$I$11))+(ROUNDDOWN((G42/5),0)*Settings!$F$11))+(H42*Settings!$F$12)),1))</f>
        <v>132.5</v>
      </c>
      <c r="U42" s="38">
        <f>IF(ISERROR(ROUND((((((ROUNDDOWN((I42/5),0)*Settings!$F$7)+(J42*Settings!$I$7))+(K42*Settings!$I$11))+(ROUNDDOWN((L42/5),0)*Settings!$F$11))+(M42*Settings!$F$12)),1)),0,ROUND((((((ROUNDDOWN((I42/5),0)*Settings!$F$7)+(J42*Settings!$I$7))+(K42*Settings!$I$11))+(ROUNDDOWN((L42/5),0)*Settings!$F$11))+(M42*Settings!$F$12)),1))</f>
        <v>153</v>
      </c>
      <c r="V42" s="38">
        <f>IF((N42=""),0,((((N42*Settings!$I$11)+(ROUND((O42/5),0)*Settings!$F$11))+(P42*Settings!$F$12))+(Q42*Settings!$F$15)))</f>
        <v>133</v>
      </c>
      <c r="W42" s="66">
        <f>ROUND((((T42*Settings!$B$21)+(U42*Settings!$B$22))+(V42*Settings!$B$23)),1)</f>
        <v>139.4</v>
      </c>
      <c r="X42" s="66">
        <f>IF(ISERROR(VLOOKUP(RANK(W42,W$4:W$182),X$4:X41,1,0)),RANK(W42,W$4:W$182),IF(ISERROR(VLOOKUP((RANK(W42,W$4:W$182)+1),X$4:X41,1,0)),(RANK(W42,W$4:W$182)+1),IF(ISERROR(VLOOKUP((RANK(W42,W$4:W$182)+2),X$4:X41,1,0)),(RANK(W42,W$4:W$182)+2),(RANK(W42,W$4:W$182)+3))))</f>
        <v>41</v>
      </c>
      <c r="Y42" t="str">
        <f t="shared" si="5"/>
        <v>DeAndre Hopkins</v>
      </c>
    </row>
    <row r="43" spans="1:25" ht="12.75" customHeight="1">
      <c r="A43" s="33" t="str">
        <f>ESPNData!AH42</f>
        <v>Riley Cooper, Phi WR</v>
      </c>
      <c r="B43" s="33" t="str">
        <f t="shared" si="3"/>
        <v>Riley Cooper</v>
      </c>
      <c r="C43" s="64" t="str">
        <f t="shared" si="4"/>
        <v>PHI</v>
      </c>
      <c r="D43" s="117">
        <f>IF(OR(($A43=Settings!$A$31),($A43=Settings!$A$32),ISERROR(VLOOKUP($B43,FFTodayData!$AB:$AK,8,0))),"",VLOOKUP($B43,FFTodayData!$AB:$AK,8,0))</f>
        <v>0</v>
      </c>
      <c r="E43" s="33">
        <f>IF(OR(($A43=Settings!$A$31),($A43=Settings!$A$32),ISERROR(VLOOKUP($B43,FFTodayData!$AB:$AK,9,0))),"",VLOOKUP($B43,FFTodayData!$AB:$AK,9,0))</f>
        <v>0</v>
      </c>
      <c r="F43" s="33">
        <f>IF(OR(($A43=Settings!$A$31),($A43=Settings!$A$32),ISERROR(VLOOKUP($B43,FFTodayData!$AB:$AK,4,0))),"",VLOOKUP($B43,FFTodayData!$AB:$AK,4,0))</f>
        <v>46</v>
      </c>
      <c r="G43" s="33">
        <f>IF(OR(($A43=Settings!$A$31),($A43=Settings!$A$32),ISERROR(VLOOKUP($B43,FFTodayData!$AB:$AK,5,0))),"",VLOOKUP($B43,FFTodayData!$AB:$AK,5,0))</f>
        <v>698</v>
      </c>
      <c r="H43" s="64">
        <f>IF(OR(($A43=Settings!$A$31),($A43=Settings!$A$32),ISERROR(VLOOKUP($B43,FFTodayData!$AB:$AK,6,0))),"",VLOOKUP($B43,FFTodayData!$AB:$AK,6,0))</f>
        <v>5</v>
      </c>
      <c r="I43" s="117">
        <f>IF(ISERROR(VLOOKUP($A43,ESPNData!$AH:$AU,9,0)),"",VLOOKUP($A43,ESPNData!$AH:$AU,9,0))</f>
        <v>0</v>
      </c>
      <c r="J43" s="33">
        <f>IF(ISERROR(VLOOKUP($A43,ESPNData!$AH:$AU,10,0)),"",VLOOKUP($A43,ESPNData!$AH:$AU,10,0))</f>
        <v>0</v>
      </c>
      <c r="K43" s="33">
        <f>IF(ISERROR(VLOOKUP($A43,ESPNData!$AH:$AU,11,0)),"",VLOOKUP($A43,ESPNData!$AH:$AU,11,0))</f>
        <v>50</v>
      </c>
      <c r="L43" s="33">
        <f>IF(ISERROR(VLOOKUP($A43,ESPNData!$AH:$AU,12,0)),"",VLOOKUP($A43,ESPNData!$AH:$AU,12,0))</f>
        <v>816</v>
      </c>
      <c r="M43" s="64">
        <f>IF(ISERROR(VLOOKUP($A43,ESPNData!$AH:$AU,13,0)),"",VLOOKUP($A43,ESPNData!$AH:$AU,13,0))</f>
        <v>5</v>
      </c>
      <c r="N43" s="117">
        <f>IF(OR(($A43=Settings!$A$31),($A43=Settings!$A$32),ISERROR(VLOOKUP($B43,SportslineData!$AD:$AK,3,0))),"",ROUND(VLOOKUP($B43,SportslineData!$AD:$AK,3,0),0))</f>
        <v>54</v>
      </c>
      <c r="O43" s="33">
        <f>IF(OR(($A43=Settings!$A$31),($A43=Settings!$A$32),ISERROR(VLOOKUP($B43,SportslineData!$AD:$AK,4,0))),"",VLOOKUP($B43,SportslineData!$AD:$AK,4,0))</f>
        <v>794.5</v>
      </c>
      <c r="P43" s="33">
        <f>IF(OR(($A43=Settings!$A$31),($A43=Settings!$A$32),ISERROR(VLOOKUP($B43,SportslineData!$AD:$AK,6,0))),"",ROUND(VLOOKUP($B43,SportslineData!$AD:$AK,6,0),0))</f>
        <v>6</v>
      </c>
      <c r="Q43" s="64">
        <f>IF(OR(($A43=Settings!$A$31),($A43=Settings!$A$32),ISERROR(VLOOKUP($B43,SportslineData!$AD:$AK,7,0))),"",ROUND(VLOOKUP($B43,SportslineData!$AD:$AK,7,0),0))</f>
        <v>1</v>
      </c>
      <c r="R43" s="117"/>
      <c r="S43" s="33"/>
      <c r="T43" s="38">
        <f>IF(ISERROR(ROUND((((((ROUNDDOWN((D43/5),0)*Settings!$F$7)+(E43*Settings!$I$7))+(F43*Settings!$I$11))+(ROUNDDOWN((G43/5),0)*Settings!$F$11))+(H43*Settings!$F$12)),1)),0,ROUND((((((ROUNDDOWN((D43/5),0)*Settings!$F$7)+(E43*Settings!$I$7))+(F43*Settings!$I$11))+(ROUNDDOWN((G43/5),0)*Settings!$F$11))+(H43*Settings!$F$12)),1))</f>
        <v>122.5</v>
      </c>
      <c r="U43" s="38">
        <f>IF(ISERROR(ROUND((((((ROUNDDOWN((I43/5),0)*Settings!$F$7)+(J43*Settings!$I$7))+(K43*Settings!$I$11))+(ROUNDDOWN((L43/5),0)*Settings!$F$11))+(M43*Settings!$F$12)),1)),0,ROUND((((((ROUNDDOWN((I43/5),0)*Settings!$F$7)+(J43*Settings!$I$7))+(K43*Settings!$I$11))+(ROUNDDOWN((L43/5),0)*Settings!$F$11))+(M43*Settings!$F$12)),1))</f>
        <v>136.5</v>
      </c>
      <c r="V43" s="38">
        <f>IF((N43=""),0,((((N43*Settings!$I$11)+(ROUND((O43/5),0)*Settings!$F$11))+(P43*Settings!$F$12))+(Q43*Settings!$F$15)))</f>
        <v>141.5</v>
      </c>
      <c r="W43" s="66">
        <f>ROUND((((T43*Settings!$B$21)+(U43*Settings!$B$22))+(V43*Settings!$B$23)),1)</f>
        <v>133.6</v>
      </c>
      <c r="X43" s="66">
        <f>IF(ISERROR(VLOOKUP(RANK(W43,W$4:W$182),X$4:X42,1,0)),RANK(W43,W$4:W$182),IF(ISERROR(VLOOKUP((RANK(W43,W$4:W$182)+1),X$4:X42,1,0)),(RANK(W43,W$4:W$182)+1),IF(ISERROR(VLOOKUP((RANK(W43,W$4:W$182)+2),X$4:X42,1,0)),(RANK(W43,W$4:W$182)+2),(RANK(W43,W$4:W$182)+3))))</f>
        <v>45</v>
      </c>
      <c r="Y43" t="str">
        <f t="shared" si="5"/>
        <v>Riley Cooper</v>
      </c>
    </row>
    <row r="44" spans="1:25" ht="12.75" customHeight="1">
      <c r="A44" s="33" t="str">
        <f>ESPNData!AH45</f>
        <v>Danny Amendola, NE WR</v>
      </c>
      <c r="B44" s="33" t="str">
        <f t="shared" si="3"/>
        <v>Danny Amendola</v>
      </c>
      <c r="C44" s="64" t="str">
        <f t="shared" si="4"/>
        <v>NE</v>
      </c>
      <c r="D44" s="117">
        <f>IF(OR(($A44=Settings!$A$31),($A44=Settings!$A$32),ISERROR(VLOOKUP($B44,FFTodayData!$AB:$AK,8,0))),"",VLOOKUP($B44,FFTodayData!$AB:$AK,8,0))</f>
        <v>0</v>
      </c>
      <c r="E44" s="33">
        <f>IF(OR(($A44=Settings!$A$31),($A44=Settings!$A$32),ISERROR(VLOOKUP($B44,FFTodayData!$AB:$AK,9,0))),"",VLOOKUP($B44,FFTodayData!$AB:$AK,9,0))</f>
        <v>0</v>
      </c>
      <c r="F44" s="33">
        <f>IF(OR(($A44=Settings!$A$31),($A44=Settings!$A$32),ISERROR(VLOOKUP($B44,FFTodayData!$AB:$AK,4,0))),"",VLOOKUP($B44,FFTodayData!$AB:$AK,4,0))</f>
        <v>74</v>
      </c>
      <c r="G44" s="33">
        <f>IF(OR(($A44=Settings!$A$31),($A44=Settings!$A$32),ISERROR(VLOOKUP($B44,FFTodayData!$AB:$AK,5,0))),"",VLOOKUP($B44,FFTodayData!$AB:$AK,5,0))</f>
        <v>878</v>
      </c>
      <c r="H44" s="64">
        <f>IF(OR(($A44=Settings!$A$31),($A44=Settings!$A$32),ISERROR(VLOOKUP($B44,FFTodayData!$AB:$AK,6,0))),"",VLOOKUP($B44,FFTodayData!$AB:$AK,6,0))</f>
        <v>5</v>
      </c>
      <c r="I44" s="117">
        <f>IF(ISERROR(VLOOKUP($A44,ESPNData!$AH:$AU,9,0)),"",VLOOKUP($A44,ESPNData!$AH:$AU,9,0))</f>
        <v>0</v>
      </c>
      <c r="J44" s="33">
        <f>IF(ISERROR(VLOOKUP($A44,ESPNData!$AH:$AU,10,0)),"",VLOOKUP($A44,ESPNData!$AH:$AU,10,0))</f>
        <v>0</v>
      </c>
      <c r="K44" s="33">
        <f>IF(ISERROR(VLOOKUP($A44,ESPNData!$AH:$AU,11,0)),"",VLOOKUP($A44,ESPNData!$AH:$AU,11,0))</f>
        <v>65</v>
      </c>
      <c r="L44" s="33">
        <f>IF(ISERROR(VLOOKUP($A44,ESPNData!$AH:$AU,12,0)),"",VLOOKUP($A44,ESPNData!$AH:$AU,12,0))</f>
        <v>767</v>
      </c>
      <c r="M44" s="64">
        <f>IF(ISERROR(VLOOKUP($A44,ESPNData!$AH:$AU,13,0)),"",VLOOKUP($A44,ESPNData!$AH:$AU,13,0))</f>
        <v>4</v>
      </c>
      <c r="N44" s="117">
        <f>IF(OR(($A44=Settings!$A$31),($A44=Settings!$A$32),ISERROR(VLOOKUP($B44,SportslineData!$AD:$AK,3,0))),"",ROUND(VLOOKUP($B44,SportslineData!$AD:$AK,3,0),0))</f>
        <v>59</v>
      </c>
      <c r="O44" s="33">
        <f>IF(OR(($A44=Settings!$A$31),($A44=Settings!$A$32),ISERROR(VLOOKUP($B44,SportslineData!$AD:$AK,4,0))),"",VLOOKUP($B44,SportslineData!$AD:$AK,4,0))</f>
        <v>678.5</v>
      </c>
      <c r="P44" s="33">
        <f>IF(OR(($A44=Settings!$A$31),($A44=Settings!$A$32),ISERROR(VLOOKUP($B44,SportslineData!$AD:$AK,6,0))),"",ROUND(VLOOKUP($B44,SportslineData!$AD:$AK,6,0),0))</f>
        <v>4</v>
      </c>
      <c r="Q44" s="64">
        <f>IF(OR(($A44=Settings!$A$31),($A44=Settings!$A$32),ISERROR(VLOOKUP($B44,SportslineData!$AD:$AK,7,0))),"",ROUND(VLOOKUP($B44,SportslineData!$AD:$AK,7,0),0))</f>
        <v>1</v>
      </c>
      <c r="R44" s="117"/>
      <c r="S44" s="33"/>
      <c r="T44" s="38">
        <f>IF(ISERROR(ROUND((((((ROUNDDOWN((D44/5),0)*Settings!$F$7)+(E44*Settings!$I$7))+(F44*Settings!$I$11))+(ROUNDDOWN((G44/5),0)*Settings!$F$11))+(H44*Settings!$F$12)),1)),0,ROUND((((((ROUNDDOWN((D44/5),0)*Settings!$F$7)+(E44*Settings!$I$7))+(F44*Settings!$I$11))+(ROUNDDOWN((G44/5),0)*Settings!$F$11))+(H44*Settings!$F$12)),1))</f>
        <v>154.5</v>
      </c>
      <c r="U44" s="38">
        <f>IF(ISERROR(ROUND((((((ROUNDDOWN((I44/5),0)*Settings!$F$7)+(J44*Settings!$I$7))+(K44*Settings!$I$11))+(ROUNDDOWN((L44/5),0)*Settings!$F$11))+(M44*Settings!$F$12)),1)),0,ROUND((((((ROUNDDOWN((I44/5),0)*Settings!$F$7)+(J44*Settings!$I$7))+(K44*Settings!$I$11))+(ROUNDDOWN((L44/5),0)*Settings!$F$11))+(M44*Settings!$F$12)),1))</f>
        <v>133</v>
      </c>
      <c r="V44" s="38">
        <f>IF((N44=""),0,((((N44*Settings!$I$11)+(ROUND((O44/5),0)*Settings!$F$11))+(P44*Settings!$F$12))+(Q44*Settings!$F$15)))</f>
        <v>120.5</v>
      </c>
      <c r="W44" s="66">
        <f>ROUND((((T44*Settings!$B$21)+(U44*Settings!$B$22))+(V44*Settings!$B$23)),1)</f>
        <v>135.80000000000001</v>
      </c>
      <c r="X44" s="66">
        <f>IF(ISERROR(VLOOKUP(RANK(W44,W$4:W$182),X$4:X43,1,0)),RANK(W44,W$4:W$182),IF(ISERROR(VLOOKUP((RANK(W44,W$4:W$182)+1),X$4:X43,1,0)),(RANK(W44,W$4:W$182)+1),IF(ISERROR(VLOOKUP((RANK(W44,W$4:W$182)+2),X$4:X43,1,0)),(RANK(W44,W$4:W$182)+2),(RANK(W44,W$4:W$182)+3))))</f>
        <v>43</v>
      </c>
      <c r="Y44" t="str">
        <f t="shared" si="5"/>
        <v>Danny Amendola</v>
      </c>
    </row>
    <row r="45" spans="1:25" ht="12.75" customHeight="1">
      <c r="A45" s="33" t="str">
        <f>ESPNData!AH46</f>
        <v>Greg Jennings, Min WR</v>
      </c>
      <c r="B45" s="33" t="str">
        <f t="shared" si="3"/>
        <v>Greg Jennings</v>
      </c>
      <c r="C45" s="64" t="str">
        <f t="shared" si="4"/>
        <v>MIN</v>
      </c>
      <c r="D45" s="117" t="str">
        <f>IF(OR(($A45=Settings!$A$31),($A45=Settings!$A$32),ISERROR(VLOOKUP($B45,FFTodayData!$AB:$AK,8,0))),"",VLOOKUP($B45,FFTodayData!$AB:$AK,8,0))</f>
        <v/>
      </c>
      <c r="E45" s="33" t="str">
        <f>IF(OR(($A45=Settings!$A$31),($A45=Settings!$A$32),ISERROR(VLOOKUP($B45,FFTodayData!$AB:$AK,9,0))),"",VLOOKUP($B45,FFTodayData!$AB:$AK,9,0))</f>
        <v/>
      </c>
      <c r="F45" s="33" t="str">
        <f>IF(OR(($A45=Settings!$A$31),($A45=Settings!$A$32),ISERROR(VLOOKUP($B45,FFTodayData!$AB:$AK,4,0))),"",VLOOKUP($B45,FFTodayData!$AB:$AK,4,0))</f>
        <v/>
      </c>
      <c r="G45" s="33" t="str">
        <f>IF(OR(($A45=Settings!$A$31),($A45=Settings!$A$32),ISERROR(VLOOKUP($B45,FFTodayData!$AB:$AK,5,0))),"",VLOOKUP($B45,FFTodayData!$AB:$AK,5,0))</f>
        <v/>
      </c>
      <c r="H45" s="64" t="str">
        <f>IF(OR(($A45=Settings!$A$31),($A45=Settings!$A$32),ISERROR(VLOOKUP($B45,FFTodayData!$AB:$AK,6,0))),"",VLOOKUP($B45,FFTodayData!$AB:$AK,6,0))</f>
        <v/>
      </c>
      <c r="I45" s="117">
        <f>IF(ISERROR(VLOOKUP($A45,ESPNData!$AH:$AU,9,0)),"",VLOOKUP($A45,ESPNData!$AH:$AU,9,0))</f>
        <v>0</v>
      </c>
      <c r="J45" s="33">
        <f>IF(ISERROR(VLOOKUP($A45,ESPNData!$AH:$AU,10,0)),"",VLOOKUP($A45,ESPNData!$AH:$AU,10,0))</f>
        <v>0</v>
      </c>
      <c r="K45" s="33">
        <f>IF(ISERROR(VLOOKUP($A45,ESPNData!$AH:$AU,11,0)),"",VLOOKUP($A45,ESPNData!$AH:$AU,11,0))</f>
        <v>66</v>
      </c>
      <c r="L45" s="33">
        <f>IF(ISERROR(VLOOKUP($A45,ESPNData!$AH:$AU,12,0)),"",VLOOKUP($A45,ESPNData!$AH:$AU,12,0))</f>
        <v>752</v>
      </c>
      <c r="M45" s="64">
        <f>IF(ISERROR(VLOOKUP($A45,ESPNData!$AH:$AU,13,0)),"",VLOOKUP($A45,ESPNData!$AH:$AU,13,0))</f>
        <v>4</v>
      </c>
      <c r="N45" s="117">
        <f>IF(OR(($A45=Settings!$A$31),($A45=Settings!$A$32),ISERROR(VLOOKUP($B45,SportslineData!$AD:$AK,3,0))),"",ROUND(VLOOKUP($B45,SportslineData!$AD:$AK,3,0),0))</f>
        <v>54</v>
      </c>
      <c r="O45" s="33">
        <f>IF(OR(($A45=Settings!$A$31),($A45=Settings!$A$32),ISERROR(VLOOKUP($B45,SportslineData!$AD:$AK,4,0))),"",VLOOKUP($B45,SportslineData!$AD:$AK,4,0))</f>
        <v>668</v>
      </c>
      <c r="P45" s="33">
        <f>IF(OR(($A45=Settings!$A$31),($A45=Settings!$A$32),ISERROR(VLOOKUP($B45,SportslineData!$AD:$AK,6,0))),"",ROUND(VLOOKUP($B45,SportslineData!$AD:$AK,6,0),0))</f>
        <v>5</v>
      </c>
      <c r="Q45" s="64">
        <f>IF(OR(($A45=Settings!$A$31),($A45=Settings!$A$32),ISERROR(VLOOKUP($B45,SportslineData!$AD:$AK,7,0))),"",ROUND(VLOOKUP($B45,SportslineData!$AD:$AK,7,0),0))</f>
        <v>1</v>
      </c>
      <c r="R45" s="117"/>
      <c r="S45" s="33"/>
      <c r="T45" s="38">
        <f>IF(ISERROR(ROUND((((((ROUNDDOWN((D45/5),0)*Settings!$F$7)+(E45*Settings!$I$7))+(F45*Settings!$I$11))+(ROUNDDOWN((G45/5),0)*Settings!$F$11))+(H45*Settings!$F$12)),1)),0,ROUND((((((ROUNDDOWN((D45/5),0)*Settings!$F$7)+(E45*Settings!$I$7))+(F45*Settings!$I$11))+(ROUNDDOWN((G45/5),0)*Settings!$F$11))+(H45*Settings!$F$12)),1))</f>
        <v>0</v>
      </c>
      <c r="U45" s="38">
        <f>IF(ISERROR(ROUND((((((ROUNDDOWN((I45/5),0)*Settings!$F$7)+(J45*Settings!$I$7))+(K45*Settings!$I$11))+(ROUNDDOWN((L45/5),0)*Settings!$F$11))+(M45*Settings!$F$12)),1)),0,ROUND((((((ROUNDDOWN((I45/5),0)*Settings!$F$7)+(J45*Settings!$I$7))+(K45*Settings!$I$11))+(ROUNDDOWN((L45/5),0)*Settings!$F$11))+(M45*Settings!$F$12)),1))</f>
        <v>132</v>
      </c>
      <c r="V45" s="38">
        <f>IF((N45=""),0,((((N45*Settings!$I$11)+(ROUND((O45/5),0)*Settings!$F$11))+(P45*Settings!$F$12))+(Q45*Settings!$F$15)))</f>
        <v>123</v>
      </c>
      <c r="W45" s="66">
        <f>ROUND((((T45*Settings!$B$21)+(U45*Settings!$B$22))+(V45*Settings!$B$23)),1)</f>
        <v>85.4</v>
      </c>
      <c r="X45" s="66">
        <f>IF(ISERROR(VLOOKUP(RANK(W45,W$4:W$182),X$4:X44,1,0)),RANK(W45,W$4:W$182),IF(ISERROR(VLOOKUP((RANK(W45,W$4:W$182)+1),X$4:X44,1,0)),(RANK(W45,W$4:W$182)+1),IF(ISERROR(VLOOKUP((RANK(W45,W$4:W$182)+2),X$4:X44,1,0)),(RANK(W45,W$4:W$182)+2),(RANK(W45,W$4:W$182)+3))))</f>
        <v>63</v>
      </c>
      <c r="Y45" t="str">
        <f t="shared" si="5"/>
        <v>Greg Jennings</v>
      </c>
    </row>
    <row r="46" spans="1:25" ht="12.75" customHeight="1">
      <c r="A46" s="33" t="str">
        <f>ESPNData!AH47</f>
        <v>Steve Smith, Bal WR</v>
      </c>
      <c r="B46" s="33" t="str">
        <f t="shared" si="3"/>
        <v>Steve Smith</v>
      </c>
      <c r="C46" s="64" t="str">
        <f t="shared" si="4"/>
        <v>BAL</v>
      </c>
      <c r="D46" s="117">
        <f>IF(OR(($A46=Settings!$A$31),($A46=Settings!$A$32),ISERROR(VLOOKUP($B46,FFTodayData!$AB:$AK,8,0))),"",VLOOKUP($B46,FFTodayData!$AB:$AK,8,0))</f>
        <v>0</v>
      </c>
      <c r="E46" s="33">
        <f>IF(OR(($A46=Settings!$A$31),($A46=Settings!$A$32),ISERROR(VLOOKUP($B46,FFTodayData!$AB:$AK,9,0))),"",VLOOKUP($B46,FFTodayData!$AB:$AK,9,0))</f>
        <v>0</v>
      </c>
      <c r="F46" s="33">
        <f>IF(OR(($A46=Settings!$A$31),($A46=Settings!$A$32),ISERROR(VLOOKUP($B46,FFTodayData!$AB:$AK,4,0))),"",VLOOKUP($B46,FFTodayData!$AB:$AK,4,0))</f>
        <v>34</v>
      </c>
      <c r="G46" s="33">
        <f>IF(OR(($A46=Settings!$A$31),($A46=Settings!$A$32),ISERROR(VLOOKUP($B46,FFTodayData!$AB:$AK,5,0))),"",VLOOKUP($B46,FFTodayData!$AB:$AK,5,0))</f>
        <v>446</v>
      </c>
      <c r="H46" s="64">
        <f>IF(OR(($A46=Settings!$A$31),($A46=Settings!$A$32),ISERROR(VLOOKUP($B46,FFTodayData!$AB:$AK,6,0))),"",VLOOKUP($B46,FFTodayData!$AB:$AK,6,0))</f>
        <v>3</v>
      </c>
      <c r="I46" s="117">
        <f>IF(ISERROR(VLOOKUP($A46,ESPNData!$AH:$AU,9,0)),"",VLOOKUP($A46,ESPNData!$AH:$AU,9,0))</f>
        <v>0</v>
      </c>
      <c r="J46" s="33">
        <f>IF(ISERROR(VLOOKUP($A46,ESPNData!$AH:$AU,10,0)),"",VLOOKUP($A46,ESPNData!$AH:$AU,10,0))</f>
        <v>0</v>
      </c>
      <c r="K46" s="33">
        <f>IF(ISERROR(VLOOKUP($A46,ESPNData!$AH:$AU,11,0)),"",VLOOKUP($A46,ESPNData!$AH:$AU,11,0))</f>
        <v>56</v>
      </c>
      <c r="L46" s="33">
        <f>IF(ISERROR(VLOOKUP($A46,ESPNData!$AH:$AU,12,0)),"",VLOOKUP($A46,ESPNData!$AH:$AU,12,0))</f>
        <v>676</v>
      </c>
      <c r="M46" s="64">
        <f>IF(ISERROR(VLOOKUP($A46,ESPNData!$AH:$AU,13,0)),"",VLOOKUP($A46,ESPNData!$AH:$AU,13,0))</f>
        <v>5</v>
      </c>
      <c r="N46" s="117">
        <f>IF(OR(($A46=Settings!$A$31),($A46=Settings!$A$32),ISERROR(VLOOKUP($B46,SportslineData!$AD:$AK,3,0))),"",ROUND(VLOOKUP($B46,SportslineData!$AD:$AK,3,0),0))</f>
        <v>54</v>
      </c>
      <c r="O46" s="33">
        <f>IF(OR(($A46=Settings!$A$31),($A46=Settings!$A$32),ISERROR(VLOOKUP($B46,SportslineData!$AD:$AK,4,0))),"",VLOOKUP($B46,SportslineData!$AD:$AK,4,0))</f>
        <v>690.5</v>
      </c>
      <c r="P46" s="33">
        <f>IF(OR(($A46=Settings!$A$31),($A46=Settings!$A$32),ISERROR(VLOOKUP($B46,SportslineData!$AD:$AK,6,0))),"",ROUND(VLOOKUP($B46,SportslineData!$AD:$AK,6,0),0))</f>
        <v>5</v>
      </c>
      <c r="Q46" s="64">
        <f>IF(OR(($A46=Settings!$A$31),($A46=Settings!$A$32),ISERROR(VLOOKUP($B46,SportslineData!$AD:$AK,7,0))),"",ROUND(VLOOKUP($B46,SportslineData!$AD:$AK,7,0),0))</f>
        <v>2</v>
      </c>
      <c r="R46" s="117"/>
      <c r="S46" s="33"/>
      <c r="T46" s="38">
        <f>IF(ISERROR(ROUND((((((ROUNDDOWN((D46/5),0)*Settings!$F$7)+(E46*Settings!$I$7))+(F46*Settings!$I$11))+(ROUNDDOWN((G46/5),0)*Settings!$F$11))+(H46*Settings!$F$12)),1)),0,ROUND((((((ROUNDDOWN((D46/5),0)*Settings!$F$7)+(E46*Settings!$I$7))+(F46*Settings!$I$11))+(ROUNDDOWN((G46/5),0)*Settings!$F$11))+(H46*Settings!$F$12)),1))</f>
        <v>79.5</v>
      </c>
      <c r="U46" s="38">
        <f>IF(ISERROR(ROUND((((((ROUNDDOWN((I46/5),0)*Settings!$F$7)+(J46*Settings!$I$7))+(K46*Settings!$I$11))+(ROUNDDOWN((L46/5),0)*Settings!$F$11))+(M46*Settings!$F$12)),1)),0,ROUND((((((ROUNDDOWN((I46/5),0)*Settings!$F$7)+(J46*Settings!$I$7))+(K46*Settings!$I$11))+(ROUNDDOWN((L46/5),0)*Settings!$F$11))+(M46*Settings!$F$12)),1))</f>
        <v>125.5</v>
      </c>
      <c r="V46" s="38">
        <f>IF((N46=""),0,((((N46*Settings!$I$11)+(ROUND((O46/5),0)*Settings!$F$11))+(P46*Settings!$F$12))+(Q46*Settings!$F$15)))</f>
        <v>124</v>
      </c>
      <c r="W46" s="66">
        <f>ROUND((((T46*Settings!$B$21)+(U46*Settings!$B$22))+(V46*Settings!$B$23)),1)</f>
        <v>109.8</v>
      </c>
      <c r="X46" s="66">
        <f>IF(ISERROR(VLOOKUP(RANK(W46,W$4:W$182),X$4:X45,1,0)),RANK(W46,W$4:W$182),IF(ISERROR(VLOOKUP((RANK(W46,W$4:W$182)+1),X$4:X45,1,0)),(RANK(W46,W$4:W$182)+1),IF(ISERROR(VLOOKUP((RANK(W46,W$4:W$182)+2),X$4:X45,1,0)),(RANK(W46,W$4:W$182)+2),(RANK(W46,W$4:W$182)+3))))</f>
        <v>51</v>
      </c>
      <c r="Y46" t="str">
        <f t="shared" si="5"/>
        <v>Steve Smith</v>
      </c>
    </row>
    <row r="47" spans="1:25" ht="12.75" customHeight="1">
      <c r="A47" s="33" t="str">
        <f>ESPNData!AH48</f>
        <v>Dwayne Bowe, KC WR  SSPD</v>
      </c>
      <c r="B47" s="33" t="str">
        <f t="shared" si="3"/>
        <v>Dwayne Bowe</v>
      </c>
      <c r="C47" s="64" t="str">
        <f t="shared" si="4"/>
        <v>KC</v>
      </c>
      <c r="D47" s="117">
        <f>IF(OR(($A47=Settings!$A$31),($A47=Settings!$A$32),ISERROR(VLOOKUP($B47,FFTodayData!$AB:$AK,8,0))),"",VLOOKUP($B47,FFTodayData!$AB:$AK,8,0))</f>
        <v>0</v>
      </c>
      <c r="E47" s="33">
        <f>IF(OR(($A47=Settings!$A$31),($A47=Settings!$A$32),ISERROR(VLOOKUP($B47,FFTodayData!$AB:$AK,9,0))),"",VLOOKUP($B47,FFTodayData!$AB:$AK,9,0))</f>
        <v>0</v>
      </c>
      <c r="F47" s="33">
        <f>IF(OR(($A47=Settings!$A$31),($A47=Settings!$A$32),ISERROR(VLOOKUP($B47,FFTodayData!$AB:$AK,4,0))),"",VLOOKUP($B47,FFTodayData!$AB:$AK,4,0))</f>
        <v>69</v>
      </c>
      <c r="G47" s="33">
        <f>IF(OR(($A47=Settings!$A$31),($A47=Settings!$A$32),ISERROR(VLOOKUP($B47,FFTodayData!$AB:$AK,5,0))),"",VLOOKUP($B47,FFTodayData!$AB:$AK,5,0))</f>
        <v>884</v>
      </c>
      <c r="H47" s="64">
        <f>IF(OR(($A47=Settings!$A$31),($A47=Settings!$A$32),ISERROR(VLOOKUP($B47,FFTodayData!$AB:$AK,6,0))),"",VLOOKUP($B47,FFTodayData!$AB:$AK,6,0))</f>
        <v>6</v>
      </c>
      <c r="I47" s="117">
        <f>IF(ISERROR(VLOOKUP($A47,ESPNData!$AH:$AU,9,0)),"",VLOOKUP($A47,ESPNData!$AH:$AU,9,0))</f>
        <v>0</v>
      </c>
      <c r="J47" s="33">
        <f>IF(ISERROR(VLOOKUP($A47,ESPNData!$AH:$AU,10,0)),"",VLOOKUP($A47,ESPNData!$AH:$AU,10,0))</f>
        <v>0</v>
      </c>
      <c r="K47" s="33">
        <f>IF(ISERROR(VLOOKUP($A47,ESPNData!$AH:$AU,11,0)),"",VLOOKUP($A47,ESPNData!$AH:$AU,11,0))</f>
        <v>57</v>
      </c>
      <c r="L47" s="33">
        <f>IF(ISERROR(VLOOKUP($A47,ESPNData!$AH:$AU,12,0)),"",VLOOKUP($A47,ESPNData!$AH:$AU,12,0))</f>
        <v>673</v>
      </c>
      <c r="M47" s="64">
        <f>IF(ISERROR(VLOOKUP($A47,ESPNData!$AH:$AU,13,0)),"",VLOOKUP($A47,ESPNData!$AH:$AU,13,0))</f>
        <v>6</v>
      </c>
      <c r="N47" s="117">
        <f>IF(OR(($A47=Settings!$A$31),($A47=Settings!$A$32),ISERROR(VLOOKUP($B47,SportslineData!$AD:$AK,3,0))),"",ROUND(VLOOKUP($B47,SportslineData!$AD:$AK,3,0),0))</f>
        <v>64</v>
      </c>
      <c r="O47" s="33">
        <f>IF(OR(($A47=Settings!$A$31),($A47=Settings!$A$32),ISERROR(VLOOKUP($B47,SportslineData!$AD:$AK,4,0))),"",VLOOKUP($B47,SportslineData!$AD:$AK,4,0))</f>
        <v>799.5</v>
      </c>
      <c r="P47" s="33">
        <f>IF(OR(($A47=Settings!$A$31),($A47=Settings!$A$32),ISERROR(VLOOKUP($B47,SportslineData!$AD:$AK,6,0))),"",ROUND(VLOOKUP($B47,SportslineData!$AD:$AK,6,0),0))</f>
        <v>5</v>
      </c>
      <c r="Q47" s="64">
        <f>IF(OR(($A47=Settings!$A$31),($A47=Settings!$A$32),ISERROR(VLOOKUP($B47,SportslineData!$AD:$AK,7,0))),"",ROUND(VLOOKUP($B47,SportslineData!$AD:$AK,7,0),0))</f>
        <v>1</v>
      </c>
      <c r="R47" s="117"/>
      <c r="S47" s="33"/>
      <c r="T47" s="38">
        <f>IF(ISERROR(ROUND((((((ROUNDDOWN((D47/5),0)*Settings!$F$7)+(E47*Settings!$I$7))+(F47*Settings!$I$11))+(ROUNDDOWN((G47/5),0)*Settings!$F$11))+(H47*Settings!$F$12)),1)),0,ROUND((((((ROUNDDOWN((D47/5),0)*Settings!$F$7)+(E47*Settings!$I$7))+(F47*Settings!$I$11))+(ROUNDDOWN((G47/5),0)*Settings!$F$11))+(H47*Settings!$F$12)),1))</f>
        <v>158.5</v>
      </c>
      <c r="U47" s="38">
        <f>IF(ISERROR(ROUND((((((ROUNDDOWN((I47/5),0)*Settings!$F$7)+(J47*Settings!$I$7))+(K47*Settings!$I$11))+(ROUNDDOWN((L47/5),0)*Settings!$F$11))+(M47*Settings!$F$12)),1)),0,ROUND((((((ROUNDDOWN((I47/5),0)*Settings!$F$7)+(J47*Settings!$I$7))+(K47*Settings!$I$11))+(ROUNDDOWN((L47/5),0)*Settings!$F$11))+(M47*Settings!$F$12)),1))</f>
        <v>131.5</v>
      </c>
      <c r="V47" s="38">
        <f>IF((N47=""),0,((((N47*Settings!$I$11)+(ROUND((O47/5),0)*Settings!$F$11))+(P47*Settings!$F$12))+(Q47*Settings!$F$15)))</f>
        <v>141</v>
      </c>
      <c r="W47" s="66">
        <f>ROUND((((T47*Settings!$B$21)+(U47*Settings!$B$22))+(V47*Settings!$B$23)),1)</f>
        <v>143.6</v>
      </c>
      <c r="X47" s="66">
        <f>IF(ISERROR(VLOOKUP(RANK(W47,W$4:W$182),X$4:X46,1,0)),RANK(W47,W$4:W$182),IF(ISERROR(VLOOKUP((RANK(W47,W$4:W$182)+1),X$4:X46,1,0)),(RANK(W47,W$4:W$182)+1),IF(ISERROR(VLOOKUP((RANK(W47,W$4:W$182)+2),X$4:X46,1,0)),(RANK(W47,W$4:W$182)+2),(RANK(W47,W$4:W$182)+3))))</f>
        <v>38</v>
      </c>
      <c r="Y47" t="str">
        <f t="shared" si="5"/>
        <v>Dwayne Bowe</v>
      </c>
    </row>
    <row r="48" spans="1:25" ht="12.75" customHeight="1">
      <c r="A48" s="33" t="str">
        <f>ESPNData!AH49</f>
        <v>Justin Hunter, Ten WR</v>
      </c>
      <c r="B48" s="33" t="str">
        <f t="shared" si="3"/>
        <v>Justin Hunter</v>
      </c>
      <c r="C48" s="64" t="str">
        <f t="shared" si="4"/>
        <v>TEN</v>
      </c>
      <c r="D48" s="117" t="str">
        <f>IF(OR(($A48=Settings!$A$31),($A48=Settings!$A$32),ISERROR(VLOOKUP($B48,FFTodayData!$AB:$AK,8,0))),"",VLOOKUP($B48,FFTodayData!$AB:$AK,8,0))</f>
        <v/>
      </c>
      <c r="E48" s="33" t="str">
        <f>IF(OR(($A48=Settings!$A$31),($A48=Settings!$A$32),ISERROR(VLOOKUP($B48,FFTodayData!$AB:$AK,9,0))),"",VLOOKUP($B48,FFTodayData!$AB:$AK,9,0))</f>
        <v/>
      </c>
      <c r="F48" s="33" t="str">
        <f>IF(OR(($A48=Settings!$A$31),($A48=Settings!$A$32),ISERROR(VLOOKUP($B48,FFTodayData!$AB:$AK,4,0))),"",VLOOKUP($B48,FFTodayData!$AB:$AK,4,0))</f>
        <v/>
      </c>
      <c r="G48" s="33" t="str">
        <f>IF(OR(($A48=Settings!$A$31),($A48=Settings!$A$32),ISERROR(VLOOKUP($B48,FFTodayData!$AB:$AK,5,0))),"",VLOOKUP($B48,FFTodayData!$AB:$AK,5,0))</f>
        <v/>
      </c>
      <c r="H48" s="64" t="str">
        <f>IF(OR(($A48=Settings!$A$31),($A48=Settings!$A$32),ISERROR(VLOOKUP($B48,FFTodayData!$AB:$AK,6,0))),"",VLOOKUP($B48,FFTodayData!$AB:$AK,6,0))</f>
        <v/>
      </c>
      <c r="I48" s="117">
        <f>IF(ISERROR(VLOOKUP($A48,ESPNData!$AH:$AU,9,0)),"",VLOOKUP($A48,ESPNData!$AH:$AU,9,0))</f>
        <v>0</v>
      </c>
      <c r="J48" s="33">
        <f>IF(ISERROR(VLOOKUP($A48,ESPNData!$AH:$AU,10,0)),"",VLOOKUP($A48,ESPNData!$AH:$AU,10,0))</f>
        <v>0</v>
      </c>
      <c r="K48" s="33">
        <f>IF(ISERROR(VLOOKUP($A48,ESPNData!$AH:$AU,11,0)),"",VLOOKUP($A48,ESPNData!$AH:$AU,11,0))</f>
        <v>43</v>
      </c>
      <c r="L48" s="33">
        <f>IF(ISERROR(VLOOKUP($A48,ESPNData!$AH:$AU,12,0)),"",VLOOKUP($A48,ESPNData!$AH:$AU,12,0))</f>
        <v>722</v>
      </c>
      <c r="M48" s="64">
        <f>IF(ISERROR(VLOOKUP($A48,ESPNData!$AH:$AU,13,0)),"",VLOOKUP($A48,ESPNData!$AH:$AU,13,0))</f>
        <v>4</v>
      </c>
      <c r="N48" s="117">
        <f>IF(OR(($A48=Settings!$A$31),($A48=Settings!$A$32),ISERROR(VLOOKUP($B48,SportslineData!$AD:$AK,3,0))),"",ROUND(VLOOKUP($B48,SportslineData!$AD:$AK,3,0),0))</f>
        <v>50</v>
      </c>
      <c r="O48" s="33">
        <f>IF(OR(($A48=Settings!$A$31),($A48=Settings!$A$32),ISERROR(VLOOKUP($B48,SportslineData!$AD:$AK,4,0))),"",VLOOKUP($B48,SportslineData!$AD:$AK,4,0))</f>
        <v>808</v>
      </c>
      <c r="P48" s="33">
        <f>IF(OR(($A48=Settings!$A$31),($A48=Settings!$A$32),ISERROR(VLOOKUP($B48,SportslineData!$AD:$AK,6,0))),"",ROUND(VLOOKUP($B48,SportslineData!$AD:$AK,6,0),0))</f>
        <v>6</v>
      </c>
      <c r="Q48" s="64">
        <f>IF(OR(($A48=Settings!$A$31),($A48=Settings!$A$32),ISERROR(VLOOKUP($B48,SportslineData!$AD:$AK,7,0))),"",ROUND(VLOOKUP($B48,SportslineData!$AD:$AK,7,0),0))</f>
        <v>0</v>
      </c>
      <c r="R48" s="117"/>
      <c r="S48" s="33"/>
      <c r="T48" s="38">
        <f>IF(ISERROR(ROUND((((((ROUNDDOWN((D48/5),0)*Settings!$F$7)+(E48*Settings!$I$7))+(F48*Settings!$I$11))+(ROUNDDOWN((G48/5),0)*Settings!$F$11))+(H48*Settings!$F$12)),1)),0,ROUND((((((ROUNDDOWN((D48/5),0)*Settings!$F$7)+(E48*Settings!$I$7))+(F48*Settings!$I$11))+(ROUNDDOWN((G48/5),0)*Settings!$F$11))+(H48*Settings!$F$12)),1))</f>
        <v>0</v>
      </c>
      <c r="U48" s="38">
        <f>IF(ISERROR(ROUND((((((ROUNDDOWN((I48/5),0)*Settings!$F$7)+(J48*Settings!$I$7))+(K48*Settings!$I$11))+(ROUNDDOWN((L48/5),0)*Settings!$F$11))+(M48*Settings!$F$12)),1)),0,ROUND((((((ROUNDDOWN((I48/5),0)*Settings!$F$7)+(J48*Settings!$I$7))+(K48*Settings!$I$11))+(ROUNDDOWN((L48/5),0)*Settings!$F$11))+(M48*Settings!$F$12)),1))</f>
        <v>117.5</v>
      </c>
      <c r="V48" s="38">
        <f>IF((N48=""),0,((((N48*Settings!$I$11)+(ROUND((O48/5),0)*Settings!$F$11))+(P48*Settings!$F$12))+(Q48*Settings!$F$15)))</f>
        <v>142</v>
      </c>
      <c r="W48" s="66">
        <f>ROUND((((T48*Settings!$B$21)+(U48*Settings!$B$22))+(V48*Settings!$B$23)),1)</f>
        <v>87.1</v>
      </c>
      <c r="X48" s="66">
        <f>IF(ISERROR(VLOOKUP(RANK(W48,W$4:W$182),X$4:X47,1,0)),RANK(W48,W$4:W$182),IF(ISERROR(VLOOKUP((RANK(W48,W$4:W$182)+1),X$4:X47,1,0)),(RANK(W48,W$4:W$182)+1),IF(ISERROR(VLOOKUP((RANK(W48,W$4:W$182)+2),X$4:X47,1,0)),(RANK(W48,W$4:W$182)+2),(RANK(W48,W$4:W$182)+3))))</f>
        <v>62</v>
      </c>
      <c r="Y48" t="str">
        <f t="shared" si="5"/>
        <v>Justin Hunter</v>
      </c>
    </row>
    <row r="49" spans="1:25" ht="12.75" customHeight="1">
      <c r="A49" s="33" t="str">
        <f>ESPNData!AH50</f>
        <v>Hakeem Nicks, Ind WR</v>
      </c>
      <c r="B49" s="33" t="str">
        <f t="shared" si="3"/>
        <v>Hakeem Nicks</v>
      </c>
      <c r="C49" s="64" t="str">
        <f t="shared" si="4"/>
        <v>IND</v>
      </c>
      <c r="D49" s="117" t="str">
        <f>IF(OR(($A49=Settings!$A$31),($A49=Settings!$A$32),ISERROR(VLOOKUP($B49,FFTodayData!$AB:$AK,8,0))),"",VLOOKUP($B49,FFTodayData!$AB:$AK,8,0))</f>
        <v/>
      </c>
      <c r="E49" s="33" t="str">
        <f>IF(OR(($A49=Settings!$A$31),($A49=Settings!$A$32),ISERROR(VLOOKUP($B49,FFTodayData!$AB:$AK,9,0))),"",VLOOKUP($B49,FFTodayData!$AB:$AK,9,0))</f>
        <v/>
      </c>
      <c r="F49" s="33" t="str">
        <f>IF(OR(($A49=Settings!$A$31),($A49=Settings!$A$32),ISERROR(VLOOKUP($B49,FFTodayData!$AB:$AK,4,0))),"",VLOOKUP($B49,FFTodayData!$AB:$AK,4,0))</f>
        <v/>
      </c>
      <c r="G49" s="33" t="str">
        <f>IF(OR(($A49=Settings!$A$31),($A49=Settings!$A$32),ISERROR(VLOOKUP($B49,FFTodayData!$AB:$AK,5,0))),"",VLOOKUP($B49,FFTodayData!$AB:$AK,5,0))</f>
        <v/>
      </c>
      <c r="H49" s="64" t="str">
        <f>IF(OR(($A49=Settings!$A$31),($A49=Settings!$A$32),ISERROR(VLOOKUP($B49,FFTodayData!$AB:$AK,6,0))),"",VLOOKUP($B49,FFTodayData!$AB:$AK,6,0))</f>
        <v/>
      </c>
      <c r="I49" s="117">
        <f>IF(ISERROR(VLOOKUP($A49,ESPNData!$AH:$AU,9,0)),"",VLOOKUP($A49,ESPNData!$AH:$AU,9,0))</f>
        <v>0</v>
      </c>
      <c r="J49" s="33">
        <f>IF(ISERROR(VLOOKUP($A49,ESPNData!$AH:$AU,10,0)),"",VLOOKUP($A49,ESPNData!$AH:$AU,10,0))</f>
        <v>0</v>
      </c>
      <c r="K49" s="33">
        <f>IF(ISERROR(VLOOKUP($A49,ESPNData!$AH:$AU,11,0)),"",VLOOKUP($A49,ESPNData!$AH:$AU,11,0))</f>
        <v>47</v>
      </c>
      <c r="L49" s="33">
        <f>IF(ISERROR(VLOOKUP($A49,ESPNData!$AH:$AU,12,0)),"",VLOOKUP($A49,ESPNData!$AH:$AU,12,0))</f>
        <v>761</v>
      </c>
      <c r="M49" s="64">
        <f>IF(ISERROR(VLOOKUP($A49,ESPNData!$AH:$AU,13,0)),"",VLOOKUP($A49,ESPNData!$AH:$AU,13,0))</f>
        <v>4</v>
      </c>
      <c r="N49" s="117">
        <f>IF(OR(($A49=Settings!$A$31),($A49=Settings!$A$32),ISERROR(VLOOKUP($B49,SportslineData!$AD:$AK,3,0))),"",ROUND(VLOOKUP($B49,SportslineData!$AD:$AK,3,0),0))</f>
        <v>50</v>
      </c>
      <c r="O49" s="33">
        <f>IF(OR(($A49=Settings!$A$31),($A49=Settings!$A$32),ISERROR(VLOOKUP($B49,SportslineData!$AD:$AK,4,0))),"",VLOOKUP($B49,SportslineData!$AD:$AK,4,0))</f>
        <v>737.5</v>
      </c>
      <c r="P49" s="33">
        <f>IF(OR(($A49=Settings!$A$31),($A49=Settings!$A$32),ISERROR(VLOOKUP($B49,SportslineData!$AD:$AK,6,0))),"",ROUND(VLOOKUP($B49,SportslineData!$AD:$AK,6,0),0))</f>
        <v>5</v>
      </c>
      <c r="Q49" s="64">
        <f>IF(OR(($A49=Settings!$A$31),($A49=Settings!$A$32),ISERROR(VLOOKUP($B49,SportslineData!$AD:$AK,7,0))),"",ROUND(VLOOKUP($B49,SportslineData!$AD:$AK,7,0),0))</f>
        <v>0</v>
      </c>
      <c r="R49" s="117"/>
      <c r="S49" s="33"/>
      <c r="T49" s="38">
        <f>IF(ISERROR(ROUND((((((ROUNDDOWN((D49/5),0)*Settings!$F$7)+(E49*Settings!$I$7))+(F49*Settings!$I$11))+(ROUNDDOWN((G49/5),0)*Settings!$F$11))+(H49*Settings!$F$12)),1)),0,ROUND((((((ROUNDDOWN((D49/5),0)*Settings!$F$7)+(E49*Settings!$I$7))+(F49*Settings!$I$11))+(ROUNDDOWN((G49/5),0)*Settings!$F$11))+(H49*Settings!$F$12)),1))</f>
        <v>0</v>
      </c>
      <c r="U49" s="38">
        <f>IF(ISERROR(ROUND((((((ROUNDDOWN((I49/5),0)*Settings!$F$7)+(J49*Settings!$I$7))+(K49*Settings!$I$11))+(ROUNDDOWN((L49/5),0)*Settings!$F$11))+(M49*Settings!$F$12)),1)),0,ROUND((((((ROUNDDOWN((I49/5),0)*Settings!$F$7)+(J49*Settings!$I$7))+(K49*Settings!$I$11))+(ROUNDDOWN((L49/5),0)*Settings!$F$11))+(M49*Settings!$F$12)),1))</f>
        <v>123.5</v>
      </c>
      <c r="V49" s="38">
        <f>IF((N49=""),0,((((N49*Settings!$I$11)+(ROUND((O49/5),0)*Settings!$F$11))+(P49*Settings!$F$12))+(Q49*Settings!$F$15)))</f>
        <v>129</v>
      </c>
      <c r="W49" s="66">
        <f>ROUND((((T49*Settings!$B$21)+(U49*Settings!$B$22))+(V49*Settings!$B$23)),1)</f>
        <v>84.6</v>
      </c>
      <c r="X49" s="66">
        <f>IF(ISERROR(VLOOKUP(RANK(W49,W$4:W$182),X$4:X48,1,0)),RANK(W49,W$4:W$182),IF(ISERROR(VLOOKUP((RANK(W49,W$4:W$182)+1),X$4:X48,1,0)),(RANK(W49,W$4:W$182)+1),IF(ISERROR(VLOOKUP((RANK(W49,W$4:W$182)+2),X$4:X48,1,0)),(RANK(W49,W$4:W$182)+2),(RANK(W49,W$4:W$182)+3))))</f>
        <v>64</v>
      </c>
      <c r="Y49" t="str">
        <f t="shared" si="5"/>
        <v>Hakeem Nicks</v>
      </c>
    </row>
    <row r="50" spans="1:25" ht="12.75" customHeight="1">
      <c r="A50" s="33" t="str">
        <f>ESPNData!AH51</f>
        <v>Mike Evans, TB WR</v>
      </c>
      <c r="B50" s="33" t="str">
        <f t="shared" si="3"/>
        <v>Mike Evans</v>
      </c>
      <c r="C50" s="64" t="str">
        <f t="shared" si="4"/>
        <v>TB</v>
      </c>
      <c r="D50" s="117" t="str">
        <f>IF(OR(($A50=Settings!$A$31),($A50=Settings!$A$32),ISERROR(VLOOKUP($B50,FFTodayData!$AB:$AK,8,0))),"",VLOOKUP($B50,FFTodayData!$AB:$AK,8,0))</f>
        <v/>
      </c>
      <c r="E50" s="33" t="str">
        <f>IF(OR(($A50=Settings!$A$31),($A50=Settings!$A$32),ISERROR(VLOOKUP($B50,FFTodayData!$AB:$AK,9,0))),"",VLOOKUP($B50,FFTodayData!$AB:$AK,9,0))</f>
        <v/>
      </c>
      <c r="F50" s="33" t="str">
        <f>IF(OR(($A50=Settings!$A$31),($A50=Settings!$A$32),ISERROR(VLOOKUP($B50,FFTodayData!$AB:$AK,4,0))),"",VLOOKUP($B50,FFTodayData!$AB:$AK,4,0))</f>
        <v/>
      </c>
      <c r="G50" s="33" t="str">
        <f>IF(OR(($A50=Settings!$A$31),($A50=Settings!$A$32),ISERROR(VLOOKUP($B50,FFTodayData!$AB:$AK,5,0))),"",VLOOKUP($B50,FFTodayData!$AB:$AK,5,0))</f>
        <v/>
      </c>
      <c r="H50" s="64" t="str">
        <f>IF(OR(($A50=Settings!$A$31),($A50=Settings!$A$32),ISERROR(VLOOKUP($B50,FFTodayData!$AB:$AK,6,0))),"",VLOOKUP($B50,FFTodayData!$AB:$AK,6,0))</f>
        <v/>
      </c>
      <c r="I50" s="117">
        <f>IF(ISERROR(VLOOKUP($A50,ESPNData!$AH:$AU,9,0)),"",VLOOKUP($A50,ESPNData!$AH:$AU,9,0))</f>
        <v>0</v>
      </c>
      <c r="J50" s="33">
        <f>IF(ISERROR(VLOOKUP($A50,ESPNData!$AH:$AU,10,0)),"",VLOOKUP($A50,ESPNData!$AH:$AU,10,0))</f>
        <v>0</v>
      </c>
      <c r="K50" s="33">
        <f>IF(ISERROR(VLOOKUP($A50,ESPNData!$AH:$AU,11,0)),"",VLOOKUP($A50,ESPNData!$AH:$AU,11,0))</f>
        <v>55</v>
      </c>
      <c r="L50" s="33">
        <f>IF(ISERROR(VLOOKUP($A50,ESPNData!$AH:$AU,12,0)),"",VLOOKUP($A50,ESPNData!$AH:$AU,12,0))</f>
        <v>842</v>
      </c>
      <c r="M50" s="64">
        <f>IF(ISERROR(VLOOKUP($A50,ESPNData!$AH:$AU,13,0)),"",VLOOKUP($A50,ESPNData!$AH:$AU,13,0))</f>
        <v>3</v>
      </c>
      <c r="N50" s="117">
        <f>IF(OR(($A50=Settings!$A$31),($A50=Settings!$A$32),ISERROR(VLOOKUP($B50,SportslineData!$AD:$AK,3,0))),"",ROUND(VLOOKUP($B50,SportslineData!$AD:$AK,3,0),0))</f>
        <v>54</v>
      </c>
      <c r="O50" s="33">
        <f>IF(OR(($A50=Settings!$A$31),($A50=Settings!$A$32),ISERROR(VLOOKUP($B50,SportslineData!$AD:$AK,4,0))),"",VLOOKUP($B50,SportslineData!$AD:$AK,4,0))</f>
        <v>787.5</v>
      </c>
      <c r="P50" s="33">
        <f>IF(OR(($A50=Settings!$A$31),($A50=Settings!$A$32),ISERROR(VLOOKUP($B50,SportslineData!$AD:$AK,6,0))),"",ROUND(VLOOKUP($B50,SportslineData!$AD:$AK,6,0),0))</f>
        <v>7</v>
      </c>
      <c r="Q50" s="64">
        <f>IF(OR(($A50=Settings!$A$31),($A50=Settings!$A$32),ISERROR(VLOOKUP($B50,SportslineData!$AD:$AK,7,0))),"",ROUND(VLOOKUP($B50,SportslineData!$AD:$AK,7,0),0))</f>
        <v>1</v>
      </c>
      <c r="R50" s="117"/>
      <c r="S50" s="33"/>
      <c r="T50" s="38">
        <f>IF(ISERROR(ROUND((((((ROUNDDOWN((D50/5),0)*Settings!$F$7)+(E50*Settings!$I$7))+(F50*Settings!$I$11))+(ROUNDDOWN((G50/5),0)*Settings!$F$11))+(H50*Settings!$F$12)),1)),0,ROUND((((((ROUNDDOWN((D50/5),0)*Settings!$F$7)+(E50*Settings!$I$7))+(F50*Settings!$I$11))+(ROUNDDOWN((G50/5),0)*Settings!$F$11))+(H50*Settings!$F$12)),1))</f>
        <v>0</v>
      </c>
      <c r="U50" s="38">
        <f>IF(ISERROR(ROUND((((((ROUNDDOWN((I50/5),0)*Settings!$F$7)+(J50*Settings!$I$7))+(K50*Settings!$I$11))+(ROUNDDOWN((L50/5),0)*Settings!$F$11))+(M50*Settings!$F$12)),1)),0,ROUND((((((ROUNDDOWN((I50/5),0)*Settings!$F$7)+(J50*Settings!$I$7))+(K50*Settings!$I$11))+(ROUNDDOWN((L50/5),0)*Settings!$F$11))+(M50*Settings!$F$12)),1))</f>
        <v>129.5</v>
      </c>
      <c r="V50" s="38">
        <f>IF((N50=""),0,((((N50*Settings!$I$11)+(ROUND((O50/5),0)*Settings!$F$11))+(P50*Settings!$F$12))+(Q50*Settings!$F$15)))</f>
        <v>147</v>
      </c>
      <c r="W50" s="66">
        <f>ROUND((((T50*Settings!$B$21)+(U50*Settings!$B$22))+(V50*Settings!$B$23)),1)</f>
        <v>92.7</v>
      </c>
      <c r="X50" s="66">
        <f>IF(ISERROR(VLOOKUP(RANK(W50,W$4:W$182),X$4:X49,1,0)),RANK(W50,W$4:W$182),IF(ISERROR(VLOOKUP((RANK(W50,W$4:W$182)+1),X$4:X49,1,0)),(RANK(W50,W$4:W$182)+1),IF(ISERROR(VLOOKUP((RANK(W50,W$4:W$182)+2),X$4:X49,1,0)),(RANK(W50,W$4:W$182)+2),(RANK(W50,W$4:W$182)+3))))</f>
        <v>59</v>
      </c>
      <c r="Y50" t="str">
        <f t="shared" si="5"/>
        <v>Mike Evans</v>
      </c>
    </row>
    <row r="51" spans="1:25" ht="12.75" customHeight="1">
      <c r="A51" s="33" t="str">
        <f>ESPNData!AH52</f>
        <v>Rueben Randle, NYG WR</v>
      </c>
      <c r="B51" s="33" t="str">
        <f t="shared" si="3"/>
        <v>Rueben Randle</v>
      </c>
      <c r="C51" s="64" t="str">
        <f t="shared" si="4"/>
        <v>NYG</v>
      </c>
      <c r="D51" s="117">
        <f>IF(OR(($A51=Settings!$A$31),($A51=Settings!$A$32),ISERROR(VLOOKUP($B51,FFTodayData!$AB:$AK,8,0))),"",VLOOKUP($B51,FFTodayData!$AB:$AK,8,0))</f>
        <v>0</v>
      </c>
      <c r="E51" s="33">
        <f>IF(OR(($A51=Settings!$A$31),($A51=Settings!$A$32),ISERROR(VLOOKUP($B51,FFTodayData!$AB:$AK,9,0))),"",VLOOKUP($B51,FFTodayData!$AB:$AK,9,0))</f>
        <v>0</v>
      </c>
      <c r="F51" s="33">
        <f>IF(OR(($A51=Settings!$A$31),($A51=Settings!$A$32),ISERROR(VLOOKUP($B51,FFTodayData!$AB:$AK,4,0))),"",VLOOKUP($B51,FFTodayData!$AB:$AK,4,0))</f>
        <v>56</v>
      </c>
      <c r="G51" s="33">
        <f>IF(OR(($A51=Settings!$A$31),($A51=Settings!$A$32),ISERROR(VLOOKUP($B51,FFTodayData!$AB:$AK,5,0))),"",VLOOKUP($B51,FFTodayData!$AB:$AK,5,0))</f>
        <v>787</v>
      </c>
      <c r="H51" s="64">
        <f>IF(OR(($A51=Settings!$A$31),($A51=Settings!$A$32),ISERROR(VLOOKUP($B51,FFTodayData!$AB:$AK,6,0))),"",VLOOKUP($B51,FFTodayData!$AB:$AK,6,0))</f>
        <v>5</v>
      </c>
      <c r="I51" s="117">
        <f>IF(ISERROR(VLOOKUP($A51,ESPNData!$AH:$AU,9,0)),"",VLOOKUP($A51,ESPNData!$AH:$AU,9,0))</f>
        <v>0</v>
      </c>
      <c r="J51" s="33">
        <f>IF(ISERROR(VLOOKUP($A51,ESPNData!$AH:$AU,10,0)),"",VLOOKUP($A51,ESPNData!$AH:$AU,10,0))</f>
        <v>0</v>
      </c>
      <c r="K51" s="33">
        <f>IF(ISERROR(VLOOKUP($A51,ESPNData!$AH:$AU,11,0)),"",VLOOKUP($A51,ESPNData!$AH:$AU,11,0))</f>
        <v>43</v>
      </c>
      <c r="L51" s="33">
        <f>IF(ISERROR(VLOOKUP($A51,ESPNData!$AH:$AU,12,0)),"",VLOOKUP($A51,ESPNData!$AH:$AU,12,0))</f>
        <v>675</v>
      </c>
      <c r="M51" s="64">
        <f>IF(ISERROR(VLOOKUP($A51,ESPNData!$AH:$AU,13,0)),"",VLOOKUP($A51,ESPNData!$AH:$AU,13,0))</f>
        <v>5</v>
      </c>
      <c r="N51" s="117">
        <f>IF(OR(($A51=Settings!$A$31),($A51=Settings!$A$32),ISERROR(VLOOKUP($B51,SportslineData!$AD:$AK,3,0))),"",ROUND(VLOOKUP($B51,SportslineData!$AD:$AK,3,0),0))</f>
        <v>62</v>
      </c>
      <c r="O51" s="33">
        <f>IF(OR(($A51=Settings!$A$31),($A51=Settings!$A$32),ISERROR(VLOOKUP($B51,SportslineData!$AD:$AK,4,0))),"",VLOOKUP($B51,SportslineData!$AD:$AK,4,0))</f>
        <v>831</v>
      </c>
      <c r="P51" s="33">
        <f>IF(OR(($A51=Settings!$A$31),($A51=Settings!$A$32),ISERROR(VLOOKUP($B51,SportslineData!$AD:$AK,6,0))),"",ROUND(VLOOKUP($B51,SportslineData!$AD:$AK,6,0),0))</f>
        <v>7</v>
      </c>
      <c r="Q51" s="64">
        <f>IF(OR(($A51=Settings!$A$31),($A51=Settings!$A$32),ISERROR(VLOOKUP($B51,SportslineData!$AD:$AK,7,0))),"",ROUND(VLOOKUP($B51,SportslineData!$AD:$AK,7,0),0))</f>
        <v>1</v>
      </c>
      <c r="R51" s="117"/>
      <c r="S51" s="33"/>
      <c r="T51" s="38">
        <f>IF(ISERROR(ROUND((((((ROUNDDOWN((D51/5),0)*Settings!$F$7)+(E51*Settings!$I$7))+(F51*Settings!$I$11))+(ROUNDDOWN((G51/5),0)*Settings!$F$11))+(H51*Settings!$F$12)),1)),0,ROUND((((((ROUNDDOWN((D51/5),0)*Settings!$F$7)+(E51*Settings!$I$7))+(F51*Settings!$I$11))+(ROUNDDOWN((G51/5),0)*Settings!$F$11))+(H51*Settings!$F$12)),1))</f>
        <v>136.5</v>
      </c>
      <c r="U51" s="38">
        <f>IF(ISERROR(ROUND((((((ROUNDDOWN((I51/5),0)*Settings!$F$7)+(J51*Settings!$I$7))+(K51*Settings!$I$11))+(ROUNDDOWN((L51/5),0)*Settings!$F$11))+(M51*Settings!$F$12)),1)),0,ROUND((((((ROUNDDOWN((I51/5),0)*Settings!$F$7)+(J51*Settings!$I$7))+(K51*Settings!$I$11))+(ROUNDDOWN((L51/5),0)*Settings!$F$11))+(M51*Settings!$F$12)),1))</f>
        <v>119</v>
      </c>
      <c r="V51" s="38">
        <f>IF((N51=""),0,((((N51*Settings!$I$11)+(ROUND((O51/5),0)*Settings!$F$11))+(P51*Settings!$F$12))+(Q51*Settings!$F$15)))</f>
        <v>155</v>
      </c>
      <c r="W51" s="66">
        <f>ROUND((((T51*Settings!$B$21)+(U51*Settings!$B$22))+(V51*Settings!$B$23)),1)</f>
        <v>137</v>
      </c>
      <c r="X51" s="66">
        <f>IF(ISERROR(VLOOKUP(RANK(W51,W$4:W$182),X$4:X50,1,0)),RANK(W51,W$4:W$182),IF(ISERROR(VLOOKUP((RANK(W51,W$4:W$182)+1),X$4:X50,1,0)),(RANK(W51,W$4:W$182)+1),IF(ISERROR(VLOOKUP((RANK(W51,W$4:W$182)+2),X$4:X50,1,0)),(RANK(W51,W$4:W$182)+2),(RANK(W51,W$4:W$182)+3))))</f>
        <v>42</v>
      </c>
      <c r="Y51" t="str">
        <f t="shared" si="5"/>
        <v>Rueben Randle</v>
      </c>
    </row>
    <row r="52" spans="1:25" ht="12.75" customHeight="1">
      <c r="A52" s="33" t="str">
        <f>ESPNData!AH53</f>
        <v>Tavon Austin, StL WR</v>
      </c>
      <c r="B52" s="33" t="str">
        <f t="shared" si="3"/>
        <v>Tavon Austin</v>
      </c>
      <c r="C52" s="64" t="str">
        <f t="shared" si="4"/>
        <v>STL</v>
      </c>
      <c r="D52" s="117">
        <f>IF(OR(($A52=Settings!$A$31),($A52=Settings!$A$32),ISERROR(VLOOKUP($B52,FFTodayData!$AB:$AK,8,0))),"",VLOOKUP($B52,FFTodayData!$AB:$AK,8,0))</f>
        <v>139</v>
      </c>
      <c r="E52" s="33">
        <f>IF(OR(($A52=Settings!$A$31),($A52=Settings!$A$32),ISERROR(VLOOKUP($B52,FFTodayData!$AB:$AK,9,0))),"",VLOOKUP($B52,FFTodayData!$AB:$AK,9,0))</f>
        <v>1</v>
      </c>
      <c r="F52" s="33">
        <f>IF(OR(($A52=Settings!$A$31),($A52=Settings!$A$32),ISERROR(VLOOKUP($B52,FFTodayData!$AB:$AK,4,0))),"",VLOOKUP($B52,FFTodayData!$AB:$AK,4,0))</f>
        <v>58</v>
      </c>
      <c r="G52" s="33">
        <f>IF(OR(($A52=Settings!$A$31),($A52=Settings!$A$32),ISERROR(VLOOKUP($B52,FFTodayData!$AB:$AK,5,0))),"",VLOOKUP($B52,FFTodayData!$AB:$AK,5,0))</f>
        <v>682</v>
      </c>
      <c r="H52" s="64">
        <f>IF(OR(($A52=Settings!$A$31),($A52=Settings!$A$32),ISERROR(VLOOKUP($B52,FFTodayData!$AB:$AK,6,0))),"",VLOOKUP($B52,FFTodayData!$AB:$AK,6,0))</f>
        <v>5</v>
      </c>
      <c r="I52" s="117">
        <f>IF(ISERROR(VLOOKUP($A52,ESPNData!$AH:$AU,9,0)),"",VLOOKUP($A52,ESPNData!$AH:$AU,9,0))</f>
        <v>121</v>
      </c>
      <c r="J52" s="33">
        <f>IF(ISERROR(VLOOKUP($A52,ESPNData!$AH:$AU,10,0)),"",VLOOKUP($A52,ESPNData!$AH:$AU,10,0))</f>
        <v>1</v>
      </c>
      <c r="K52" s="33">
        <f>IF(ISERROR(VLOOKUP($A52,ESPNData!$AH:$AU,11,0)),"",VLOOKUP($A52,ESPNData!$AH:$AU,11,0))</f>
        <v>46</v>
      </c>
      <c r="L52" s="33">
        <f>IF(ISERROR(VLOOKUP($A52,ESPNData!$AH:$AU,12,0)),"",VLOOKUP($A52,ESPNData!$AH:$AU,12,0))</f>
        <v>524</v>
      </c>
      <c r="M52" s="64">
        <f>IF(ISERROR(VLOOKUP($A52,ESPNData!$AH:$AU,13,0)),"",VLOOKUP($A52,ESPNData!$AH:$AU,13,0))</f>
        <v>3</v>
      </c>
      <c r="N52" s="117">
        <f>IF(OR(($A52=Settings!$A$31),($A52=Settings!$A$32),ISERROR(VLOOKUP($B52,SportslineData!$AD:$AK,3,0))),"",ROUND(VLOOKUP($B52,SportslineData!$AD:$AK,3,0),0))</f>
        <v>49</v>
      </c>
      <c r="O52" s="33">
        <f>IF(OR(($A52=Settings!$A$31),($A52=Settings!$A$32),ISERROR(VLOOKUP($B52,SportslineData!$AD:$AK,4,0))),"",VLOOKUP($B52,SportslineData!$AD:$AK,4,0))</f>
        <v>658.5</v>
      </c>
      <c r="P52" s="33">
        <f>IF(OR(($A52=Settings!$A$31),($A52=Settings!$A$32),ISERROR(VLOOKUP($B52,SportslineData!$AD:$AK,6,0))),"",ROUND(VLOOKUP($B52,SportslineData!$AD:$AK,6,0),0))</f>
        <v>5</v>
      </c>
      <c r="Q52" s="64">
        <f>IF(OR(($A52=Settings!$A$31),($A52=Settings!$A$32),ISERROR(VLOOKUP($B52,SportslineData!$AD:$AK,7,0))),"",ROUND(VLOOKUP($B52,SportslineData!$AD:$AK,7,0),0))</f>
        <v>2</v>
      </c>
      <c r="R52" s="117"/>
      <c r="S52" s="33"/>
      <c r="T52" s="38">
        <f>IF(ISERROR(ROUND((((((ROUNDDOWN((D52/5),0)*Settings!$F$7)+(E52*Settings!$I$7))+(F52*Settings!$I$11))+(ROUNDDOWN((G52/5),0)*Settings!$F$11))+(H52*Settings!$F$12)),1)),0,ROUND((((((ROUNDDOWN((D52/5),0)*Settings!$F$7)+(E52*Settings!$I$7))+(F52*Settings!$I$11))+(ROUNDDOWN((G52/5),0)*Settings!$F$11))+(H52*Settings!$F$12)),1))</f>
        <v>146.5</v>
      </c>
      <c r="U52" s="38">
        <f>IF(ISERROR(ROUND((((((ROUNDDOWN((I52/5),0)*Settings!$F$7)+(J52*Settings!$I$7))+(K52*Settings!$I$11))+(ROUNDDOWN((L52/5),0)*Settings!$F$11))+(M52*Settings!$F$12)),1)),0,ROUND((((((ROUNDDOWN((I52/5),0)*Settings!$F$7)+(J52*Settings!$I$7))+(K52*Settings!$I$11))+(ROUNDDOWN((L52/5),0)*Settings!$F$11))+(M52*Settings!$F$12)),1))</f>
        <v>111</v>
      </c>
      <c r="V52" s="38">
        <f>IF((N52=""),0,((((N52*Settings!$I$11)+(ROUND((O52/5),0)*Settings!$F$11))+(P52*Settings!$F$12))+(Q52*Settings!$F$15)))</f>
        <v>118.5</v>
      </c>
      <c r="W52" s="66">
        <f>ROUND((((T52*Settings!$B$21)+(U52*Settings!$B$22))+(V52*Settings!$B$23)),1)</f>
        <v>125.3</v>
      </c>
      <c r="X52" s="66">
        <f>IF(ISERROR(VLOOKUP(RANK(W52,W$4:W$182),X$4:X51,1,0)),RANK(W52,W$4:W$182),IF(ISERROR(VLOOKUP((RANK(W52,W$4:W$182)+1),X$4:X51,1,0)),(RANK(W52,W$4:W$182)+1),IF(ISERROR(VLOOKUP((RANK(W52,W$4:W$182)+2),X$4:X51,1,0)),(RANK(W52,W$4:W$182)+2),(RANK(W52,W$4:W$182)+3))))</f>
        <v>49</v>
      </c>
      <c r="Y52" t="str">
        <f t="shared" si="5"/>
        <v>Tavon Austin</v>
      </c>
    </row>
    <row r="53" spans="1:25" ht="12.75" customHeight="1">
      <c r="A53" s="33" t="str">
        <f>ESPNData!AH54</f>
        <v>Jarrett Boykin, GB WR</v>
      </c>
      <c r="B53" s="33" t="str">
        <f t="shared" si="3"/>
        <v>Jarrett Boykin</v>
      </c>
      <c r="C53" s="64" t="str">
        <f t="shared" si="4"/>
        <v>GB</v>
      </c>
      <c r="D53" s="117">
        <f>IF(OR(($A53=Settings!$A$31),($A53=Settings!$A$32),ISERROR(VLOOKUP($B53,FFTodayData!$AB:$AK,8,0))),"",VLOOKUP($B53,FFTodayData!$AB:$AK,8,0))</f>
        <v>0</v>
      </c>
      <c r="E53" s="33">
        <f>IF(OR(($A53=Settings!$A$31),($A53=Settings!$A$32),ISERROR(VLOOKUP($B53,FFTodayData!$AB:$AK,9,0))),"",VLOOKUP($B53,FFTodayData!$AB:$AK,9,0))</f>
        <v>0</v>
      </c>
      <c r="F53" s="33">
        <f>IF(OR(($A53=Settings!$A$31),($A53=Settings!$A$32),ISERROR(VLOOKUP($B53,FFTodayData!$AB:$AK,4,0))),"",VLOOKUP($B53,FFTodayData!$AB:$AK,4,0))</f>
        <v>48</v>
      </c>
      <c r="G53" s="33">
        <f>IF(OR(($A53=Settings!$A$31),($A53=Settings!$A$32),ISERROR(VLOOKUP($B53,FFTodayData!$AB:$AK,5,0))),"",VLOOKUP($B53,FFTodayData!$AB:$AK,5,0))</f>
        <v>677</v>
      </c>
      <c r="H53" s="64">
        <f>IF(OR(($A53=Settings!$A$31),($A53=Settings!$A$32),ISERROR(VLOOKUP($B53,FFTodayData!$AB:$AK,6,0))),"",VLOOKUP($B53,FFTodayData!$AB:$AK,6,0))</f>
        <v>6</v>
      </c>
      <c r="I53" s="117">
        <f>IF(ISERROR(VLOOKUP($A53,ESPNData!$AH:$AU,9,0)),"",VLOOKUP($A53,ESPNData!$AH:$AU,9,0))</f>
        <v>0</v>
      </c>
      <c r="J53" s="33">
        <f>IF(ISERROR(VLOOKUP($A53,ESPNData!$AH:$AU,10,0)),"",VLOOKUP($A53,ESPNData!$AH:$AU,10,0))</f>
        <v>0</v>
      </c>
      <c r="K53" s="33">
        <f>IF(ISERROR(VLOOKUP($A53,ESPNData!$AH:$AU,11,0)),"",VLOOKUP($A53,ESPNData!$AH:$AU,11,0))</f>
        <v>50</v>
      </c>
      <c r="L53" s="33">
        <f>IF(ISERROR(VLOOKUP($A53,ESPNData!$AH:$AU,12,0)),"",VLOOKUP($A53,ESPNData!$AH:$AU,12,0))</f>
        <v>680</v>
      </c>
      <c r="M53" s="64">
        <f>IF(ISERROR(VLOOKUP($A53,ESPNData!$AH:$AU,13,0)),"",VLOOKUP($A53,ESPNData!$AH:$AU,13,0))</f>
        <v>4</v>
      </c>
      <c r="N53" s="117">
        <f>IF(OR(($A53=Settings!$A$31),($A53=Settings!$A$32),ISERROR(VLOOKUP($B53,SportslineData!$AD:$AK,3,0))),"",ROUND(VLOOKUP($B53,SportslineData!$AD:$AK,3,0),0))</f>
        <v>58</v>
      </c>
      <c r="O53" s="33">
        <f>IF(OR(($A53=Settings!$A$31),($A53=Settings!$A$32),ISERROR(VLOOKUP($B53,SportslineData!$AD:$AK,4,0))),"",VLOOKUP($B53,SportslineData!$AD:$AK,4,0))</f>
        <v>776.5</v>
      </c>
      <c r="P53" s="33">
        <f>IF(OR(($A53=Settings!$A$31),($A53=Settings!$A$32),ISERROR(VLOOKUP($B53,SportslineData!$AD:$AK,6,0))),"",ROUND(VLOOKUP($B53,SportslineData!$AD:$AK,6,0),0))</f>
        <v>6</v>
      </c>
      <c r="Q53" s="64">
        <f>IF(OR(($A53=Settings!$A$31),($A53=Settings!$A$32),ISERROR(VLOOKUP($B53,SportslineData!$AD:$AK,7,0))),"",ROUND(VLOOKUP($B53,SportslineData!$AD:$AK,7,0),0))</f>
        <v>1</v>
      </c>
      <c r="R53" s="117"/>
      <c r="S53" s="33"/>
      <c r="T53" s="38">
        <f>IF(ISERROR(ROUND((((((ROUNDDOWN((D53/5),0)*Settings!$F$7)+(E53*Settings!$I$7))+(F53*Settings!$I$11))+(ROUNDDOWN((G53/5),0)*Settings!$F$11))+(H53*Settings!$F$12)),1)),0,ROUND((((((ROUNDDOWN((D53/5),0)*Settings!$F$7)+(E53*Settings!$I$7))+(F53*Settings!$I$11))+(ROUNDDOWN((G53/5),0)*Settings!$F$11))+(H53*Settings!$F$12)),1))</f>
        <v>127.5</v>
      </c>
      <c r="U53" s="38">
        <f>IF(ISERROR(ROUND((((((ROUNDDOWN((I53/5),0)*Settings!$F$7)+(J53*Settings!$I$7))+(K53*Settings!$I$11))+(ROUNDDOWN((L53/5),0)*Settings!$F$11))+(M53*Settings!$F$12)),1)),0,ROUND((((((ROUNDDOWN((I53/5),0)*Settings!$F$7)+(J53*Settings!$I$7))+(K53*Settings!$I$11))+(ROUNDDOWN((L53/5),0)*Settings!$F$11))+(M53*Settings!$F$12)),1))</f>
        <v>117</v>
      </c>
      <c r="V53" s="38">
        <f>IF((N53=""),0,((((N53*Settings!$I$11)+(ROUND((O53/5),0)*Settings!$F$11))+(P53*Settings!$F$12))+(Q53*Settings!$F$15)))</f>
        <v>141.5</v>
      </c>
      <c r="W53" s="66">
        <f>ROUND((((T53*Settings!$B$21)+(U53*Settings!$B$22))+(V53*Settings!$B$23)),1)</f>
        <v>128.80000000000001</v>
      </c>
      <c r="X53" s="66">
        <f>IF(ISERROR(VLOOKUP(RANK(W53,W$4:W$182),X$4:X52,1,0)),RANK(W53,W$4:W$182),IF(ISERROR(VLOOKUP((RANK(W53,W$4:W$182)+1),X$4:X52,1,0)),(RANK(W53,W$4:W$182)+1),IF(ISERROR(VLOOKUP((RANK(W53,W$4:W$182)+2),X$4:X52,1,0)),(RANK(W53,W$4:W$182)+2),(RANK(W53,W$4:W$182)+3))))</f>
        <v>46</v>
      </c>
      <c r="Y53" t="str">
        <f t="shared" si="5"/>
        <v>Jarrett Boykin</v>
      </c>
    </row>
    <row r="54" spans="1:25" ht="12.75" customHeight="1">
      <c r="A54" s="33" t="str">
        <f>ESPNData!AH55</f>
        <v>Brandin Cooks, NO WR</v>
      </c>
      <c r="B54" s="33" t="str">
        <f t="shared" si="3"/>
        <v>Brandin Cooks</v>
      </c>
      <c r="C54" s="64" t="str">
        <f t="shared" si="4"/>
        <v>NO</v>
      </c>
      <c r="D54" s="117" t="str">
        <f>IF(OR(($A54=Settings!$A$31),($A54=Settings!$A$32),ISERROR(VLOOKUP($B54,FFTodayData!$AB:$AK,8,0))),"",VLOOKUP($B54,FFTodayData!$AB:$AK,8,0))</f>
        <v/>
      </c>
      <c r="E54" s="33" t="str">
        <f>IF(OR(($A54=Settings!$A$31),($A54=Settings!$A$32),ISERROR(VLOOKUP($B54,FFTodayData!$AB:$AK,9,0))),"",VLOOKUP($B54,FFTodayData!$AB:$AK,9,0))</f>
        <v/>
      </c>
      <c r="F54" s="33" t="str">
        <f>IF(OR(($A54=Settings!$A$31),($A54=Settings!$A$32),ISERROR(VLOOKUP($B54,FFTodayData!$AB:$AK,4,0))),"",VLOOKUP($B54,FFTodayData!$AB:$AK,4,0))</f>
        <v/>
      </c>
      <c r="G54" s="33" t="str">
        <f>IF(OR(($A54=Settings!$A$31),($A54=Settings!$A$32),ISERROR(VLOOKUP($B54,FFTodayData!$AB:$AK,5,0))),"",VLOOKUP($B54,FFTodayData!$AB:$AK,5,0))</f>
        <v/>
      </c>
      <c r="H54" s="64" t="str">
        <f>IF(OR(($A54=Settings!$A$31),($A54=Settings!$A$32),ISERROR(VLOOKUP($B54,FFTodayData!$AB:$AK,6,0))),"",VLOOKUP($B54,FFTodayData!$AB:$AK,6,0))</f>
        <v/>
      </c>
      <c r="I54" s="117">
        <f>IF(ISERROR(VLOOKUP($A54,ESPNData!$AH:$AU,9,0)),"",VLOOKUP($A54,ESPNData!$AH:$AU,9,0))</f>
        <v>52</v>
      </c>
      <c r="J54" s="33">
        <f>IF(ISERROR(VLOOKUP($A54,ESPNData!$AH:$AU,10,0)),"",VLOOKUP($A54,ESPNData!$AH:$AU,10,0))</f>
        <v>0</v>
      </c>
      <c r="K54" s="33">
        <f>IF(ISERROR(VLOOKUP($A54,ESPNData!$AH:$AU,11,0)),"",VLOOKUP($A54,ESPNData!$AH:$AU,11,0))</f>
        <v>47</v>
      </c>
      <c r="L54" s="33">
        <f>IF(ISERROR(VLOOKUP($A54,ESPNData!$AH:$AU,12,0)),"",VLOOKUP($A54,ESPNData!$AH:$AU,12,0))</f>
        <v>566</v>
      </c>
      <c r="M54" s="64">
        <f>IF(ISERROR(VLOOKUP($A54,ESPNData!$AH:$AU,13,0)),"",VLOOKUP($A54,ESPNData!$AH:$AU,13,0))</f>
        <v>5</v>
      </c>
      <c r="N54" s="117">
        <f>IF(OR(($A54=Settings!$A$31),($A54=Settings!$A$32),ISERROR(VLOOKUP($B54,SportslineData!$AD:$AK,3,0))),"",ROUND(VLOOKUP($B54,SportslineData!$AD:$AK,3,0),0))</f>
        <v>61</v>
      </c>
      <c r="O54" s="33">
        <f>IF(OR(($A54=Settings!$A$31),($A54=Settings!$A$32),ISERROR(VLOOKUP($B54,SportslineData!$AD:$AK,4,0))),"",VLOOKUP($B54,SportslineData!$AD:$AK,4,0))</f>
        <v>899</v>
      </c>
      <c r="P54" s="33">
        <f>IF(OR(($A54=Settings!$A$31),($A54=Settings!$A$32),ISERROR(VLOOKUP($B54,SportslineData!$AD:$AK,6,0))),"",ROUND(VLOOKUP($B54,SportslineData!$AD:$AK,6,0),0))</f>
        <v>6</v>
      </c>
      <c r="Q54" s="64">
        <f>IF(OR(($A54=Settings!$A$31),($A54=Settings!$A$32),ISERROR(VLOOKUP($B54,SportslineData!$AD:$AK,7,0))),"",ROUND(VLOOKUP($B54,SportslineData!$AD:$AK,7,0),0))</f>
        <v>1</v>
      </c>
      <c r="R54" s="117"/>
      <c r="S54" s="33"/>
      <c r="T54" s="38">
        <f>IF(ISERROR(ROUND((((((ROUNDDOWN((D54/5),0)*Settings!$F$7)+(E54*Settings!$I$7))+(F54*Settings!$I$11))+(ROUNDDOWN((G54/5),0)*Settings!$F$11))+(H54*Settings!$F$12)),1)),0,ROUND((((((ROUNDDOWN((D54/5),0)*Settings!$F$7)+(E54*Settings!$I$7))+(F54*Settings!$I$11))+(ROUNDDOWN((G54/5),0)*Settings!$F$11))+(H54*Settings!$F$12)),1))</f>
        <v>0</v>
      </c>
      <c r="U54" s="38">
        <f>IF(ISERROR(ROUND((((((ROUNDDOWN((I54/5),0)*Settings!$F$7)+(J54*Settings!$I$7))+(K54*Settings!$I$11))+(ROUNDDOWN((L54/5),0)*Settings!$F$11))+(M54*Settings!$F$12)),1)),0,ROUND((((((ROUNDDOWN((I54/5),0)*Settings!$F$7)+(J54*Settings!$I$7))+(K54*Settings!$I$11))+(ROUNDDOWN((L54/5),0)*Settings!$F$11))+(M54*Settings!$F$12)),1))</f>
        <v>115</v>
      </c>
      <c r="V54" s="38">
        <f>IF((N54=""),0,((((N54*Settings!$I$11)+(ROUND((O54/5),0)*Settings!$F$11))+(P54*Settings!$F$12))+(Q54*Settings!$F$15)))</f>
        <v>155.5</v>
      </c>
      <c r="W54" s="66">
        <f>ROUND((((T54*Settings!$B$21)+(U54*Settings!$B$22))+(V54*Settings!$B$23)),1)</f>
        <v>90.8</v>
      </c>
      <c r="X54" s="66">
        <f>IF(ISERROR(VLOOKUP(RANK(W54,W$4:W$182),X$4:X53,1,0)),RANK(W54,W$4:W$182),IF(ISERROR(VLOOKUP((RANK(W54,W$4:W$182)+1),X$4:X53,1,0)),(RANK(W54,W$4:W$182)+1),IF(ISERROR(VLOOKUP((RANK(W54,W$4:W$182)+2),X$4:X53,1,0)),(RANK(W54,W$4:W$182)+2),(RANK(W54,W$4:W$182)+3))))</f>
        <v>60</v>
      </c>
      <c r="Y54" t="str">
        <f t="shared" si="5"/>
        <v>Brandin Cooks</v>
      </c>
    </row>
    <row r="55" spans="1:25" ht="12.75" customHeight="1">
      <c r="A55" s="33" t="str">
        <f>ESPNData!AH56</f>
        <v>Markus Wheaton, Pit WR</v>
      </c>
      <c r="B55" s="33" t="str">
        <f t="shared" si="3"/>
        <v>Markus Wheaton</v>
      </c>
      <c r="C55" s="64" t="str">
        <f t="shared" si="4"/>
        <v>PIT</v>
      </c>
      <c r="D55" s="117" t="str">
        <f>IF(OR(($A55=Settings!$A$31),($A55=Settings!$A$32),ISERROR(VLOOKUP($B55,FFTodayData!$AB:$AK,8,0))),"",VLOOKUP($B55,FFTodayData!$AB:$AK,8,0))</f>
        <v/>
      </c>
      <c r="E55" s="33" t="str">
        <f>IF(OR(($A55=Settings!$A$31),($A55=Settings!$A$32),ISERROR(VLOOKUP($B55,FFTodayData!$AB:$AK,9,0))),"",VLOOKUP($B55,FFTodayData!$AB:$AK,9,0))</f>
        <v/>
      </c>
      <c r="F55" s="33" t="str">
        <f>IF(OR(($A55=Settings!$A$31),($A55=Settings!$A$32),ISERROR(VLOOKUP($B55,FFTodayData!$AB:$AK,4,0))),"",VLOOKUP($B55,FFTodayData!$AB:$AK,4,0))</f>
        <v/>
      </c>
      <c r="G55" s="33" t="str">
        <f>IF(OR(($A55=Settings!$A$31),($A55=Settings!$A$32),ISERROR(VLOOKUP($B55,FFTodayData!$AB:$AK,5,0))),"",VLOOKUP($B55,FFTodayData!$AB:$AK,5,0))</f>
        <v/>
      </c>
      <c r="H55" s="64" t="str">
        <f>IF(OR(($A55=Settings!$A$31),($A55=Settings!$A$32),ISERROR(VLOOKUP($B55,FFTodayData!$AB:$AK,6,0))),"",VLOOKUP($B55,FFTodayData!$AB:$AK,6,0))</f>
        <v/>
      </c>
      <c r="I55" s="117">
        <f>IF(ISERROR(VLOOKUP($A55,ESPNData!$AH:$AU,9,0)),"",VLOOKUP($A55,ESPNData!$AH:$AU,9,0))</f>
        <v>0</v>
      </c>
      <c r="J55" s="33">
        <f>IF(ISERROR(VLOOKUP($A55,ESPNData!$AH:$AU,10,0)),"",VLOOKUP($A55,ESPNData!$AH:$AU,10,0))</f>
        <v>0</v>
      </c>
      <c r="K55" s="33">
        <f>IF(ISERROR(VLOOKUP($A55,ESPNData!$AH:$AU,11,0)),"",VLOOKUP($A55,ESPNData!$AH:$AU,11,0))</f>
        <v>60</v>
      </c>
      <c r="L55" s="33">
        <f>IF(ISERROR(VLOOKUP($A55,ESPNData!$AH:$AU,12,0)),"",VLOOKUP($A55,ESPNData!$AH:$AU,12,0))</f>
        <v>666</v>
      </c>
      <c r="M55" s="64">
        <f>IF(ISERROR(VLOOKUP($A55,ESPNData!$AH:$AU,13,0)),"",VLOOKUP($A55,ESPNData!$AH:$AU,13,0))</f>
        <v>4</v>
      </c>
      <c r="N55" s="117">
        <f>IF(OR(($A55=Settings!$A$31),($A55=Settings!$A$32),ISERROR(VLOOKUP($B55,SportslineData!$AD:$AK,3,0))),"",ROUND(VLOOKUP($B55,SportslineData!$AD:$AK,3,0),0))</f>
        <v>45</v>
      </c>
      <c r="O55" s="33">
        <f>IF(OR(($A55=Settings!$A$31),($A55=Settings!$A$32),ISERROR(VLOOKUP($B55,SportslineData!$AD:$AK,4,0))),"",VLOOKUP($B55,SportslineData!$AD:$AK,4,0))</f>
        <v>683.5</v>
      </c>
      <c r="P55" s="33">
        <f>IF(OR(($A55=Settings!$A$31),($A55=Settings!$A$32),ISERROR(VLOOKUP($B55,SportslineData!$AD:$AK,6,0))),"",ROUND(VLOOKUP($B55,SportslineData!$AD:$AK,6,0),0))</f>
        <v>4</v>
      </c>
      <c r="Q55" s="64">
        <f>IF(OR(($A55=Settings!$A$31),($A55=Settings!$A$32),ISERROR(VLOOKUP($B55,SportslineData!$AD:$AK,7,0))),"",ROUND(VLOOKUP($B55,SportslineData!$AD:$AK,7,0),0))</f>
        <v>1</v>
      </c>
      <c r="R55" s="117"/>
      <c r="S55" s="33"/>
      <c r="T55" s="38">
        <f>IF(ISERROR(ROUND((((((ROUNDDOWN((D55/5),0)*Settings!$F$7)+(E55*Settings!$I$7))+(F55*Settings!$I$11))+(ROUNDDOWN((G55/5),0)*Settings!$F$11))+(H55*Settings!$F$12)),1)),0,ROUND((((((ROUNDDOWN((D55/5),0)*Settings!$F$7)+(E55*Settings!$I$7))+(F55*Settings!$I$11))+(ROUNDDOWN((G55/5),0)*Settings!$F$11))+(H55*Settings!$F$12)),1))</f>
        <v>0</v>
      </c>
      <c r="U55" s="38">
        <f>IF(ISERROR(ROUND((((((ROUNDDOWN((I55/5),0)*Settings!$F$7)+(J55*Settings!$I$7))+(K55*Settings!$I$11))+(ROUNDDOWN((L55/5),0)*Settings!$F$11))+(M55*Settings!$F$12)),1)),0,ROUND((((((ROUNDDOWN((I55/5),0)*Settings!$F$7)+(J55*Settings!$I$7))+(K55*Settings!$I$11))+(ROUNDDOWN((L55/5),0)*Settings!$F$11))+(M55*Settings!$F$12)),1))</f>
        <v>120.5</v>
      </c>
      <c r="V55" s="38">
        <f>IF((N55=""),0,((((N55*Settings!$I$11)+(ROUND((O55/5),0)*Settings!$F$11))+(P55*Settings!$F$12))+(Q55*Settings!$F$15)))</f>
        <v>114</v>
      </c>
      <c r="W55" s="66">
        <f>ROUND((((T55*Settings!$B$21)+(U55*Settings!$B$22))+(V55*Settings!$B$23)),1)</f>
        <v>78.5</v>
      </c>
      <c r="X55" s="66">
        <f>IF(ISERROR(VLOOKUP(RANK(W55,W$4:W$182),X$4:X54,1,0)),RANK(W55,W$4:W$182),IF(ISERROR(VLOOKUP((RANK(W55,W$4:W$182)+1),X$4:X54,1,0)),(RANK(W55,W$4:W$182)+1),IF(ISERROR(VLOOKUP((RANK(W55,W$4:W$182)+2),X$4:X54,1,0)),(RANK(W55,W$4:W$182)+2),(RANK(W55,W$4:W$182)+3))))</f>
        <v>68</v>
      </c>
      <c r="Y55" t="str">
        <f t="shared" si="5"/>
        <v>Markus Wheaton</v>
      </c>
    </row>
    <row r="56" spans="1:25" ht="12.75" customHeight="1">
      <c r="A56" s="33" t="str">
        <f>ESPNData!AH57</f>
        <v>James Jones, Oak WR</v>
      </c>
      <c r="B56" s="33" t="str">
        <f t="shared" si="3"/>
        <v>James Jones</v>
      </c>
      <c r="C56" s="64" t="str">
        <f t="shared" si="4"/>
        <v>OAK</v>
      </c>
      <c r="D56" s="117">
        <f>IF(OR(($A56=Settings!$A$31),($A56=Settings!$A$32),ISERROR(VLOOKUP($B56,FFTodayData!$AB:$AK,8,0))),"",VLOOKUP($B56,FFTodayData!$AB:$AK,8,0))</f>
        <v>0</v>
      </c>
      <c r="E56" s="33">
        <f>IF(OR(($A56=Settings!$A$31),($A56=Settings!$A$32),ISERROR(VLOOKUP($B56,FFTodayData!$AB:$AK,9,0))),"",VLOOKUP($B56,FFTodayData!$AB:$AK,9,0))</f>
        <v>0</v>
      </c>
      <c r="F56" s="33">
        <f>IF(OR(($A56=Settings!$A$31),($A56=Settings!$A$32),ISERROR(VLOOKUP($B56,FFTodayData!$AB:$AK,4,0))),"",VLOOKUP($B56,FFTodayData!$AB:$AK,4,0))</f>
        <v>57</v>
      </c>
      <c r="G56" s="33">
        <f>IF(OR(($A56=Settings!$A$31),($A56=Settings!$A$32),ISERROR(VLOOKUP($B56,FFTodayData!$AB:$AK,5,0))),"",VLOOKUP($B56,FFTodayData!$AB:$AK,5,0))</f>
        <v>776</v>
      </c>
      <c r="H56" s="64">
        <f>IF(OR(($A56=Settings!$A$31),($A56=Settings!$A$32),ISERROR(VLOOKUP($B56,FFTodayData!$AB:$AK,6,0))),"",VLOOKUP($B56,FFTodayData!$AB:$AK,6,0))</f>
        <v>5</v>
      </c>
      <c r="I56" s="117">
        <f>IF(ISERROR(VLOOKUP($A56,ESPNData!$AH:$AU,9,0)),"",VLOOKUP($A56,ESPNData!$AH:$AU,9,0))</f>
        <v>0</v>
      </c>
      <c r="J56" s="33">
        <f>IF(ISERROR(VLOOKUP($A56,ESPNData!$AH:$AU,10,0)),"",VLOOKUP($A56,ESPNData!$AH:$AU,10,0))</f>
        <v>0</v>
      </c>
      <c r="K56" s="33">
        <f>IF(ISERROR(VLOOKUP($A56,ESPNData!$AH:$AU,11,0)),"",VLOOKUP($A56,ESPNData!$AH:$AU,11,0))</f>
        <v>57</v>
      </c>
      <c r="L56" s="33">
        <f>IF(ISERROR(VLOOKUP($A56,ESPNData!$AH:$AU,12,0)),"",VLOOKUP($A56,ESPNData!$AH:$AU,12,0))</f>
        <v>703</v>
      </c>
      <c r="M56" s="64">
        <f>IF(ISERROR(VLOOKUP($A56,ESPNData!$AH:$AU,13,0)),"",VLOOKUP($A56,ESPNData!$AH:$AU,13,0))</f>
        <v>5</v>
      </c>
      <c r="N56" s="117">
        <f>IF(OR(($A56=Settings!$A$31),($A56=Settings!$A$32),ISERROR(VLOOKUP($B56,SportslineData!$AD:$AK,3,0))),"",ROUND(VLOOKUP($B56,SportslineData!$AD:$AK,3,0),0))</f>
        <v>52</v>
      </c>
      <c r="O56" s="33">
        <f>IF(OR(($A56=Settings!$A$31),($A56=Settings!$A$32),ISERROR(VLOOKUP($B56,SportslineData!$AD:$AK,4,0))),"",VLOOKUP($B56,SportslineData!$AD:$AK,4,0))</f>
        <v>643.5</v>
      </c>
      <c r="P56" s="33">
        <f>IF(OR(($A56=Settings!$A$31),($A56=Settings!$A$32),ISERROR(VLOOKUP($B56,SportslineData!$AD:$AK,6,0))),"",ROUND(VLOOKUP($B56,SportslineData!$AD:$AK,6,0),0))</f>
        <v>4</v>
      </c>
      <c r="Q56" s="64">
        <f>IF(OR(($A56=Settings!$A$31),($A56=Settings!$A$32),ISERROR(VLOOKUP($B56,SportslineData!$AD:$AK,7,0))),"",ROUND(VLOOKUP($B56,SportslineData!$AD:$AK,7,0),0))</f>
        <v>0</v>
      </c>
      <c r="R56" s="117"/>
      <c r="S56" s="33"/>
      <c r="T56" s="38">
        <f>IF(ISERROR(ROUND((((((ROUNDDOWN((D56/5),0)*Settings!$F$7)+(E56*Settings!$I$7))+(F56*Settings!$I$11))+(ROUNDDOWN((G56/5),0)*Settings!$F$11))+(H56*Settings!$F$12)),1)),0,ROUND((((((ROUNDDOWN((D56/5),0)*Settings!$F$7)+(E56*Settings!$I$7))+(F56*Settings!$I$11))+(ROUNDDOWN((G56/5),0)*Settings!$F$11))+(H56*Settings!$F$12)),1))</f>
        <v>136</v>
      </c>
      <c r="U56" s="38">
        <f>IF(ISERROR(ROUND((((((ROUNDDOWN((I56/5),0)*Settings!$F$7)+(J56*Settings!$I$7))+(K56*Settings!$I$11))+(ROUNDDOWN((L56/5),0)*Settings!$F$11))+(M56*Settings!$F$12)),1)),0,ROUND((((((ROUNDDOWN((I56/5),0)*Settings!$F$7)+(J56*Settings!$I$7))+(K56*Settings!$I$11))+(ROUNDDOWN((L56/5),0)*Settings!$F$11))+(M56*Settings!$F$12)),1))</f>
        <v>128.5</v>
      </c>
      <c r="V56" s="38">
        <f>IF((N56=""),0,((((N56*Settings!$I$11)+(ROUND((O56/5),0)*Settings!$F$11))+(P56*Settings!$F$12))+(Q56*Settings!$F$15)))</f>
        <v>114.5</v>
      </c>
      <c r="W56" s="66">
        <f>ROUND((((T56*Settings!$B$21)+(U56*Settings!$B$22))+(V56*Settings!$B$23)),1)</f>
        <v>126.2</v>
      </c>
      <c r="X56" s="66">
        <f>IF(ISERROR(VLOOKUP(RANK(W56,W$4:W$182),X$4:X55,1,0)),RANK(W56,W$4:W$182),IF(ISERROR(VLOOKUP((RANK(W56,W$4:W$182)+1),X$4:X55,1,0)),(RANK(W56,W$4:W$182)+1),IF(ISERROR(VLOOKUP((RANK(W56,W$4:W$182)+2),X$4:X55,1,0)),(RANK(W56,W$4:W$182)+2),(RANK(W56,W$4:W$182)+3))))</f>
        <v>47</v>
      </c>
      <c r="Y56" t="str">
        <f t="shared" si="5"/>
        <v>James Jones</v>
      </c>
    </row>
    <row r="57" spans="1:25" ht="12.75" customHeight="1">
      <c r="A57" s="33" t="str">
        <f>ESPNData!AH58</f>
        <v>Steve Johnson, SF WR</v>
      </c>
      <c r="B57" s="33" t="str">
        <f t="shared" si="3"/>
        <v>Steve Johnson</v>
      </c>
      <c r="C57" s="64" t="str">
        <f t="shared" si="4"/>
        <v>SF</v>
      </c>
      <c r="D57" s="117" t="str">
        <f>IF(OR(($A57=Settings!$A$31),($A57=Settings!$A$32),ISERROR(VLOOKUP($B57,FFTodayData!$AB:$AK,8,0))),"",VLOOKUP($B57,FFTodayData!$AB:$AK,8,0))</f>
        <v/>
      </c>
      <c r="E57" s="33" t="str">
        <f>IF(OR(($A57=Settings!$A$31),($A57=Settings!$A$32),ISERROR(VLOOKUP($B57,FFTodayData!$AB:$AK,9,0))),"",VLOOKUP($B57,FFTodayData!$AB:$AK,9,0))</f>
        <v/>
      </c>
      <c r="F57" s="33" t="str">
        <f>IF(OR(($A57=Settings!$A$31),($A57=Settings!$A$32),ISERROR(VLOOKUP($B57,FFTodayData!$AB:$AK,4,0))),"",VLOOKUP($B57,FFTodayData!$AB:$AK,4,0))</f>
        <v/>
      </c>
      <c r="G57" s="33" t="str">
        <f>IF(OR(($A57=Settings!$A$31),($A57=Settings!$A$32),ISERROR(VLOOKUP($B57,FFTodayData!$AB:$AK,5,0))),"",VLOOKUP($B57,FFTodayData!$AB:$AK,5,0))</f>
        <v/>
      </c>
      <c r="H57" s="64" t="str">
        <f>IF(OR(($A57=Settings!$A$31),($A57=Settings!$A$32),ISERROR(VLOOKUP($B57,FFTodayData!$AB:$AK,6,0))),"",VLOOKUP($B57,FFTodayData!$AB:$AK,6,0))</f>
        <v/>
      </c>
      <c r="I57" s="117">
        <f>IF(ISERROR(VLOOKUP($A57,ESPNData!$AH:$AU,9,0)),"",VLOOKUP($A57,ESPNData!$AH:$AU,9,0))</f>
        <v>0</v>
      </c>
      <c r="J57" s="33">
        <f>IF(ISERROR(VLOOKUP($A57,ESPNData!$AH:$AU,10,0)),"",VLOOKUP($A57,ESPNData!$AH:$AU,10,0))</f>
        <v>0</v>
      </c>
      <c r="K57" s="33">
        <f>IF(ISERROR(VLOOKUP($A57,ESPNData!$AH:$AU,11,0)),"",VLOOKUP($A57,ESPNData!$AH:$AU,11,0))</f>
        <v>48</v>
      </c>
      <c r="L57" s="33">
        <f>IF(ISERROR(VLOOKUP($A57,ESPNData!$AH:$AU,12,0)),"",VLOOKUP($A57,ESPNData!$AH:$AU,12,0))</f>
        <v>590</v>
      </c>
      <c r="M57" s="64">
        <f>IF(ISERROR(VLOOKUP($A57,ESPNData!$AH:$AU,13,0)),"",VLOOKUP($A57,ESPNData!$AH:$AU,13,0))</f>
        <v>4</v>
      </c>
      <c r="N57" s="117">
        <f>IF(OR(($A57=Settings!$A$31),($A57=Settings!$A$32),ISERROR(VLOOKUP($B57,SportslineData!$AD:$AK,3,0))),"",ROUND(VLOOKUP($B57,SportslineData!$AD:$AK,3,0),0))</f>
        <v>44</v>
      </c>
      <c r="O57" s="33">
        <f>IF(OR(($A57=Settings!$A$31),($A57=Settings!$A$32),ISERROR(VLOOKUP($B57,SportslineData!$AD:$AK,4,0))),"",VLOOKUP($B57,SportslineData!$AD:$AK,4,0))</f>
        <v>558</v>
      </c>
      <c r="P57" s="33">
        <f>IF(OR(($A57=Settings!$A$31),($A57=Settings!$A$32),ISERROR(VLOOKUP($B57,SportslineData!$AD:$AK,6,0))),"",ROUND(VLOOKUP($B57,SportslineData!$AD:$AK,6,0),0))</f>
        <v>3</v>
      </c>
      <c r="Q57" s="64">
        <f>IF(OR(($A57=Settings!$A$31),($A57=Settings!$A$32),ISERROR(VLOOKUP($B57,SportslineData!$AD:$AK,7,0))),"",ROUND(VLOOKUP($B57,SportslineData!$AD:$AK,7,0),0))</f>
        <v>1</v>
      </c>
      <c r="R57" s="117"/>
      <c r="S57" s="33"/>
      <c r="T57" s="38">
        <f>IF(ISERROR(ROUND((((((ROUNDDOWN((D57/5),0)*Settings!$F$7)+(E57*Settings!$I$7))+(F57*Settings!$I$11))+(ROUNDDOWN((G57/5),0)*Settings!$F$11))+(H57*Settings!$F$12)),1)),0,ROUND((((((ROUNDDOWN((D57/5),0)*Settings!$F$7)+(E57*Settings!$I$7))+(F57*Settings!$I$11))+(ROUNDDOWN((G57/5),0)*Settings!$F$11))+(H57*Settings!$F$12)),1))</f>
        <v>0</v>
      </c>
      <c r="U57" s="38">
        <f>IF(ISERROR(ROUND((((((ROUNDDOWN((I57/5),0)*Settings!$F$7)+(J57*Settings!$I$7))+(K57*Settings!$I$11))+(ROUNDDOWN((L57/5),0)*Settings!$F$11))+(M57*Settings!$F$12)),1)),0,ROUND((((((ROUNDDOWN((I57/5),0)*Settings!$F$7)+(J57*Settings!$I$7))+(K57*Settings!$I$11))+(ROUNDDOWN((L57/5),0)*Settings!$F$11))+(M57*Settings!$F$12)),1))</f>
        <v>107</v>
      </c>
      <c r="V57" s="38">
        <f>IF((N57=""),0,((((N57*Settings!$I$11)+(ROUND((O57/5),0)*Settings!$F$11))+(P57*Settings!$F$12))+(Q57*Settings!$F$15)))</f>
        <v>95</v>
      </c>
      <c r="W57" s="66">
        <f>ROUND((((T57*Settings!$B$21)+(U57*Settings!$B$22))+(V57*Settings!$B$23)),1)</f>
        <v>67.599999999999994</v>
      </c>
      <c r="X57" s="66">
        <f>IF(ISERROR(VLOOKUP(RANK(W57,W$4:W$182),X$4:X56,1,0)),RANK(W57,W$4:W$182),IF(ISERROR(VLOOKUP((RANK(W57,W$4:W$182)+1),X$4:X56,1,0)),(RANK(W57,W$4:W$182)+1),IF(ISERROR(VLOOKUP((RANK(W57,W$4:W$182)+2),X$4:X56,1,0)),(RANK(W57,W$4:W$182)+2),(RANK(W57,W$4:W$182)+3))))</f>
        <v>81</v>
      </c>
      <c r="Y57" t="str">
        <f t="shared" si="5"/>
        <v>Steve Johnson</v>
      </c>
    </row>
    <row r="58" spans="1:25" ht="12.75" customHeight="1">
      <c r="A58" s="33" t="str">
        <f>ESPNData!AH59</f>
        <v>Andrew Hawkins, Cle WR</v>
      </c>
      <c r="B58" s="33" t="str">
        <f t="shared" si="3"/>
        <v>Andrew Hawkins</v>
      </c>
      <c r="C58" s="64" t="str">
        <f t="shared" si="4"/>
        <v>CLE</v>
      </c>
      <c r="D58" s="117" t="str">
        <f>IF(OR(($A58=Settings!$A$31),($A58=Settings!$A$32),ISERROR(VLOOKUP($B58,FFTodayData!$AB:$AK,8,0))),"",VLOOKUP($B58,FFTodayData!$AB:$AK,8,0))</f>
        <v/>
      </c>
      <c r="E58" s="33" t="str">
        <f>IF(OR(($A58=Settings!$A$31),($A58=Settings!$A$32),ISERROR(VLOOKUP($B58,FFTodayData!$AB:$AK,9,0))),"",VLOOKUP($B58,FFTodayData!$AB:$AK,9,0))</f>
        <v/>
      </c>
      <c r="F58" s="33" t="str">
        <f>IF(OR(($A58=Settings!$A$31),($A58=Settings!$A$32),ISERROR(VLOOKUP($B58,FFTodayData!$AB:$AK,4,0))),"",VLOOKUP($B58,FFTodayData!$AB:$AK,4,0))</f>
        <v/>
      </c>
      <c r="G58" s="33" t="str">
        <f>IF(OR(($A58=Settings!$A$31),($A58=Settings!$A$32),ISERROR(VLOOKUP($B58,FFTodayData!$AB:$AK,5,0))),"",VLOOKUP($B58,FFTodayData!$AB:$AK,5,0))</f>
        <v/>
      </c>
      <c r="H58" s="64" t="str">
        <f>IF(OR(($A58=Settings!$A$31),($A58=Settings!$A$32),ISERROR(VLOOKUP($B58,FFTodayData!$AB:$AK,6,0))),"",VLOOKUP($B58,FFTodayData!$AB:$AK,6,0))</f>
        <v/>
      </c>
      <c r="I58" s="117">
        <f>IF(ISERROR(VLOOKUP($A58,ESPNData!$AH:$AU,9,0)),"",VLOOKUP($A58,ESPNData!$AH:$AU,9,0))</f>
        <v>25</v>
      </c>
      <c r="J58" s="33">
        <f>IF(ISERROR(VLOOKUP($A58,ESPNData!$AH:$AU,10,0)),"",VLOOKUP($A58,ESPNData!$AH:$AU,10,0))</f>
        <v>0</v>
      </c>
      <c r="K58" s="33">
        <f>IF(ISERROR(VLOOKUP($A58,ESPNData!$AH:$AU,11,0)),"",VLOOKUP($A58,ESPNData!$AH:$AU,11,0))</f>
        <v>62</v>
      </c>
      <c r="L58" s="33">
        <f>IF(ISERROR(VLOOKUP($A58,ESPNData!$AH:$AU,12,0)),"",VLOOKUP($A58,ESPNData!$AH:$AU,12,0))</f>
        <v>645</v>
      </c>
      <c r="M58" s="64">
        <f>IF(ISERROR(VLOOKUP($A58,ESPNData!$AH:$AU,13,0)),"",VLOOKUP($A58,ESPNData!$AH:$AU,13,0))</f>
        <v>3</v>
      </c>
      <c r="N58" s="117">
        <f>IF(OR(($A58=Settings!$A$31),($A58=Settings!$A$32),ISERROR(VLOOKUP($B58,SportslineData!$AD:$AK,3,0))),"",ROUND(VLOOKUP($B58,SportslineData!$AD:$AK,3,0),0))</f>
        <v>52</v>
      </c>
      <c r="O58" s="33">
        <f>IF(OR(($A58=Settings!$A$31),($A58=Settings!$A$32),ISERROR(VLOOKUP($B58,SportslineData!$AD:$AK,4,0))),"",VLOOKUP($B58,SportslineData!$AD:$AK,4,0))</f>
        <v>647</v>
      </c>
      <c r="P58" s="33">
        <f>IF(OR(($A58=Settings!$A$31),($A58=Settings!$A$32),ISERROR(VLOOKUP($B58,SportslineData!$AD:$AK,6,0))),"",ROUND(VLOOKUP($B58,SportslineData!$AD:$AK,6,0),0))</f>
        <v>4</v>
      </c>
      <c r="Q58" s="64">
        <f>IF(OR(($A58=Settings!$A$31),($A58=Settings!$A$32),ISERROR(VLOOKUP($B58,SportslineData!$AD:$AK,7,0))),"",ROUND(VLOOKUP($B58,SportslineData!$AD:$AK,7,0),0))</f>
        <v>0</v>
      </c>
      <c r="R58" s="117"/>
      <c r="S58" s="33"/>
      <c r="T58" s="38">
        <f>IF(ISERROR(ROUND((((((ROUNDDOWN((D58/5),0)*Settings!$F$7)+(E58*Settings!$I$7))+(F58*Settings!$I$11))+(ROUNDDOWN((G58/5),0)*Settings!$F$11))+(H58*Settings!$F$12)),1)),0,ROUND((((((ROUNDDOWN((D58/5),0)*Settings!$F$7)+(E58*Settings!$I$7))+(F58*Settings!$I$11))+(ROUNDDOWN((G58/5),0)*Settings!$F$11))+(H58*Settings!$F$12)),1))</f>
        <v>0</v>
      </c>
      <c r="U58" s="38">
        <f>IF(ISERROR(ROUND((((((ROUNDDOWN((I58/5),0)*Settings!$F$7)+(J58*Settings!$I$7))+(K58*Settings!$I$11))+(ROUNDDOWN((L58/5),0)*Settings!$F$11))+(M58*Settings!$F$12)),1)),0,ROUND((((((ROUNDDOWN((I58/5),0)*Settings!$F$7)+(J58*Settings!$I$7))+(K58*Settings!$I$11))+(ROUNDDOWN((L58/5),0)*Settings!$F$11))+(M58*Settings!$F$12)),1))</f>
        <v>116</v>
      </c>
      <c r="V58" s="38">
        <f>IF((N58=""),0,((((N58*Settings!$I$11)+(ROUND((O58/5),0)*Settings!$F$11))+(P58*Settings!$F$12))+(Q58*Settings!$F$15)))</f>
        <v>114.5</v>
      </c>
      <c r="W58" s="66">
        <f>ROUND((((T58*Settings!$B$21)+(U58*Settings!$B$22))+(V58*Settings!$B$23)),1)</f>
        <v>77.2</v>
      </c>
      <c r="X58" s="66">
        <f>IF(ISERROR(VLOOKUP(RANK(W58,W$4:W$182),X$4:X57,1,0)),RANK(W58,W$4:W$182),IF(ISERROR(VLOOKUP((RANK(W58,W$4:W$182)+1),X$4:X57,1,0)),(RANK(W58,W$4:W$182)+1),IF(ISERROR(VLOOKUP((RANK(W58,W$4:W$182)+2),X$4:X57,1,0)),(RANK(W58,W$4:W$182)+2),(RANK(W58,W$4:W$182)+3))))</f>
        <v>69</v>
      </c>
      <c r="Y58" t="str">
        <f t="shared" si="5"/>
        <v>Andrew Hawkins</v>
      </c>
    </row>
    <row r="59" spans="1:25" ht="12.75" customHeight="1">
      <c r="A59" s="33" t="str">
        <f>ESPNData!AH60</f>
        <v>Brandon LaFell, NE WR</v>
      </c>
      <c r="B59" s="33" t="str">
        <f t="shared" si="3"/>
        <v>Brandon LaFell</v>
      </c>
      <c r="C59" s="64" t="str">
        <f t="shared" si="4"/>
        <v>NE</v>
      </c>
      <c r="D59" s="117">
        <f>IF(OR(($A59=Settings!$A$31),($A59=Settings!$A$32),ISERROR(VLOOKUP($B59,FFTodayData!$AB:$AK,8,0))),"",VLOOKUP($B59,FFTodayData!$AB:$AK,8,0))</f>
        <v>0</v>
      </c>
      <c r="E59" s="33">
        <f>IF(OR(($A59=Settings!$A$31),($A59=Settings!$A$32),ISERROR(VLOOKUP($B59,FFTodayData!$AB:$AK,9,0))),"",VLOOKUP($B59,FFTodayData!$AB:$AK,9,0))</f>
        <v>0</v>
      </c>
      <c r="F59" s="33">
        <f>IF(OR(($A59=Settings!$A$31),($A59=Settings!$A$32),ISERROR(VLOOKUP($B59,FFTodayData!$AB:$AK,4,0))),"",VLOOKUP($B59,FFTodayData!$AB:$AK,4,0))</f>
        <v>44</v>
      </c>
      <c r="G59" s="33">
        <f>IF(OR(($A59=Settings!$A$31),($A59=Settings!$A$32),ISERROR(VLOOKUP($B59,FFTodayData!$AB:$AK,5,0))),"",VLOOKUP($B59,FFTodayData!$AB:$AK,5,0))</f>
        <v>565</v>
      </c>
      <c r="H59" s="64">
        <f>IF(OR(($A59=Settings!$A$31),($A59=Settings!$A$32),ISERROR(VLOOKUP($B59,FFTodayData!$AB:$AK,6,0))),"",VLOOKUP($B59,FFTodayData!$AB:$AK,6,0))</f>
        <v>3</v>
      </c>
      <c r="I59" s="117">
        <f>IF(ISERROR(VLOOKUP($A59,ESPNData!$AH:$AU,9,0)),"",VLOOKUP($A59,ESPNData!$AH:$AU,9,0))</f>
        <v>12</v>
      </c>
      <c r="J59" s="33">
        <f>IF(ISERROR(VLOOKUP($A59,ESPNData!$AH:$AU,10,0)),"",VLOOKUP($A59,ESPNData!$AH:$AU,10,0))</f>
        <v>0</v>
      </c>
      <c r="K59" s="33">
        <f>IF(ISERROR(VLOOKUP($A59,ESPNData!$AH:$AU,11,0)),"",VLOOKUP($A59,ESPNData!$AH:$AU,11,0))</f>
        <v>42</v>
      </c>
      <c r="L59" s="33">
        <f>IF(ISERROR(VLOOKUP($A59,ESPNData!$AH:$AU,12,0)),"",VLOOKUP($A59,ESPNData!$AH:$AU,12,0))</f>
        <v>609</v>
      </c>
      <c r="M59" s="64">
        <f>IF(ISERROR(VLOOKUP($A59,ESPNData!$AH:$AU,13,0)),"",VLOOKUP($A59,ESPNData!$AH:$AU,13,0))</f>
        <v>4</v>
      </c>
      <c r="N59" s="117">
        <f>IF(OR(($A59=Settings!$A$31),($A59=Settings!$A$32),ISERROR(VLOOKUP($B59,SportslineData!$AD:$AK,3,0))),"",ROUND(VLOOKUP($B59,SportslineData!$AD:$AK,3,0),0))</f>
        <v>35</v>
      </c>
      <c r="O59" s="33">
        <f>IF(OR(($A59=Settings!$A$31),($A59=Settings!$A$32),ISERROR(VLOOKUP($B59,SportslineData!$AD:$AK,4,0))),"",VLOOKUP($B59,SportslineData!$AD:$AK,4,0))</f>
        <v>520</v>
      </c>
      <c r="P59" s="33">
        <f>IF(OR(($A59=Settings!$A$31),($A59=Settings!$A$32),ISERROR(VLOOKUP($B59,SportslineData!$AD:$AK,6,0))),"",ROUND(VLOOKUP($B59,SportslineData!$AD:$AK,6,0),0))</f>
        <v>4</v>
      </c>
      <c r="Q59" s="64">
        <f>IF(OR(($A59=Settings!$A$31),($A59=Settings!$A$32),ISERROR(VLOOKUP($B59,SportslineData!$AD:$AK,7,0))),"",ROUND(VLOOKUP($B59,SportslineData!$AD:$AK,7,0),0))</f>
        <v>1</v>
      </c>
      <c r="R59" s="117"/>
      <c r="S59" s="33"/>
      <c r="T59" s="38">
        <f>IF(ISERROR(ROUND((((((ROUNDDOWN((D59/5),0)*Settings!$F$7)+(E59*Settings!$I$7))+(F59*Settings!$I$11))+(ROUNDDOWN((G59/5),0)*Settings!$F$11))+(H59*Settings!$F$12)),1)),0,ROUND((((((ROUNDDOWN((D59/5),0)*Settings!$F$7)+(E59*Settings!$I$7))+(F59*Settings!$I$11))+(ROUNDDOWN((G59/5),0)*Settings!$F$11))+(H59*Settings!$F$12)),1))</f>
        <v>96.5</v>
      </c>
      <c r="U59" s="38">
        <f>IF(ISERROR(ROUND((((((ROUNDDOWN((I59/5),0)*Settings!$F$7)+(J59*Settings!$I$7))+(K59*Settings!$I$11))+(ROUNDDOWN((L59/5),0)*Settings!$F$11))+(M59*Settings!$F$12)),1)),0,ROUND((((((ROUNDDOWN((I59/5),0)*Settings!$F$7)+(J59*Settings!$I$7))+(K59*Settings!$I$11))+(ROUNDDOWN((L59/5),0)*Settings!$F$11))+(M59*Settings!$F$12)),1))</f>
        <v>106.5</v>
      </c>
      <c r="V59" s="38">
        <f>IF((N59=""),0,((((N59*Settings!$I$11)+(ROUND((O59/5),0)*Settings!$F$11))+(P59*Settings!$F$12))+(Q59*Settings!$F$15)))</f>
        <v>92.5</v>
      </c>
      <c r="W59" s="66">
        <f>ROUND((((T59*Settings!$B$21)+(U59*Settings!$B$22))+(V59*Settings!$B$23)),1)</f>
        <v>98.4</v>
      </c>
      <c r="X59" s="66">
        <f>IF(ISERROR(VLOOKUP(RANK(W59,W$4:W$182),X$4:X58,1,0)),RANK(W59,W$4:W$182),IF(ISERROR(VLOOKUP((RANK(W59,W$4:W$182)+1),X$4:X58,1,0)),(RANK(W59,W$4:W$182)+1),IF(ISERROR(VLOOKUP((RANK(W59,W$4:W$182)+2),X$4:X58,1,0)),(RANK(W59,W$4:W$182)+2),(RANK(W59,W$4:W$182)+3))))</f>
        <v>56</v>
      </c>
      <c r="Y59" t="str">
        <f t="shared" si="5"/>
        <v>Brandon LaFell</v>
      </c>
    </row>
    <row r="60" spans="1:25" ht="12.75" customHeight="1">
      <c r="A60" s="33" t="str">
        <f>ESPNData!AH61</f>
        <v>Doug Baldwin, Sea WR</v>
      </c>
      <c r="B60" s="33" t="str">
        <f t="shared" si="3"/>
        <v>Doug Baldwin</v>
      </c>
      <c r="C60" s="64" t="str">
        <f t="shared" si="4"/>
        <v>SEA</v>
      </c>
      <c r="D60" s="117">
        <f>IF(OR(($A60=Settings!$A$31),($A60=Settings!$A$32),ISERROR(VLOOKUP($B60,FFTodayData!$AB:$AK,8,0))),"",VLOOKUP($B60,FFTodayData!$AB:$AK,8,0))</f>
        <v>0</v>
      </c>
      <c r="E60" s="33">
        <f>IF(OR(($A60=Settings!$A$31),($A60=Settings!$A$32),ISERROR(VLOOKUP($B60,FFTodayData!$AB:$AK,9,0))),"",VLOOKUP($B60,FFTodayData!$AB:$AK,9,0))</f>
        <v>0</v>
      </c>
      <c r="F60" s="33">
        <f>IF(OR(($A60=Settings!$A$31),($A60=Settings!$A$32),ISERROR(VLOOKUP($B60,FFTodayData!$AB:$AK,4,0))),"",VLOOKUP($B60,FFTodayData!$AB:$AK,4,0))</f>
        <v>36</v>
      </c>
      <c r="G60" s="33">
        <f>IF(OR(($A60=Settings!$A$31),($A60=Settings!$A$32),ISERROR(VLOOKUP($B60,FFTodayData!$AB:$AK,5,0))),"",VLOOKUP($B60,FFTodayData!$AB:$AK,5,0))</f>
        <v>436</v>
      </c>
      <c r="H60" s="64">
        <f>IF(OR(($A60=Settings!$A$31),($A60=Settings!$A$32),ISERROR(VLOOKUP($B60,FFTodayData!$AB:$AK,6,0))),"",VLOOKUP($B60,FFTodayData!$AB:$AK,6,0))</f>
        <v>1</v>
      </c>
      <c r="I60" s="117">
        <f>IF(ISERROR(VLOOKUP($A60,ESPNData!$AH:$AU,9,0)),"",VLOOKUP($A60,ESPNData!$AH:$AU,9,0))</f>
        <v>14</v>
      </c>
      <c r="J60" s="33">
        <f>IF(ISERROR(VLOOKUP($A60,ESPNData!$AH:$AU,10,0)),"",VLOOKUP($A60,ESPNData!$AH:$AU,10,0))</f>
        <v>0</v>
      </c>
      <c r="K60" s="33">
        <f>IF(ISERROR(VLOOKUP($A60,ESPNData!$AH:$AU,11,0)),"",VLOOKUP($A60,ESPNData!$AH:$AU,11,0))</f>
        <v>52</v>
      </c>
      <c r="L60" s="33">
        <f>IF(ISERROR(VLOOKUP($A60,ESPNData!$AH:$AU,12,0)),"",VLOOKUP($A60,ESPNData!$AH:$AU,12,0))</f>
        <v>646</v>
      </c>
      <c r="M60" s="64">
        <f>IF(ISERROR(VLOOKUP($A60,ESPNData!$AH:$AU,13,0)),"",VLOOKUP($A60,ESPNData!$AH:$AU,13,0))</f>
        <v>3</v>
      </c>
      <c r="N60" s="117">
        <f>IF(OR(($A60=Settings!$A$31),($A60=Settings!$A$32),ISERROR(VLOOKUP($B60,SportslineData!$AD:$AK,3,0))),"",ROUND(VLOOKUP($B60,SportslineData!$AD:$AK,3,0),0))</f>
        <v>56</v>
      </c>
      <c r="O60" s="33">
        <f>IF(OR(($A60=Settings!$A$31),($A60=Settings!$A$32),ISERROR(VLOOKUP($B60,SportslineData!$AD:$AK,4,0))),"",VLOOKUP($B60,SportslineData!$AD:$AK,4,0))</f>
        <v>789.5</v>
      </c>
      <c r="P60" s="33">
        <f>IF(OR(($A60=Settings!$A$31),($A60=Settings!$A$32),ISERROR(VLOOKUP($B60,SportslineData!$AD:$AK,6,0))),"",ROUND(VLOOKUP($B60,SportslineData!$AD:$AK,6,0),0))</f>
        <v>5</v>
      </c>
      <c r="Q60" s="64">
        <f>IF(OR(($A60=Settings!$A$31),($A60=Settings!$A$32),ISERROR(VLOOKUP($B60,SportslineData!$AD:$AK,7,0))),"",ROUND(VLOOKUP($B60,SportslineData!$AD:$AK,7,0),0))</f>
        <v>1</v>
      </c>
      <c r="R60" s="117"/>
      <c r="S60" s="33"/>
      <c r="T60" s="38">
        <f>IF(ISERROR(ROUND((((((ROUNDDOWN((D60/5),0)*Settings!$F$7)+(E60*Settings!$I$7))+(F60*Settings!$I$11))+(ROUNDDOWN((G60/5),0)*Settings!$F$11))+(H60*Settings!$F$12)),1)),0,ROUND((((((ROUNDDOWN((D60/5),0)*Settings!$F$7)+(E60*Settings!$I$7))+(F60*Settings!$I$11))+(ROUNDDOWN((G60/5),0)*Settings!$F$11))+(H60*Settings!$F$12)),1))</f>
        <v>67.5</v>
      </c>
      <c r="U60" s="38">
        <f>IF(ISERROR(ROUND((((((ROUNDDOWN((I60/5),0)*Settings!$F$7)+(J60*Settings!$I$7))+(K60*Settings!$I$11))+(ROUNDDOWN((L60/5),0)*Settings!$F$11))+(M60*Settings!$F$12)),1)),0,ROUND((((((ROUNDDOWN((I60/5),0)*Settings!$F$7)+(J60*Settings!$I$7))+(K60*Settings!$I$11))+(ROUNDDOWN((L60/5),0)*Settings!$F$11))+(M60*Settings!$F$12)),1))</f>
        <v>109.5</v>
      </c>
      <c r="V60" s="38">
        <f>IF((N60=""),0,((((N60*Settings!$I$11)+(ROUND((O60/5),0)*Settings!$F$11))+(P60*Settings!$F$12))+(Q60*Settings!$F$15)))</f>
        <v>136</v>
      </c>
      <c r="W60" s="66">
        <f>ROUND((((T60*Settings!$B$21)+(U60*Settings!$B$22))+(V60*Settings!$B$23)),1)</f>
        <v>104.7</v>
      </c>
      <c r="X60" s="66">
        <f>IF(ISERROR(VLOOKUP(RANK(W60,W$4:W$182),X$4:X59,1,0)),RANK(W60,W$4:W$182),IF(ISERROR(VLOOKUP((RANK(W60,W$4:W$182)+1),X$4:X59,1,0)),(RANK(W60,W$4:W$182)+1),IF(ISERROR(VLOOKUP((RANK(W60,W$4:W$182)+2),X$4:X59,1,0)),(RANK(W60,W$4:W$182)+2),(RANK(W60,W$4:W$182)+3))))</f>
        <v>53</v>
      </c>
      <c r="Y60" t="str">
        <f t="shared" si="5"/>
        <v>Doug Baldwin</v>
      </c>
    </row>
    <row r="61" spans="1:25" ht="12.75" customHeight="1">
      <c r="A61" s="33" t="str">
        <f>ESPNData!AH62</f>
        <v>Dexter McCluster, Ten WR, RB</v>
      </c>
      <c r="B61" s="33" t="str">
        <f t="shared" si="3"/>
        <v>Dexter McCluster</v>
      </c>
      <c r="C61" s="64" t="str">
        <f t="shared" si="4"/>
        <v>TEN</v>
      </c>
      <c r="D61" s="117" t="str">
        <f>IF(OR(($A61=Settings!$A$31),($A61=Settings!$A$32),ISERROR(VLOOKUP($B61,FFTodayData!$AB:$AK,8,0))),"",VLOOKUP($B61,FFTodayData!$AB:$AK,8,0))</f>
        <v/>
      </c>
      <c r="E61" s="33" t="str">
        <f>IF(OR(($A61=Settings!$A$31),($A61=Settings!$A$32),ISERROR(VLOOKUP($B61,FFTodayData!$AB:$AK,9,0))),"",VLOOKUP($B61,FFTodayData!$AB:$AK,9,0))</f>
        <v/>
      </c>
      <c r="F61" s="33" t="str">
        <f>IF(OR(($A61=Settings!$A$31),($A61=Settings!$A$32),ISERROR(VLOOKUP($B61,FFTodayData!$AB:$AK,4,0))),"",VLOOKUP($B61,FFTodayData!$AB:$AK,4,0))</f>
        <v/>
      </c>
      <c r="G61" s="33" t="str">
        <f>IF(OR(($A61=Settings!$A$31),($A61=Settings!$A$32),ISERROR(VLOOKUP($B61,FFTodayData!$AB:$AK,5,0))),"",VLOOKUP($B61,FFTodayData!$AB:$AK,5,0))</f>
        <v/>
      </c>
      <c r="H61" s="64" t="str">
        <f>IF(OR(($A61=Settings!$A$31),($A61=Settings!$A$32),ISERROR(VLOOKUP($B61,FFTodayData!$AB:$AK,6,0))),"",VLOOKUP($B61,FFTodayData!$AB:$AK,6,0))</f>
        <v/>
      </c>
      <c r="I61" s="117">
        <f>IF(ISERROR(VLOOKUP($A61,ESPNData!$AH:$AU,9,0)),"",VLOOKUP($A61,ESPNData!$AH:$AU,9,0))</f>
        <v>177</v>
      </c>
      <c r="J61" s="33">
        <f>IF(ISERROR(VLOOKUP($A61,ESPNData!$AH:$AU,10,0)),"",VLOOKUP($A61,ESPNData!$AH:$AU,10,0))</f>
        <v>1</v>
      </c>
      <c r="K61" s="33">
        <f>IF(ISERROR(VLOOKUP($A61,ESPNData!$AH:$AU,11,0)),"",VLOOKUP($A61,ESPNData!$AH:$AU,11,0))</f>
        <v>53</v>
      </c>
      <c r="L61" s="33">
        <f>IF(ISERROR(VLOOKUP($A61,ESPNData!$AH:$AU,12,0)),"",VLOOKUP($A61,ESPNData!$AH:$AU,12,0))</f>
        <v>476</v>
      </c>
      <c r="M61" s="64">
        <f>IF(ISERROR(VLOOKUP($A61,ESPNData!$AH:$AU,13,0)),"",VLOOKUP($A61,ESPNData!$AH:$AU,13,0))</f>
        <v>2</v>
      </c>
      <c r="N61" s="117" t="str">
        <f>IF(OR(($A61=Settings!$A$31),($A61=Settings!$A$32),ISERROR(VLOOKUP($B61,SportslineData!$AD:$AK,3,0))),"",ROUND(VLOOKUP($B61,SportslineData!$AD:$AK,3,0),0))</f>
        <v/>
      </c>
      <c r="O61" s="33" t="str">
        <f>IF(OR(($A61=Settings!$A$31),($A61=Settings!$A$32),ISERROR(VLOOKUP($B61,SportslineData!$AD:$AK,4,0))),"",VLOOKUP($B61,SportslineData!$AD:$AK,4,0))</f>
        <v/>
      </c>
      <c r="P61" s="33" t="str">
        <f>IF(OR(($A61=Settings!$A$31),($A61=Settings!$A$32),ISERROR(VLOOKUP($B61,SportslineData!$AD:$AK,6,0))),"",ROUND(VLOOKUP($B61,SportslineData!$AD:$AK,6,0),0))</f>
        <v/>
      </c>
      <c r="Q61" s="64" t="str">
        <f>IF(OR(($A61=Settings!$A$31),($A61=Settings!$A$32),ISERROR(VLOOKUP($B61,SportslineData!$AD:$AK,7,0))),"",ROUND(VLOOKUP($B61,SportslineData!$AD:$AK,7,0),0))</f>
        <v/>
      </c>
      <c r="R61" s="117"/>
      <c r="S61" s="33"/>
      <c r="T61" s="38">
        <f>IF(ISERROR(ROUND((((((ROUNDDOWN((D61/5),0)*Settings!$F$7)+(E61*Settings!$I$7))+(F61*Settings!$I$11))+(ROUNDDOWN((G61/5),0)*Settings!$F$11))+(H61*Settings!$F$12)),1)),0,ROUND((((((ROUNDDOWN((D61/5),0)*Settings!$F$7)+(E61*Settings!$I$7))+(F61*Settings!$I$11))+(ROUNDDOWN((G61/5),0)*Settings!$F$11))+(H61*Settings!$F$12)),1))</f>
        <v>0</v>
      </c>
      <c r="U61" s="38">
        <f>IF(ISERROR(ROUND((((((ROUNDDOWN((I61/5),0)*Settings!$F$7)+(J61*Settings!$I$7))+(K61*Settings!$I$11))+(ROUNDDOWN((L61/5),0)*Settings!$F$11))+(M61*Settings!$F$12)),1)),0,ROUND((((((ROUNDDOWN((I61/5),0)*Settings!$F$7)+(J61*Settings!$I$7))+(K61*Settings!$I$11))+(ROUNDDOWN((L61/5),0)*Settings!$F$11))+(M61*Settings!$F$12)),1))</f>
        <v>109.5</v>
      </c>
      <c r="V61" s="38">
        <f>IF((N61=""),0,((((N61*Settings!$I$11)+(ROUND((O61/5),0)*Settings!$F$11))+(P61*Settings!$F$12))+(Q61*Settings!$F$15)))</f>
        <v>0</v>
      </c>
      <c r="W61" s="66">
        <f>ROUND((((T61*Settings!$B$21)+(U61*Settings!$B$22))+(V61*Settings!$B$23)),1)</f>
        <v>36.1</v>
      </c>
      <c r="X61" s="66">
        <f>IF(ISERROR(VLOOKUP(RANK(W61,W$4:W$182),X$4:X60,1,0)),RANK(W61,W$4:W$182),IF(ISERROR(VLOOKUP((RANK(W61,W$4:W$182)+1),X$4:X60,1,0)),(RANK(W61,W$4:W$182)+1),IF(ISERROR(VLOOKUP((RANK(W61,W$4:W$182)+2),X$4:X60,1,0)),(RANK(W61,W$4:W$182)+2),(RANK(W61,W$4:W$182)+3))))</f>
        <v>107</v>
      </c>
      <c r="Y61" t="str">
        <f t="shared" si="5"/>
        <v>Dexter McCluster</v>
      </c>
    </row>
    <row r="62" spans="1:25" ht="12.75" customHeight="1">
      <c r="A62" s="33" t="str">
        <f>ESPNData!AH63</f>
        <v>Kenny Stills, NO WR  P</v>
      </c>
      <c r="B62" s="33" t="str">
        <f t="shared" si="3"/>
        <v>Kenny Stills</v>
      </c>
      <c r="C62" s="64" t="str">
        <f t="shared" si="4"/>
        <v>NO</v>
      </c>
      <c r="D62" s="117">
        <f>IF(OR(($A62=Settings!$A$31),($A62=Settings!$A$32),ISERROR(VLOOKUP($B62,FFTodayData!$AB:$AK,8,0))),"",VLOOKUP($B62,FFTodayData!$AB:$AK,8,0))</f>
        <v>0</v>
      </c>
      <c r="E62" s="33">
        <f>IF(OR(($A62=Settings!$A$31),($A62=Settings!$A$32),ISERROR(VLOOKUP($B62,FFTodayData!$AB:$AK,9,0))),"",VLOOKUP($B62,FFTodayData!$AB:$AK,9,0))</f>
        <v>0</v>
      </c>
      <c r="F62" s="33">
        <f>IF(OR(($A62=Settings!$A$31),($A62=Settings!$A$32),ISERROR(VLOOKUP($B62,FFTodayData!$AB:$AK,4,0))),"",VLOOKUP($B62,FFTodayData!$AB:$AK,4,0))</f>
        <v>48</v>
      </c>
      <c r="G62" s="33">
        <f>IF(OR(($A62=Settings!$A$31),($A62=Settings!$A$32),ISERROR(VLOOKUP($B62,FFTodayData!$AB:$AK,5,0))),"",VLOOKUP($B62,FFTodayData!$AB:$AK,5,0))</f>
        <v>697</v>
      </c>
      <c r="H62" s="64">
        <f>IF(OR(($A62=Settings!$A$31),($A62=Settings!$A$32),ISERROR(VLOOKUP($B62,FFTodayData!$AB:$AK,6,0))),"",VLOOKUP($B62,FFTodayData!$AB:$AK,6,0))</f>
        <v>6</v>
      </c>
      <c r="I62" s="117">
        <f>IF(ISERROR(VLOOKUP($A62,ESPNData!$AH:$AU,9,0)),"",VLOOKUP($A62,ESPNData!$AH:$AU,9,0))</f>
        <v>24</v>
      </c>
      <c r="J62" s="33">
        <f>IF(ISERROR(VLOOKUP($A62,ESPNData!$AH:$AU,10,0)),"",VLOOKUP($A62,ESPNData!$AH:$AU,10,0))</f>
        <v>0</v>
      </c>
      <c r="K62" s="33">
        <f>IF(ISERROR(VLOOKUP($A62,ESPNData!$AH:$AU,11,0)),"",VLOOKUP($A62,ESPNData!$AH:$AU,11,0))</f>
        <v>34</v>
      </c>
      <c r="L62" s="33">
        <f>IF(ISERROR(VLOOKUP($A62,ESPNData!$AH:$AU,12,0)),"",VLOOKUP($A62,ESPNData!$AH:$AU,12,0))</f>
        <v>563</v>
      </c>
      <c r="M62" s="64">
        <f>IF(ISERROR(VLOOKUP($A62,ESPNData!$AH:$AU,13,0)),"",VLOOKUP($A62,ESPNData!$AH:$AU,13,0))</f>
        <v>4</v>
      </c>
      <c r="N62" s="117">
        <f>IF(OR(($A62=Settings!$A$31),($A62=Settings!$A$32),ISERROR(VLOOKUP($B62,SportslineData!$AD:$AK,3,0))),"",ROUND(VLOOKUP($B62,SportslineData!$AD:$AK,3,0),0))</f>
        <v>44</v>
      </c>
      <c r="O62" s="33">
        <f>IF(OR(($A62=Settings!$A$31),($A62=Settings!$A$32),ISERROR(VLOOKUP($B62,SportslineData!$AD:$AK,4,0))),"",VLOOKUP($B62,SportslineData!$AD:$AK,4,0))</f>
        <v>766.5</v>
      </c>
      <c r="P62" s="33">
        <f>IF(OR(($A62=Settings!$A$31),($A62=Settings!$A$32),ISERROR(VLOOKUP($B62,SportslineData!$AD:$AK,6,0))),"",ROUND(VLOOKUP($B62,SportslineData!$AD:$AK,6,0),0))</f>
        <v>6</v>
      </c>
      <c r="Q62" s="64">
        <f>IF(OR(($A62=Settings!$A$31),($A62=Settings!$A$32),ISERROR(VLOOKUP($B62,SportslineData!$AD:$AK,7,0))),"",ROUND(VLOOKUP($B62,SportslineData!$AD:$AK,7,0),0))</f>
        <v>1</v>
      </c>
      <c r="R62" s="117"/>
      <c r="S62" s="33"/>
      <c r="T62" s="38">
        <f>IF(ISERROR(ROUND((((((ROUNDDOWN((D62/5),0)*Settings!$F$7)+(E62*Settings!$I$7))+(F62*Settings!$I$11))+(ROUNDDOWN((G62/5),0)*Settings!$F$11))+(H62*Settings!$F$12)),1)),0,ROUND((((((ROUNDDOWN((D62/5),0)*Settings!$F$7)+(E62*Settings!$I$7))+(F62*Settings!$I$11))+(ROUNDDOWN((G62/5),0)*Settings!$F$11))+(H62*Settings!$F$12)),1))</f>
        <v>129.5</v>
      </c>
      <c r="U62" s="38">
        <f>IF(ISERROR(ROUND((((((ROUNDDOWN((I62/5),0)*Settings!$F$7)+(J62*Settings!$I$7))+(K62*Settings!$I$11))+(ROUNDDOWN((L62/5),0)*Settings!$F$11))+(M62*Settings!$F$12)),1)),0,ROUND((((((ROUNDDOWN((I62/5),0)*Settings!$F$7)+(J62*Settings!$I$7))+(K62*Settings!$I$11))+(ROUNDDOWN((L62/5),0)*Settings!$F$11))+(M62*Settings!$F$12)),1))</f>
        <v>99</v>
      </c>
      <c r="V62" s="38">
        <f>IF((N62=""),0,((((N62*Settings!$I$11)+(ROUND((O62/5),0)*Settings!$F$11))+(P62*Settings!$F$12))+(Q62*Settings!$F$15)))</f>
        <v>133.5</v>
      </c>
      <c r="W62" s="66">
        <f>ROUND((((T62*Settings!$B$21)+(U62*Settings!$B$22))+(V62*Settings!$B$23)),1)</f>
        <v>120.8</v>
      </c>
      <c r="X62" s="66">
        <f>IF(ISERROR(VLOOKUP(RANK(W62,W$4:W$182),X$4:X61,1,0)),RANK(W62,W$4:W$182),IF(ISERROR(VLOOKUP((RANK(W62,W$4:W$182)+1),X$4:X61,1,0)),(RANK(W62,W$4:W$182)+1),IF(ISERROR(VLOOKUP((RANK(W62,W$4:W$182)+2),X$4:X61,1,0)),(RANK(W62,W$4:W$182)+2),(RANK(W62,W$4:W$182)+3))))</f>
        <v>50</v>
      </c>
      <c r="Y62" t="str">
        <f t="shared" si="5"/>
        <v>Kenny Stills</v>
      </c>
    </row>
    <row r="63" spans="1:25" ht="12.75" customHeight="1">
      <c r="A63" s="33" t="str">
        <f>ESPNData!AH64</f>
        <v>Denarius Moore, Oak WR</v>
      </c>
      <c r="B63" s="33" t="str">
        <f t="shared" si="3"/>
        <v>Denarius Moore</v>
      </c>
      <c r="C63" s="64" t="str">
        <f t="shared" si="4"/>
        <v>OAK</v>
      </c>
      <c r="D63" s="117" t="str">
        <f>IF(OR(($A63=Settings!$A$31),($A63=Settings!$A$32),ISERROR(VLOOKUP($B63,FFTodayData!$AB:$AK,8,0))),"",VLOOKUP($B63,FFTodayData!$AB:$AK,8,0))</f>
        <v/>
      </c>
      <c r="E63" s="33" t="str">
        <f>IF(OR(($A63=Settings!$A$31),($A63=Settings!$A$32),ISERROR(VLOOKUP($B63,FFTodayData!$AB:$AK,9,0))),"",VLOOKUP($B63,FFTodayData!$AB:$AK,9,0))</f>
        <v/>
      </c>
      <c r="F63" s="33" t="str">
        <f>IF(OR(($A63=Settings!$A$31),($A63=Settings!$A$32),ISERROR(VLOOKUP($B63,FFTodayData!$AB:$AK,4,0))),"",VLOOKUP($B63,FFTodayData!$AB:$AK,4,0))</f>
        <v/>
      </c>
      <c r="G63" s="33" t="str">
        <f>IF(OR(($A63=Settings!$A$31),($A63=Settings!$A$32),ISERROR(VLOOKUP($B63,FFTodayData!$AB:$AK,5,0))),"",VLOOKUP($B63,FFTodayData!$AB:$AK,5,0))</f>
        <v/>
      </c>
      <c r="H63" s="64" t="str">
        <f>IF(OR(($A63=Settings!$A$31),($A63=Settings!$A$32),ISERROR(VLOOKUP($B63,FFTodayData!$AB:$AK,6,0))),"",VLOOKUP($B63,FFTodayData!$AB:$AK,6,0))</f>
        <v/>
      </c>
      <c r="I63" s="117">
        <f>IF(ISERROR(VLOOKUP($A63,ESPNData!$AH:$AU,9,0)),"",VLOOKUP($A63,ESPNData!$AH:$AU,9,0))</f>
        <v>0</v>
      </c>
      <c r="J63" s="33">
        <f>IF(ISERROR(VLOOKUP($A63,ESPNData!$AH:$AU,10,0)),"",VLOOKUP($A63,ESPNData!$AH:$AU,10,0))</f>
        <v>0</v>
      </c>
      <c r="K63" s="33">
        <f>IF(ISERROR(VLOOKUP($A63,ESPNData!$AH:$AU,11,0)),"",VLOOKUP($A63,ESPNData!$AH:$AU,11,0))</f>
        <v>43</v>
      </c>
      <c r="L63" s="33">
        <f>IF(ISERROR(VLOOKUP($A63,ESPNData!$AH:$AU,12,0)),"",VLOOKUP($A63,ESPNData!$AH:$AU,12,0))</f>
        <v>671</v>
      </c>
      <c r="M63" s="64">
        <f>IF(ISERROR(VLOOKUP($A63,ESPNData!$AH:$AU,13,0)),"",VLOOKUP($A63,ESPNData!$AH:$AU,13,0))</f>
        <v>3</v>
      </c>
      <c r="N63" s="117">
        <f>IF(OR(($A63=Settings!$A$31),($A63=Settings!$A$32),ISERROR(VLOOKUP($B63,SportslineData!$AD:$AK,3,0))),"",ROUND(VLOOKUP($B63,SportslineData!$AD:$AK,3,0),0))</f>
        <v>33</v>
      </c>
      <c r="O63" s="33">
        <f>IF(OR(($A63=Settings!$A$31),($A63=Settings!$A$32),ISERROR(VLOOKUP($B63,SportslineData!$AD:$AK,4,0))),"",VLOOKUP($B63,SportslineData!$AD:$AK,4,0))</f>
        <v>524</v>
      </c>
      <c r="P63" s="33">
        <f>IF(OR(($A63=Settings!$A$31),($A63=Settings!$A$32),ISERROR(VLOOKUP($B63,SportslineData!$AD:$AK,6,0))),"",ROUND(VLOOKUP($B63,SportslineData!$AD:$AK,6,0),0))</f>
        <v>3</v>
      </c>
      <c r="Q63" s="64">
        <f>IF(OR(($A63=Settings!$A$31),($A63=Settings!$A$32),ISERROR(VLOOKUP($B63,SportslineData!$AD:$AK,7,0))),"",ROUND(VLOOKUP($B63,SportslineData!$AD:$AK,7,0),0))</f>
        <v>2</v>
      </c>
      <c r="R63" s="117"/>
      <c r="S63" s="33"/>
      <c r="T63" s="38">
        <f>IF(ISERROR(ROUND((((((ROUNDDOWN((D63/5),0)*Settings!$F$7)+(E63*Settings!$I$7))+(F63*Settings!$I$11))+(ROUNDDOWN((G63/5),0)*Settings!$F$11))+(H63*Settings!$F$12)),1)),0,ROUND((((((ROUNDDOWN((D63/5),0)*Settings!$F$7)+(E63*Settings!$I$7))+(F63*Settings!$I$11))+(ROUNDDOWN((G63/5),0)*Settings!$F$11))+(H63*Settings!$F$12)),1))</f>
        <v>0</v>
      </c>
      <c r="U63" s="38">
        <f>IF(ISERROR(ROUND((((((ROUNDDOWN((I63/5),0)*Settings!$F$7)+(J63*Settings!$I$7))+(K63*Settings!$I$11))+(ROUNDDOWN((L63/5),0)*Settings!$F$11))+(M63*Settings!$F$12)),1)),0,ROUND((((((ROUNDDOWN((I63/5),0)*Settings!$F$7)+(J63*Settings!$I$7))+(K63*Settings!$I$11))+(ROUNDDOWN((L63/5),0)*Settings!$F$11))+(M63*Settings!$F$12)),1))</f>
        <v>106.5</v>
      </c>
      <c r="V63" s="38">
        <f>IF((N63=""),0,((((N63*Settings!$I$11)+(ROUND((O63/5),0)*Settings!$F$11))+(P63*Settings!$F$12))+(Q63*Settings!$F$15)))</f>
        <v>85</v>
      </c>
      <c r="W63" s="66">
        <f>ROUND((((T63*Settings!$B$21)+(U63*Settings!$B$22))+(V63*Settings!$B$23)),1)</f>
        <v>64</v>
      </c>
      <c r="X63" s="66">
        <f>IF(ISERROR(VLOOKUP(RANK(W63,W$4:W$182),X$4:X62,1,0)),RANK(W63,W$4:W$182),IF(ISERROR(VLOOKUP((RANK(W63,W$4:W$182)+1),X$4:X62,1,0)),(RANK(W63,W$4:W$182)+1),IF(ISERROR(VLOOKUP((RANK(W63,W$4:W$182)+2),X$4:X62,1,0)),(RANK(W63,W$4:W$182)+2),(RANK(W63,W$4:W$182)+3))))</f>
        <v>83</v>
      </c>
      <c r="Y63" t="str">
        <f t="shared" si="5"/>
        <v>Denarius Moore</v>
      </c>
    </row>
    <row r="64" spans="1:25" ht="12.75" customHeight="1">
      <c r="A64" s="33" t="str">
        <f>ESPNData!AH65</f>
        <v>Rod Streater, Oak WR</v>
      </c>
      <c r="B64" s="33" t="str">
        <f t="shared" si="3"/>
        <v>Rod Streater</v>
      </c>
      <c r="C64" s="64" t="str">
        <f t="shared" si="4"/>
        <v>OAK</v>
      </c>
      <c r="D64" s="117">
        <f>IF(OR(($A64=Settings!$A$31),($A64=Settings!$A$32),ISERROR(VLOOKUP($B64,FFTodayData!$AB:$AK,8,0))),"",VLOOKUP($B64,FFTodayData!$AB:$AK,8,0))</f>
        <v>0</v>
      </c>
      <c r="E64" s="33">
        <f>IF(OR(($A64=Settings!$A$31),($A64=Settings!$A$32),ISERROR(VLOOKUP($B64,FFTodayData!$AB:$AK,9,0))),"",VLOOKUP($B64,FFTodayData!$AB:$AK,9,0))</f>
        <v>0</v>
      </c>
      <c r="F64" s="33">
        <f>IF(OR(($A64=Settings!$A$31),($A64=Settings!$A$32),ISERROR(VLOOKUP($B64,FFTodayData!$AB:$AK,4,0))),"",VLOOKUP($B64,FFTodayData!$AB:$AK,4,0))</f>
        <v>22</v>
      </c>
      <c r="G64" s="33">
        <f>IF(OR(($A64=Settings!$A$31),($A64=Settings!$A$32),ISERROR(VLOOKUP($B64,FFTodayData!$AB:$AK,5,0))),"",VLOOKUP($B64,FFTodayData!$AB:$AK,5,0))</f>
        <v>333</v>
      </c>
      <c r="H64" s="64">
        <f>IF(OR(($A64=Settings!$A$31),($A64=Settings!$A$32),ISERROR(VLOOKUP($B64,FFTodayData!$AB:$AK,6,0))),"",VLOOKUP($B64,FFTodayData!$AB:$AK,6,0))</f>
        <v>2</v>
      </c>
      <c r="I64" s="117">
        <f>IF(ISERROR(VLOOKUP($A64,ESPNData!$AH:$AU,9,0)),"",VLOOKUP($A64,ESPNData!$AH:$AU,9,0))</f>
        <v>17</v>
      </c>
      <c r="J64" s="33">
        <f>IF(ISERROR(VLOOKUP($A64,ESPNData!$AH:$AU,10,0)),"",VLOOKUP($A64,ESPNData!$AH:$AU,10,0))</f>
        <v>0</v>
      </c>
      <c r="K64" s="33">
        <f>IF(ISERROR(VLOOKUP($A64,ESPNData!$AH:$AU,11,0)),"",VLOOKUP($A64,ESPNData!$AH:$AU,11,0))</f>
        <v>44</v>
      </c>
      <c r="L64" s="33">
        <f>IF(ISERROR(VLOOKUP($A64,ESPNData!$AH:$AU,12,0)),"",VLOOKUP($A64,ESPNData!$AH:$AU,12,0))</f>
        <v>617</v>
      </c>
      <c r="M64" s="64">
        <f>IF(ISERROR(VLOOKUP($A64,ESPNData!$AH:$AU,13,0)),"",VLOOKUP($A64,ESPNData!$AH:$AU,13,0))</f>
        <v>3</v>
      </c>
      <c r="N64" s="117">
        <f>IF(OR(($A64=Settings!$A$31),($A64=Settings!$A$32),ISERROR(VLOOKUP($B64,SportslineData!$AD:$AK,3,0))),"",ROUND(VLOOKUP($B64,SportslineData!$AD:$AK,3,0),0))</f>
        <v>58</v>
      </c>
      <c r="O64" s="33">
        <f>IF(OR(($A64=Settings!$A$31),($A64=Settings!$A$32),ISERROR(VLOOKUP($B64,SportslineData!$AD:$AK,4,0))),"",VLOOKUP($B64,SportslineData!$AD:$AK,4,0))</f>
        <v>797</v>
      </c>
      <c r="P64" s="33">
        <f>IF(OR(($A64=Settings!$A$31),($A64=Settings!$A$32),ISERROR(VLOOKUP($B64,SportslineData!$AD:$AK,6,0))),"",ROUND(VLOOKUP($B64,SportslineData!$AD:$AK,6,0),0))</f>
        <v>5</v>
      </c>
      <c r="Q64" s="64">
        <f>IF(OR(($A64=Settings!$A$31),($A64=Settings!$A$32),ISERROR(VLOOKUP($B64,SportslineData!$AD:$AK,7,0))),"",ROUND(VLOOKUP($B64,SportslineData!$AD:$AK,7,0),0))</f>
        <v>1</v>
      </c>
      <c r="R64" s="117"/>
      <c r="S64" s="33"/>
      <c r="T64" s="38">
        <f>IF(ISERROR(ROUND((((((ROUNDDOWN((D64/5),0)*Settings!$F$7)+(E64*Settings!$I$7))+(F64*Settings!$I$11))+(ROUNDDOWN((G64/5),0)*Settings!$F$11))+(H64*Settings!$F$12)),1)),0,ROUND((((((ROUNDDOWN((D64/5),0)*Settings!$F$7)+(E64*Settings!$I$7))+(F64*Settings!$I$11))+(ROUNDDOWN((G64/5),0)*Settings!$F$11))+(H64*Settings!$F$12)),1))</f>
        <v>56</v>
      </c>
      <c r="U64" s="38">
        <f>IF(ISERROR(ROUND((((((ROUNDDOWN((I64/5),0)*Settings!$F$7)+(J64*Settings!$I$7))+(K64*Settings!$I$11))+(ROUNDDOWN((L64/5),0)*Settings!$F$11))+(M64*Settings!$F$12)),1)),0,ROUND((((((ROUNDDOWN((I64/5),0)*Settings!$F$7)+(J64*Settings!$I$7))+(K64*Settings!$I$11))+(ROUNDDOWN((L64/5),0)*Settings!$F$11))+(M64*Settings!$F$12)),1))</f>
        <v>103</v>
      </c>
      <c r="V64" s="38">
        <f>IF((N64=""),0,((((N64*Settings!$I$11)+(ROUND((O64/5),0)*Settings!$F$11))+(P64*Settings!$F$12))+(Q64*Settings!$F$15)))</f>
        <v>137.5</v>
      </c>
      <c r="W64" s="66">
        <f>ROUND((((T64*Settings!$B$21)+(U64*Settings!$B$22))+(V64*Settings!$B$23)),1)</f>
        <v>99.2</v>
      </c>
      <c r="X64" s="66">
        <f>IF(ISERROR(VLOOKUP(RANK(W64,W$4:W$182),X$4:X63,1,0)),RANK(W64,W$4:W$182),IF(ISERROR(VLOOKUP((RANK(W64,W$4:W$182)+1),X$4:X63,1,0)),(RANK(W64,W$4:W$182)+1),IF(ISERROR(VLOOKUP((RANK(W64,W$4:W$182)+2),X$4:X63,1,0)),(RANK(W64,W$4:W$182)+2),(RANK(W64,W$4:W$182)+3))))</f>
        <v>55</v>
      </c>
      <c r="Y64" t="str">
        <f t="shared" si="5"/>
        <v>Rod Streater</v>
      </c>
    </row>
    <row r="65" spans="1:25" ht="12.75" customHeight="1">
      <c r="A65" s="33" t="str">
        <f>ESPNData!AH66</f>
        <v>Marqise Lee, Jac WR</v>
      </c>
      <c r="B65" s="33" t="str">
        <f t="shared" si="3"/>
        <v>Marqise Lee</v>
      </c>
      <c r="C65" s="64" t="str">
        <f t="shared" si="4"/>
        <v>JAC</v>
      </c>
      <c r="D65" s="117" t="str">
        <f>IF(OR(($A65=Settings!$A$31),($A65=Settings!$A$32),ISERROR(VLOOKUP($B65,FFTodayData!$AB:$AK,8,0))),"",VLOOKUP($B65,FFTodayData!$AB:$AK,8,0))</f>
        <v/>
      </c>
      <c r="E65" s="33" t="str">
        <f>IF(OR(($A65=Settings!$A$31),($A65=Settings!$A$32),ISERROR(VLOOKUP($B65,FFTodayData!$AB:$AK,9,0))),"",VLOOKUP($B65,FFTodayData!$AB:$AK,9,0))</f>
        <v/>
      </c>
      <c r="F65" s="33" t="str">
        <f>IF(OR(($A65=Settings!$A$31),($A65=Settings!$A$32),ISERROR(VLOOKUP($B65,FFTodayData!$AB:$AK,4,0))),"",VLOOKUP($B65,FFTodayData!$AB:$AK,4,0))</f>
        <v/>
      </c>
      <c r="G65" s="33" t="str">
        <f>IF(OR(($A65=Settings!$A$31),($A65=Settings!$A$32),ISERROR(VLOOKUP($B65,FFTodayData!$AB:$AK,5,0))),"",VLOOKUP($B65,FFTodayData!$AB:$AK,5,0))</f>
        <v/>
      </c>
      <c r="H65" s="64" t="str">
        <f>IF(OR(($A65=Settings!$A$31),($A65=Settings!$A$32),ISERROR(VLOOKUP($B65,FFTodayData!$AB:$AK,6,0))),"",VLOOKUP($B65,FFTodayData!$AB:$AK,6,0))</f>
        <v/>
      </c>
      <c r="I65" s="117">
        <f>IF(ISERROR(VLOOKUP($A65,ESPNData!$AH:$AU,9,0)),"",VLOOKUP($A65,ESPNData!$AH:$AU,9,0))</f>
        <v>17</v>
      </c>
      <c r="J65" s="33">
        <f>IF(ISERROR(VLOOKUP($A65,ESPNData!$AH:$AU,10,0)),"",VLOOKUP($A65,ESPNData!$AH:$AU,10,0))</f>
        <v>0</v>
      </c>
      <c r="K65" s="33">
        <f>IF(ISERROR(VLOOKUP($A65,ESPNData!$AH:$AU,11,0)),"",VLOOKUP($A65,ESPNData!$AH:$AU,11,0))</f>
        <v>43</v>
      </c>
      <c r="L65" s="33">
        <f>IF(ISERROR(VLOOKUP($A65,ESPNData!$AH:$AU,12,0)),"",VLOOKUP($A65,ESPNData!$AH:$AU,12,0))</f>
        <v>597</v>
      </c>
      <c r="M65" s="64">
        <f>IF(ISERROR(VLOOKUP($A65,ESPNData!$AH:$AU,13,0)),"",VLOOKUP($A65,ESPNData!$AH:$AU,13,0))</f>
        <v>4</v>
      </c>
      <c r="N65" s="117">
        <f>IF(OR(($A65=Settings!$A$31),($A65=Settings!$A$32),ISERROR(VLOOKUP($B65,SportslineData!$AD:$AK,3,0))),"",ROUND(VLOOKUP($B65,SportslineData!$AD:$AK,3,0),0))</f>
        <v>47</v>
      </c>
      <c r="O65" s="33">
        <f>IF(OR(($A65=Settings!$A$31),($A65=Settings!$A$32),ISERROR(VLOOKUP($B65,SportslineData!$AD:$AK,4,0))),"",VLOOKUP($B65,SportslineData!$AD:$AK,4,0))</f>
        <v>678</v>
      </c>
      <c r="P65" s="33">
        <f>IF(OR(($A65=Settings!$A$31),($A65=Settings!$A$32),ISERROR(VLOOKUP($B65,SportslineData!$AD:$AK,6,0))),"",ROUND(VLOOKUP($B65,SportslineData!$AD:$AK,6,0),0))</f>
        <v>5</v>
      </c>
      <c r="Q65" s="64">
        <f>IF(OR(($A65=Settings!$A$31),($A65=Settings!$A$32),ISERROR(VLOOKUP($B65,SportslineData!$AD:$AK,7,0))),"",ROUND(VLOOKUP($B65,SportslineData!$AD:$AK,7,0),0))</f>
        <v>1</v>
      </c>
      <c r="R65" s="117"/>
      <c r="S65" s="33"/>
      <c r="T65" s="38">
        <f>IF(ISERROR(ROUND((((((ROUNDDOWN((D65/5),0)*Settings!$F$7)+(E65*Settings!$I$7))+(F65*Settings!$I$11))+(ROUNDDOWN((G65/5),0)*Settings!$F$11))+(H65*Settings!$F$12)),1)),0,ROUND((((((ROUNDDOWN((D65/5),0)*Settings!$F$7)+(E65*Settings!$I$7))+(F65*Settings!$I$11))+(ROUNDDOWN((G65/5),0)*Settings!$F$11))+(H65*Settings!$F$12)),1))</f>
        <v>0</v>
      </c>
      <c r="U65" s="38">
        <f>IF(ISERROR(ROUND((((((ROUNDDOWN((I65/5),0)*Settings!$F$7)+(J65*Settings!$I$7))+(K65*Settings!$I$11))+(ROUNDDOWN((L65/5),0)*Settings!$F$11))+(M65*Settings!$F$12)),1)),0,ROUND((((((ROUNDDOWN((I65/5),0)*Settings!$F$7)+(J65*Settings!$I$7))+(K65*Settings!$I$11))+(ROUNDDOWN((L65/5),0)*Settings!$F$11))+(M65*Settings!$F$12)),1))</f>
        <v>106.5</v>
      </c>
      <c r="V65" s="38">
        <f>IF((N65=""),0,((((N65*Settings!$I$11)+(ROUND((O65/5),0)*Settings!$F$11))+(P65*Settings!$F$12))+(Q65*Settings!$F$15)))</f>
        <v>120.5</v>
      </c>
      <c r="W65" s="66">
        <f>ROUND((((T65*Settings!$B$21)+(U65*Settings!$B$22))+(V65*Settings!$B$23)),1)</f>
        <v>76.099999999999994</v>
      </c>
      <c r="X65" s="66">
        <f>IF(ISERROR(VLOOKUP(RANK(W65,W$4:W$182),X$4:X64,1,0)),RANK(W65,W$4:W$182),IF(ISERROR(VLOOKUP((RANK(W65,W$4:W$182)+1),X$4:X64,1,0)),(RANK(W65,W$4:W$182)+1),IF(ISERROR(VLOOKUP((RANK(W65,W$4:W$182)+2),X$4:X64,1,0)),(RANK(W65,W$4:W$182)+2),(RANK(W65,W$4:W$182)+3))))</f>
        <v>70</v>
      </c>
      <c r="Y65" t="str">
        <f t="shared" si="5"/>
        <v>Marqise Lee</v>
      </c>
    </row>
    <row r="66" spans="1:25" ht="12.75" customHeight="1">
      <c r="A66" s="33" t="str">
        <f>ESPNData!AH67</f>
        <v>Odell Beckham, NYG WR  Q</v>
      </c>
      <c r="B66" s="33" t="str">
        <f t="shared" si="3"/>
        <v>Odell Beckham</v>
      </c>
      <c r="C66" s="64" t="str">
        <f t="shared" si="4"/>
        <v>NYG</v>
      </c>
      <c r="D66" s="117" t="str">
        <f>IF(OR(($A66=Settings!$A$31),($A66=Settings!$A$32),ISERROR(VLOOKUP($B66,FFTodayData!$AB:$AK,8,0))),"",VLOOKUP($B66,FFTodayData!$AB:$AK,8,0))</f>
        <v/>
      </c>
      <c r="E66" s="33" t="str">
        <f>IF(OR(($A66=Settings!$A$31),($A66=Settings!$A$32),ISERROR(VLOOKUP($B66,FFTodayData!$AB:$AK,9,0))),"",VLOOKUP($B66,FFTodayData!$AB:$AK,9,0))</f>
        <v/>
      </c>
      <c r="F66" s="33" t="str">
        <f>IF(OR(($A66=Settings!$A$31),($A66=Settings!$A$32),ISERROR(VLOOKUP($B66,FFTodayData!$AB:$AK,4,0))),"",VLOOKUP($B66,FFTodayData!$AB:$AK,4,0))</f>
        <v/>
      </c>
      <c r="G66" s="33" t="str">
        <f>IF(OR(($A66=Settings!$A$31),($A66=Settings!$A$32),ISERROR(VLOOKUP($B66,FFTodayData!$AB:$AK,5,0))),"",VLOOKUP($B66,FFTodayData!$AB:$AK,5,0))</f>
        <v/>
      </c>
      <c r="H66" s="64" t="str">
        <f>IF(OR(($A66=Settings!$A$31),($A66=Settings!$A$32),ISERROR(VLOOKUP($B66,FFTodayData!$AB:$AK,6,0))),"",VLOOKUP($B66,FFTodayData!$AB:$AK,6,0))</f>
        <v/>
      </c>
      <c r="I66" s="117">
        <f>IF(ISERROR(VLOOKUP($A66,ESPNData!$AH:$AU,9,0)),"",VLOOKUP($A66,ESPNData!$AH:$AU,9,0))</f>
        <v>15</v>
      </c>
      <c r="J66" s="33">
        <f>IF(ISERROR(VLOOKUP($A66,ESPNData!$AH:$AU,10,0)),"",VLOOKUP($A66,ESPNData!$AH:$AU,10,0))</f>
        <v>0</v>
      </c>
      <c r="K66" s="33">
        <f>IF(ISERROR(VLOOKUP($A66,ESPNData!$AH:$AU,11,0)),"",VLOOKUP($A66,ESPNData!$AH:$AU,11,0))</f>
        <v>37</v>
      </c>
      <c r="L66" s="33">
        <f>IF(ISERROR(VLOOKUP($A66,ESPNData!$AH:$AU,12,0)),"",VLOOKUP($A66,ESPNData!$AH:$AU,12,0))</f>
        <v>586</v>
      </c>
      <c r="M66" s="64">
        <f>IF(ISERROR(VLOOKUP($A66,ESPNData!$AH:$AU,13,0)),"",VLOOKUP($A66,ESPNData!$AH:$AU,13,0))</f>
        <v>4</v>
      </c>
      <c r="N66" s="117">
        <f>IF(OR(($A66=Settings!$A$31),($A66=Settings!$A$32),ISERROR(VLOOKUP($B66,SportslineData!$AD:$AK,3,0))),"",ROUND(VLOOKUP($B66,SportslineData!$AD:$AK,3,0),0))</f>
        <v>40</v>
      </c>
      <c r="O66" s="33">
        <f>IF(OR(($A66=Settings!$A$31),($A66=Settings!$A$32),ISERROR(VLOOKUP($B66,SportslineData!$AD:$AK,4,0))),"",VLOOKUP($B66,SportslineData!$AD:$AK,4,0))</f>
        <v>599</v>
      </c>
      <c r="P66" s="33">
        <f>IF(OR(($A66=Settings!$A$31),($A66=Settings!$A$32),ISERROR(VLOOKUP($B66,SportslineData!$AD:$AK,6,0))),"",ROUND(VLOOKUP($B66,SportslineData!$AD:$AK,6,0),0))</f>
        <v>4</v>
      </c>
      <c r="Q66" s="64">
        <f>IF(OR(($A66=Settings!$A$31),($A66=Settings!$A$32),ISERROR(VLOOKUP($B66,SportslineData!$AD:$AK,7,0))),"",ROUND(VLOOKUP($B66,SportslineData!$AD:$AK,7,0),0))</f>
        <v>1</v>
      </c>
      <c r="R66" s="117"/>
      <c r="S66" s="33"/>
      <c r="T66" s="38">
        <f>IF(ISERROR(ROUND((((((ROUNDDOWN((D66/5),0)*Settings!$F$7)+(E66*Settings!$I$7))+(F66*Settings!$I$11))+(ROUNDDOWN((G66/5),0)*Settings!$F$11))+(H66*Settings!$F$12)),1)),0,ROUND((((((ROUNDDOWN((D66/5),0)*Settings!$F$7)+(E66*Settings!$I$7))+(F66*Settings!$I$11))+(ROUNDDOWN((G66/5),0)*Settings!$F$11))+(H66*Settings!$F$12)),1))</f>
        <v>0</v>
      </c>
      <c r="U66" s="38">
        <f>IF(ISERROR(ROUND((((((ROUNDDOWN((I66/5),0)*Settings!$F$7)+(J66*Settings!$I$7))+(K66*Settings!$I$11))+(ROUNDDOWN((L66/5),0)*Settings!$F$11))+(M66*Settings!$F$12)),1)),0,ROUND((((((ROUNDDOWN((I66/5),0)*Settings!$F$7)+(J66*Settings!$I$7))+(K66*Settings!$I$11))+(ROUNDDOWN((L66/5),0)*Settings!$F$11))+(M66*Settings!$F$12)),1))</f>
        <v>102.5</v>
      </c>
      <c r="V66" s="38">
        <f>IF((N66=""),0,((((N66*Settings!$I$11)+(ROUND((O66/5),0)*Settings!$F$11))+(P66*Settings!$F$12))+(Q66*Settings!$F$15)))</f>
        <v>103</v>
      </c>
      <c r="W66" s="66">
        <f>ROUND((((T66*Settings!$B$21)+(U66*Settings!$B$22))+(V66*Settings!$B$23)),1)</f>
        <v>68.8</v>
      </c>
      <c r="X66" s="66">
        <f>IF(ISERROR(VLOOKUP(RANK(W66,W$4:W$182),X$4:X65,1,0)),RANK(W66,W$4:W$182),IF(ISERROR(VLOOKUP((RANK(W66,W$4:W$182)+1),X$4:X65,1,0)),(RANK(W66,W$4:W$182)+1),IF(ISERROR(VLOOKUP((RANK(W66,W$4:W$182)+2),X$4:X65,1,0)),(RANK(W66,W$4:W$182)+2),(RANK(W66,W$4:W$182)+3))))</f>
        <v>79</v>
      </c>
      <c r="Y66" t="str">
        <f t="shared" si="5"/>
        <v>Odell Beckham</v>
      </c>
    </row>
    <row r="67" spans="1:25" ht="12.75" customHeight="1">
      <c r="A67" s="33" t="str">
        <f>ESPNData!AH68</f>
        <v>Brian Hartline, Mia WR</v>
      </c>
      <c r="B67" s="33" t="str">
        <f t="shared" si="3"/>
        <v>Brian Hartline</v>
      </c>
      <c r="C67" s="64" t="str">
        <f t="shared" si="4"/>
        <v>MIA</v>
      </c>
      <c r="D67" s="117">
        <f>IF(OR(($A67=Settings!$A$31),($A67=Settings!$A$32),ISERROR(VLOOKUP($B67,FFTodayData!$AB:$AK,8,0))),"",VLOOKUP($B67,FFTodayData!$AB:$AK,8,0))</f>
        <v>0</v>
      </c>
      <c r="E67" s="33">
        <f>IF(OR(($A67=Settings!$A$31),($A67=Settings!$A$32),ISERROR(VLOOKUP($B67,FFTodayData!$AB:$AK,9,0))),"",VLOOKUP($B67,FFTodayData!$AB:$AK,9,0))</f>
        <v>0</v>
      </c>
      <c r="F67" s="33">
        <f>IF(OR(($A67=Settings!$A$31),($A67=Settings!$A$32),ISERROR(VLOOKUP($B67,FFTodayData!$AB:$AK,4,0))),"",VLOOKUP($B67,FFTodayData!$AB:$AK,4,0))</f>
        <v>70</v>
      </c>
      <c r="G67" s="33">
        <f>IF(OR(($A67=Settings!$A$31),($A67=Settings!$A$32),ISERROR(VLOOKUP($B67,FFTodayData!$AB:$AK,5,0))),"",VLOOKUP($B67,FFTodayData!$AB:$AK,5,0))</f>
        <v>960</v>
      </c>
      <c r="H67" s="64">
        <f>IF(OR(($A67=Settings!$A$31),($A67=Settings!$A$32),ISERROR(VLOOKUP($B67,FFTodayData!$AB:$AK,6,0))),"",VLOOKUP($B67,FFTodayData!$AB:$AK,6,0))</f>
        <v>5</v>
      </c>
      <c r="I67" s="117">
        <f>IF(ISERROR(VLOOKUP($A67,ESPNData!$AH:$AU,9,0)),"",VLOOKUP($A67,ESPNData!$AH:$AU,9,0))</f>
        <v>0</v>
      </c>
      <c r="J67" s="33">
        <f>IF(ISERROR(VLOOKUP($A67,ESPNData!$AH:$AU,10,0)),"",VLOOKUP($A67,ESPNData!$AH:$AU,10,0))</f>
        <v>0</v>
      </c>
      <c r="K67" s="33">
        <f>IF(ISERROR(VLOOKUP($A67,ESPNData!$AH:$AU,11,0)),"",VLOOKUP($A67,ESPNData!$AH:$AU,11,0))</f>
        <v>59</v>
      </c>
      <c r="L67" s="33">
        <f>IF(ISERROR(VLOOKUP($A67,ESPNData!$AH:$AU,12,0)),"",VLOOKUP($A67,ESPNData!$AH:$AU,12,0))</f>
        <v>786</v>
      </c>
      <c r="M67" s="64">
        <f>IF(ISERROR(VLOOKUP($A67,ESPNData!$AH:$AU,13,0)),"",VLOOKUP($A67,ESPNData!$AH:$AU,13,0))</f>
        <v>2</v>
      </c>
      <c r="N67" s="117">
        <f>IF(OR(($A67=Settings!$A$31),($A67=Settings!$A$32),ISERROR(VLOOKUP($B67,SportslineData!$AD:$AK,3,0))),"",ROUND(VLOOKUP($B67,SportslineData!$AD:$AK,3,0),0))</f>
        <v>71</v>
      </c>
      <c r="O67" s="33">
        <f>IF(OR(($A67=Settings!$A$31),($A67=Settings!$A$32),ISERROR(VLOOKUP($B67,SportslineData!$AD:$AK,4,0))),"",VLOOKUP($B67,SportslineData!$AD:$AK,4,0))</f>
        <v>946</v>
      </c>
      <c r="P67" s="33">
        <f>IF(OR(($A67=Settings!$A$31),($A67=Settings!$A$32),ISERROR(VLOOKUP($B67,SportslineData!$AD:$AK,6,0))),"",ROUND(VLOOKUP($B67,SportslineData!$AD:$AK,6,0),0))</f>
        <v>2</v>
      </c>
      <c r="Q67" s="64">
        <f>IF(OR(($A67=Settings!$A$31),($A67=Settings!$A$32),ISERROR(VLOOKUP($B67,SportslineData!$AD:$AK,7,0))),"",ROUND(VLOOKUP($B67,SportslineData!$AD:$AK,7,0),0))</f>
        <v>1</v>
      </c>
      <c r="R67" s="117"/>
      <c r="S67" s="33"/>
      <c r="T67" s="38">
        <f>IF(ISERROR(ROUND((((((ROUNDDOWN((D67/5),0)*Settings!$F$7)+(E67*Settings!$I$7))+(F67*Settings!$I$11))+(ROUNDDOWN((G67/5),0)*Settings!$F$11))+(H67*Settings!$F$12)),1)),0,ROUND((((((ROUNDDOWN((D67/5),0)*Settings!$F$7)+(E67*Settings!$I$7))+(F67*Settings!$I$11))+(ROUNDDOWN((G67/5),0)*Settings!$F$11))+(H67*Settings!$F$12)),1))</f>
        <v>161</v>
      </c>
      <c r="U67" s="38">
        <f>IF(ISERROR(ROUND((((((ROUNDDOWN((I67/5),0)*Settings!$F$7)+(J67*Settings!$I$7))+(K67*Settings!$I$11))+(ROUNDDOWN((L67/5),0)*Settings!$F$11))+(M67*Settings!$F$12)),1)),0,ROUND((((((ROUNDDOWN((I67/5),0)*Settings!$F$7)+(J67*Settings!$I$7))+(K67*Settings!$I$11))+(ROUNDDOWN((L67/5),0)*Settings!$F$11))+(M67*Settings!$F$12)),1))</f>
        <v>120</v>
      </c>
      <c r="V67" s="38">
        <f>IF((N67=""),0,((((N67*Settings!$I$11)+(ROUND((O67/5),0)*Settings!$F$11))+(P67*Settings!$F$12))+(Q67*Settings!$F$15)))</f>
        <v>141</v>
      </c>
      <c r="W67" s="66">
        <f>ROUND((((T67*Settings!$B$21)+(U67*Settings!$B$22))+(V67*Settings!$B$23)),1)</f>
        <v>140.69999999999999</v>
      </c>
      <c r="X67" s="66">
        <f>IF(ISERROR(VLOOKUP(RANK(W67,W$4:W$182),X$4:X66,1,0)),RANK(W67,W$4:W$182),IF(ISERROR(VLOOKUP((RANK(W67,W$4:W$182)+1),X$4:X66,1,0)),(RANK(W67,W$4:W$182)+1),IF(ISERROR(VLOOKUP((RANK(W67,W$4:W$182)+2),X$4:X66,1,0)),(RANK(W67,W$4:W$182)+2),(RANK(W67,W$4:W$182)+3))))</f>
        <v>40</v>
      </c>
      <c r="Y67" t="str">
        <f t="shared" si="5"/>
        <v>Brian Hartline</v>
      </c>
    </row>
    <row r="68" spans="1:25" ht="12.75" customHeight="1">
      <c r="A68" s="33" t="str">
        <f>ESPNData!AH69</f>
        <v>Aaron Dobson, NE WR  P</v>
      </c>
      <c r="B68" s="33" t="str">
        <f t="shared" ref="B68:B99" si="6">IF(OR((A68=""),(A68=0)),"",IF(ISERROR(FIND("*",A68)),LEFT(A68,(FIND(",",A68)-1)),LEFT(A68,(FIND("*",A68)-1))))</f>
        <v>Aaron Dobson</v>
      </c>
      <c r="C68" s="64" t="str">
        <f t="shared" ref="C68:C99" si="7">IF((A68=""),"",UPPER(RIGHT(LEFT(A68,(FIND("WR",A68)-2)),(LEN(LEFT(A68,(FIND("WR",A68)-2)))-(FIND(",",LEFT(A68,(FIND("WR",A68)-2)))+1)))))</f>
        <v>NE</v>
      </c>
      <c r="D68" s="117" t="str">
        <f>IF(OR(($A68=Settings!$A$31),($A68=Settings!$A$32),ISERROR(VLOOKUP($B68,FFTodayData!$AB:$AK,8,0))),"",VLOOKUP($B68,FFTodayData!$AB:$AK,8,0))</f>
        <v/>
      </c>
      <c r="E68" s="33" t="str">
        <f>IF(OR(($A68=Settings!$A$31),($A68=Settings!$A$32),ISERROR(VLOOKUP($B68,FFTodayData!$AB:$AK,9,0))),"",VLOOKUP($B68,FFTodayData!$AB:$AK,9,0))</f>
        <v/>
      </c>
      <c r="F68" s="33" t="str">
        <f>IF(OR(($A68=Settings!$A$31),($A68=Settings!$A$32),ISERROR(VLOOKUP($B68,FFTodayData!$AB:$AK,4,0))),"",VLOOKUP($B68,FFTodayData!$AB:$AK,4,0))</f>
        <v/>
      </c>
      <c r="G68" s="33" t="str">
        <f>IF(OR(($A68=Settings!$A$31),($A68=Settings!$A$32),ISERROR(VLOOKUP($B68,FFTodayData!$AB:$AK,5,0))),"",VLOOKUP($B68,FFTodayData!$AB:$AK,5,0))</f>
        <v/>
      </c>
      <c r="H68" s="64" t="str">
        <f>IF(OR(($A68=Settings!$A$31),($A68=Settings!$A$32),ISERROR(VLOOKUP($B68,FFTodayData!$AB:$AK,6,0))),"",VLOOKUP($B68,FFTodayData!$AB:$AK,6,0))</f>
        <v/>
      </c>
      <c r="I68" s="117">
        <f>IF(ISERROR(VLOOKUP($A68,ESPNData!$AH:$AU,9,0)),"",VLOOKUP($A68,ESPNData!$AH:$AU,9,0))</f>
        <v>0</v>
      </c>
      <c r="J68" s="33">
        <f>IF(ISERROR(VLOOKUP($A68,ESPNData!$AH:$AU,10,0)),"",VLOOKUP($A68,ESPNData!$AH:$AU,10,0))</f>
        <v>0</v>
      </c>
      <c r="K68" s="33">
        <f>IF(ISERROR(VLOOKUP($A68,ESPNData!$AH:$AU,11,0)),"",VLOOKUP($A68,ESPNData!$AH:$AU,11,0))</f>
        <v>43</v>
      </c>
      <c r="L68" s="33">
        <f>IF(ISERROR(VLOOKUP($A68,ESPNData!$AH:$AU,12,0)),"",VLOOKUP($A68,ESPNData!$AH:$AU,12,0))</f>
        <v>612</v>
      </c>
      <c r="M68" s="64">
        <f>IF(ISERROR(VLOOKUP($A68,ESPNData!$AH:$AU,13,0)),"",VLOOKUP($A68,ESPNData!$AH:$AU,13,0))</f>
        <v>5</v>
      </c>
      <c r="N68" s="117">
        <f>IF(OR(($A68=Settings!$A$31),($A68=Settings!$A$32),ISERROR(VLOOKUP($B68,SportslineData!$AD:$AK,3,0))),"",ROUND(VLOOKUP($B68,SportslineData!$AD:$AK,3,0),0))</f>
        <v>36</v>
      </c>
      <c r="O68" s="33">
        <f>IF(OR(($A68=Settings!$A$31),($A68=Settings!$A$32),ISERROR(VLOOKUP($B68,SportslineData!$AD:$AK,4,0))),"",VLOOKUP($B68,SportslineData!$AD:$AK,4,0))</f>
        <v>511</v>
      </c>
      <c r="P68" s="33">
        <f>IF(OR(($A68=Settings!$A$31),($A68=Settings!$A$32),ISERROR(VLOOKUP($B68,SportslineData!$AD:$AK,6,0))),"",ROUND(VLOOKUP($B68,SportslineData!$AD:$AK,6,0),0))</f>
        <v>3</v>
      </c>
      <c r="Q68" s="64">
        <f>IF(OR(($A68=Settings!$A$31),($A68=Settings!$A$32),ISERROR(VLOOKUP($B68,SportslineData!$AD:$AK,7,0))),"",ROUND(VLOOKUP($B68,SportslineData!$AD:$AK,7,0),0))</f>
        <v>0</v>
      </c>
      <c r="R68" s="117"/>
      <c r="S68" s="33"/>
      <c r="T68" s="38">
        <f>IF(ISERROR(ROUND((((((ROUNDDOWN((D68/5),0)*Settings!$F$7)+(E68*Settings!$I$7))+(F68*Settings!$I$11))+(ROUNDDOWN((G68/5),0)*Settings!$F$11))+(H68*Settings!$F$12)),1)),0,ROUND((((((ROUNDDOWN((D68/5),0)*Settings!$F$7)+(E68*Settings!$I$7))+(F68*Settings!$I$11))+(ROUNDDOWN((G68/5),0)*Settings!$F$11))+(H68*Settings!$F$12)),1))</f>
        <v>0</v>
      </c>
      <c r="U68" s="38">
        <f>IF(ISERROR(ROUND((((((ROUNDDOWN((I68/5),0)*Settings!$F$7)+(J68*Settings!$I$7))+(K68*Settings!$I$11))+(ROUNDDOWN((L68/5),0)*Settings!$F$11))+(M68*Settings!$F$12)),1)),0,ROUND((((((ROUNDDOWN((I68/5),0)*Settings!$F$7)+(J68*Settings!$I$7))+(K68*Settings!$I$11))+(ROUNDDOWN((L68/5),0)*Settings!$F$11))+(M68*Settings!$F$12)),1))</f>
        <v>112.5</v>
      </c>
      <c r="V68" s="38">
        <f>IF((N68=""),0,((((N68*Settings!$I$11)+(ROUND((O68/5),0)*Settings!$F$11))+(P68*Settings!$F$12))+(Q68*Settings!$F$15)))</f>
        <v>87</v>
      </c>
      <c r="W68" s="66">
        <f>ROUND((((T68*Settings!$B$21)+(U68*Settings!$B$22))+(V68*Settings!$B$23)),1)</f>
        <v>66.7</v>
      </c>
      <c r="X68" s="66">
        <f>IF(ISERROR(VLOOKUP(RANK(W68,W$4:W$182),X$4:X67,1,0)),RANK(W68,W$4:W$182),IF(ISERROR(VLOOKUP((RANK(W68,W$4:W$182)+1),X$4:X67,1,0)),(RANK(W68,W$4:W$182)+1),IF(ISERROR(VLOOKUP((RANK(W68,W$4:W$182)+2),X$4:X67,1,0)),(RANK(W68,W$4:W$182)+2),(RANK(W68,W$4:W$182)+3))))</f>
        <v>82</v>
      </c>
      <c r="Y68" t="str">
        <f t="shared" ref="Y68:Y99" si="8">B68</f>
        <v>Aaron Dobson</v>
      </c>
    </row>
    <row r="69" spans="1:25" ht="12.75" customHeight="1">
      <c r="A69" s="33" t="str">
        <f>ESPNData!AH70</f>
        <v>Jerricho Cotchery, Car WR</v>
      </c>
      <c r="B69" s="33" t="str">
        <f t="shared" si="6"/>
        <v>Jerricho Cotchery</v>
      </c>
      <c r="C69" s="64" t="str">
        <f t="shared" si="7"/>
        <v>CAR</v>
      </c>
      <c r="D69" s="117">
        <f>IF(OR(($A69=Settings!$A$31),($A69=Settings!$A$32),ISERROR(VLOOKUP($B69,FFTodayData!$AB:$AK,8,0))),"",VLOOKUP($B69,FFTodayData!$AB:$AK,8,0))</f>
        <v>0</v>
      </c>
      <c r="E69" s="33">
        <f>IF(OR(($A69=Settings!$A$31),($A69=Settings!$A$32),ISERROR(VLOOKUP($B69,FFTodayData!$AB:$AK,9,0))),"",VLOOKUP($B69,FFTodayData!$AB:$AK,9,0))</f>
        <v>0</v>
      </c>
      <c r="F69" s="33">
        <f>IF(OR(($A69=Settings!$A$31),($A69=Settings!$A$32),ISERROR(VLOOKUP($B69,FFTodayData!$AB:$AK,4,0))),"",VLOOKUP($B69,FFTodayData!$AB:$AK,4,0))</f>
        <v>11</v>
      </c>
      <c r="G69" s="33">
        <f>IF(OR(($A69=Settings!$A$31),($A69=Settings!$A$32),ISERROR(VLOOKUP($B69,FFTodayData!$AB:$AK,5,0))),"",VLOOKUP($B69,FFTodayData!$AB:$AK,5,0))</f>
        <v>156</v>
      </c>
      <c r="H69" s="64">
        <f>IF(OR(($A69=Settings!$A$31),($A69=Settings!$A$32),ISERROR(VLOOKUP($B69,FFTodayData!$AB:$AK,6,0))),"",VLOOKUP($B69,FFTodayData!$AB:$AK,6,0))</f>
        <v>0</v>
      </c>
      <c r="I69" s="117">
        <f>IF(ISERROR(VLOOKUP($A69,ESPNData!$AH:$AU,9,0)),"",VLOOKUP($A69,ESPNData!$AH:$AU,9,0))</f>
        <v>0</v>
      </c>
      <c r="J69" s="33">
        <f>IF(ISERROR(VLOOKUP($A69,ESPNData!$AH:$AU,10,0)),"",VLOOKUP($A69,ESPNData!$AH:$AU,10,0))</f>
        <v>0</v>
      </c>
      <c r="K69" s="33">
        <f>IF(ISERROR(VLOOKUP($A69,ESPNData!$AH:$AU,11,0)),"",VLOOKUP($A69,ESPNData!$AH:$AU,11,0))</f>
        <v>59</v>
      </c>
      <c r="L69" s="33">
        <f>IF(ISERROR(VLOOKUP($A69,ESPNData!$AH:$AU,12,0)),"",VLOOKUP($A69,ESPNData!$AH:$AU,12,0))</f>
        <v>699</v>
      </c>
      <c r="M69" s="64">
        <f>IF(ISERROR(VLOOKUP($A69,ESPNData!$AH:$AU,13,0)),"",VLOOKUP($A69,ESPNData!$AH:$AU,13,0))</f>
        <v>3</v>
      </c>
      <c r="N69" s="117">
        <f>IF(OR(($A69=Settings!$A$31),($A69=Settings!$A$32),ISERROR(VLOOKUP($B69,SportslineData!$AD:$AK,3,0))),"",ROUND(VLOOKUP($B69,SportslineData!$AD:$AK,3,0),0))</f>
        <v>49</v>
      </c>
      <c r="O69" s="33">
        <f>IF(OR(($A69=Settings!$A$31),($A69=Settings!$A$32),ISERROR(VLOOKUP($B69,SportslineData!$AD:$AK,4,0))),"",VLOOKUP($B69,SportslineData!$AD:$AK,4,0))</f>
        <v>659.5</v>
      </c>
      <c r="P69" s="33">
        <f>IF(OR(($A69=Settings!$A$31),($A69=Settings!$A$32),ISERROR(VLOOKUP($B69,SportslineData!$AD:$AK,6,0))),"",ROUND(VLOOKUP($B69,SportslineData!$AD:$AK,6,0),0))</f>
        <v>4</v>
      </c>
      <c r="Q69" s="64">
        <f>IF(OR(($A69=Settings!$A$31),($A69=Settings!$A$32),ISERROR(VLOOKUP($B69,SportslineData!$AD:$AK,7,0))),"",ROUND(VLOOKUP($B69,SportslineData!$AD:$AK,7,0),0))</f>
        <v>2</v>
      </c>
      <c r="R69" s="117"/>
      <c r="S69" s="33"/>
      <c r="T69" s="38">
        <f>IF(ISERROR(ROUND((((((ROUNDDOWN((D69/5),0)*Settings!$F$7)+(E69*Settings!$I$7))+(F69*Settings!$I$11))+(ROUNDDOWN((G69/5),0)*Settings!$F$11))+(H69*Settings!$F$12)),1)),0,ROUND((((((ROUNDDOWN((D69/5),0)*Settings!$F$7)+(E69*Settings!$I$7))+(F69*Settings!$I$11))+(ROUNDDOWN((G69/5),0)*Settings!$F$11))+(H69*Settings!$F$12)),1))</f>
        <v>21</v>
      </c>
      <c r="U69" s="38">
        <f>IF(ISERROR(ROUND((((((ROUNDDOWN((I69/5),0)*Settings!$F$7)+(J69*Settings!$I$7))+(K69*Settings!$I$11))+(ROUNDDOWN((L69/5),0)*Settings!$F$11))+(M69*Settings!$F$12)),1)),0,ROUND((((((ROUNDDOWN((I69/5),0)*Settings!$F$7)+(J69*Settings!$I$7))+(K69*Settings!$I$11))+(ROUNDDOWN((L69/5),0)*Settings!$F$11))+(M69*Settings!$F$12)),1))</f>
        <v>117</v>
      </c>
      <c r="V69" s="38">
        <f>IF((N69=""),0,((((N69*Settings!$I$11)+(ROUND((O69/5),0)*Settings!$F$11))+(P69*Settings!$F$12))+(Q69*Settings!$F$15)))</f>
        <v>112.5</v>
      </c>
      <c r="W69" s="66">
        <f>ROUND((((T69*Settings!$B$21)+(U69*Settings!$B$22))+(V69*Settings!$B$23)),1)</f>
        <v>83.8</v>
      </c>
      <c r="X69" s="66">
        <f>IF(ISERROR(VLOOKUP(RANK(W69,W$4:W$182),X$4:X68,1,0)),RANK(W69,W$4:W$182),IF(ISERROR(VLOOKUP((RANK(W69,W$4:W$182)+1),X$4:X68,1,0)),(RANK(W69,W$4:W$182)+1),IF(ISERROR(VLOOKUP((RANK(W69,W$4:W$182)+2),X$4:X68,1,0)),(RANK(W69,W$4:W$182)+2),(RANK(W69,W$4:W$182)+3))))</f>
        <v>65</v>
      </c>
      <c r="Y69" t="str">
        <f t="shared" si="8"/>
        <v>Jerricho Cotchery</v>
      </c>
    </row>
    <row r="70" spans="1:25" ht="12.75" customHeight="1">
      <c r="A70" s="33" t="str">
        <f>ESPNData!AH71</f>
        <v>Kelvin Benjamin, Car WR</v>
      </c>
      <c r="B70" s="33" t="str">
        <f t="shared" si="6"/>
        <v>Kelvin Benjamin</v>
      </c>
      <c r="C70" s="64" t="str">
        <f t="shared" si="7"/>
        <v>CAR</v>
      </c>
      <c r="D70" s="117">
        <f>IF(OR(($A70=Settings!$A$31),($A70=Settings!$A$32),ISERROR(VLOOKUP($B70,FFTodayData!$AB:$AK,8,0))),"",VLOOKUP($B70,FFTodayData!$AB:$AK,8,0))</f>
        <v>0</v>
      </c>
      <c r="E70" s="33">
        <f>IF(OR(($A70=Settings!$A$31),($A70=Settings!$A$32),ISERROR(VLOOKUP($B70,FFTodayData!$AB:$AK,9,0))),"",VLOOKUP($B70,FFTodayData!$AB:$AK,9,0))</f>
        <v>0</v>
      </c>
      <c r="F70" s="33">
        <f>IF(OR(($A70=Settings!$A$31),($A70=Settings!$A$32),ISERROR(VLOOKUP($B70,FFTodayData!$AB:$AK,4,0))),"",VLOOKUP($B70,FFTodayData!$AB:$AK,4,0))</f>
        <v>55</v>
      </c>
      <c r="G70" s="33">
        <f>IF(OR(($A70=Settings!$A$31),($A70=Settings!$A$32),ISERROR(VLOOKUP($B70,FFTodayData!$AB:$AK,5,0))),"",VLOOKUP($B70,FFTodayData!$AB:$AK,5,0))</f>
        <v>724</v>
      </c>
      <c r="H70" s="64">
        <f>IF(OR(($A70=Settings!$A$31),($A70=Settings!$A$32),ISERROR(VLOOKUP($B70,FFTodayData!$AB:$AK,6,0))),"",VLOOKUP($B70,FFTodayData!$AB:$AK,6,0))</f>
        <v>6</v>
      </c>
      <c r="I70" s="117">
        <f>IF(ISERROR(VLOOKUP($A70,ESPNData!$AH:$AU,9,0)),"",VLOOKUP($A70,ESPNData!$AH:$AU,9,0))</f>
        <v>0</v>
      </c>
      <c r="J70" s="33">
        <f>IF(ISERROR(VLOOKUP($A70,ESPNData!$AH:$AU,10,0)),"",VLOOKUP($A70,ESPNData!$AH:$AU,10,0))</f>
        <v>0</v>
      </c>
      <c r="K70" s="33">
        <f>IF(ISERROR(VLOOKUP($A70,ESPNData!$AH:$AU,11,0)),"",VLOOKUP($A70,ESPNData!$AH:$AU,11,0))</f>
        <v>47</v>
      </c>
      <c r="L70" s="33">
        <f>IF(ISERROR(VLOOKUP($A70,ESPNData!$AH:$AU,12,0)),"",VLOOKUP($A70,ESPNData!$AH:$AU,12,0))</f>
        <v>691</v>
      </c>
      <c r="M70" s="64">
        <f>IF(ISERROR(VLOOKUP($A70,ESPNData!$AH:$AU,13,0)),"",VLOOKUP($A70,ESPNData!$AH:$AU,13,0))</f>
        <v>4</v>
      </c>
      <c r="N70" s="117">
        <f>IF(OR(($A70=Settings!$A$31),($A70=Settings!$A$32),ISERROR(VLOOKUP($B70,SportslineData!$AD:$AK,3,0))),"",ROUND(VLOOKUP($B70,SportslineData!$AD:$AK,3,0),0))</f>
        <v>56</v>
      </c>
      <c r="O70" s="33">
        <f>IF(OR(($A70=Settings!$A$31),($A70=Settings!$A$32),ISERROR(VLOOKUP($B70,SportslineData!$AD:$AK,4,0))),"",VLOOKUP($B70,SportslineData!$AD:$AK,4,0))</f>
        <v>821.5</v>
      </c>
      <c r="P70" s="33">
        <f>IF(OR(($A70=Settings!$A$31),($A70=Settings!$A$32),ISERROR(VLOOKUP($B70,SportslineData!$AD:$AK,6,0))),"",ROUND(VLOOKUP($B70,SportslineData!$AD:$AK,6,0),0))</f>
        <v>7</v>
      </c>
      <c r="Q70" s="64">
        <f>IF(OR(($A70=Settings!$A$31),($A70=Settings!$A$32),ISERROR(VLOOKUP($B70,SportslineData!$AD:$AK,7,0))),"",ROUND(VLOOKUP($B70,SportslineData!$AD:$AK,7,0),0))</f>
        <v>1</v>
      </c>
      <c r="R70" s="117"/>
      <c r="S70" s="33"/>
      <c r="T70" s="38">
        <f>IF(ISERROR(ROUND((((((ROUNDDOWN((D70/5),0)*Settings!$F$7)+(E70*Settings!$I$7))+(F70*Settings!$I$11))+(ROUNDDOWN((G70/5),0)*Settings!$F$11))+(H70*Settings!$F$12)),1)),0,ROUND((((((ROUNDDOWN((D70/5),0)*Settings!$F$7)+(E70*Settings!$I$7))+(F70*Settings!$I$11))+(ROUNDDOWN((G70/5),0)*Settings!$F$11))+(H70*Settings!$F$12)),1))</f>
        <v>135.5</v>
      </c>
      <c r="U70" s="38">
        <f>IF(ISERROR(ROUND((((((ROUNDDOWN((I70/5),0)*Settings!$F$7)+(J70*Settings!$I$7))+(K70*Settings!$I$11))+(ROUNDDOWN((L70/5),0)*Settings!$F$11))+(M70*Settings!$F$12)),1)),0,ROUND((((((ROUNDDOWN((I70/5),0)*Settings!$F$7)+(J70*Settings!$I$7))+(K70*Settings!$I$11))+(ROUNDDOWN((L70/5),0)*Settings!$F$11))+(M70*Settings!$F$12)),1))</f>
        <v>116.5</v>
      </c>
      <c r="V70" s="38">
        <f>IF((N70=""),0,((((N70*Settings!$I$11)+(ROUND((O70/5),0)*Settings!$F$11))+(P70*Settings!$F$12))+(Q70*Settings!$F$15)))</f>
        <v>151</v>
      </c>
      <c r="W70" s="66">
        <f>ROUND((((T70*Settings!$B$21)+(U70*Settings!$B$22))+(V70*Settings!$B$23)),1)</f>
        <v>134.5</v>
      </c>
      <c r="X70" s="66">
        <f>IF(ISERROR(VLOOKUP(RANK(W70,W$4:W$182),X$4:X69,1,0)),RANK(W70,W$4:W$182),IF(ISERROR(VLOOKUP((RANK(W70,W$4:W$182)+1),X$4:X69,1,0)),(RANK(W70,W$4:W$182)+1),IF(ISERROR(VLOOKUP((RANK(W70,W$4:W$182)+2),X$4:X69,1,0)),(RANK(W70,W$4:W$182)+2),(RANK(W70,W$4:W$182)+3))))</f>
        <v>44</v>
      </c>
      <c r="Y70" t="str">
        <f t="shared" si="8"/>
        <v>Kelvin Benjamin</v>
      </c>
    </row>
    <row r="71" spans="1:25" ht="12.75" customHeight="1">
      <c r="A71" s="33" t="str">
        <f>ESPNData!AH72</f>
        <v>Josh Gordon, Cle WR  SSPD</v>
      </c>
      <c r="B71" s="33" t="str">
        <f t="shared" si="6"/>
        <v>Josh Gordon</v>
      </c>
      <c r="C71" s="64" t="str">
        <f t="shared" si="7"/>
        <v>CLE</v>
      </c>
      <c r="D71" s="117">
        <f>IF(OR(($A71=Settings!$A$31),($A71=Settings!$A$32),ISERROR(VLOOKUP($B71,FFTodayData!$AB:$AK,8,0))),"",VLOOKUP($B71,FFTodayData!$AB:$AK,8,0))</f>
        <v>0</v>
      </c>
      <c r="E71" s="33">
        <f>IF(OR(($A71=Settings!$A$31),($A71=Settings!$A$32),ISERROR(VLOOKUP($B71,FFTodayData!$AB:$AK,9,0))),"",VLOOKUP($B71,FFTodayData!$AB:$AK,9,0))</f>
        <v>0</v>
      </c>
      <c r="F71" s="33">
        <f>IF(OR(($A71=Settings!$A$31),($A71=Settings!$A$32),ISERROR(VLOOKUP($B71,FFTodayData!$AB:$AK,4,0))),"",VLOOKUP($B71,FFTodayData!$AB:$AK,4,0))</f>
        <v>35</v>
      </c>
      <c r="G71" s="33">
        <f>IF(OR(($A71=Settings!$A$31),($A71=Settings!$A$32),ISERROR(VLOOKUP($B71,FFTodayData!$AB:$AK,5,0))),"",VLOOKUP($B71,FFTodayData!$AB:$AK,5,0))</f>
        <v>446</v>
      </c>
      <c r="H71" s="64">
        <f>IF(OR(($A71=Settings!$A$31),($A71=Settings!$A$32),ISERROR(VLOOKUP($B71,FFTodayData!$AB:$AK,6,0))),"",VLOOKUP($B71,FFTodayData!$AB:$AK,6,0))</f>
        <v>2</v>
      </c>
      <c r="I71" s="117">
        <f>IF(ISERROR(VLOOKUP($A71,ESPNData!$AH:$AU,9,0)),"",VLOOKUP($A71,ESPNData!$AH:$AU,9,0))</f>
        <v>11</v>
      </c>
      <c r="J71" s="33">
        <f>IF(ISERROR(VLOOKUP($A71,ESPNData!$AH:$AU,10,0)),"",VLOOKUP($A71,ESPNData!$AH:$AU,10,0))</f>
        <v>0</v>
      </c>
      <c r="K71" s="33">
        <f>IF(ISERROR(VLOOKUP($A71,ESPNData!$AH:$AU,11,0)),"",VLOOKUP($A71,ESPNData!$AH:$AU,11,0))</f>
        <v>22</v>
      </c>
      <c r="L71" s="33">
        <f>IF(ISERROR(VLOOKUP($A71,ESPNData!$AH:$AU,12,0)),"",VLOOKUP($A71,ESPNData!$AH:$AU,12,0))</f>
        <v>383</v>
      </c>
      <c r="M71" s="64">
        <f>IF(ISERROR(VLOOKUP($A71,ESPNData!$AH:$AU,13,0)),"",VLOOKUP($A71,ESPNData!$AH:$AU,13,0))</f>
        <v>3</v>
      </c>
      <c r="N71" s="117" t="str">
        <f>IF(OR(($A71=Settings!$A$31),($A71=Settings!$A$32),ISERROR(VLOOKUP($B71,SportslineData!$AD:$AK,3,0))),"",ROUND(VLOOKUP($B71,SportslineData!$AD:$AK,3,0),0))</f>
        <v/>
      </c>
      <c r="O71" s="33" t="str">
        <f>IF(OR(($A71=Settings!$A$31),($A71=Settings!$A$32),ISERROR(VLOOKUP($B71,SportslineData!$AD:$AK,4,0))),"",VLOOKUP($B71,SportslineData!$AD:$AK,4,0))</f>
        <v/>
      </c>
      <c r="P71" s="33" t="str">
        <f>IF(OR(($A71=Settings!$A$31),($A71=Settings!$A$32),ISERROR(VLOOKUP($B71,SportslineData!$AD:$AK,6,0))),"",ROUND(VLOOKUP($B71,SportslineData!$AD:$AK,6,0),0))</f>
        <v/>
      </c>
      <c r="Q71" s="64" t="str">
        <f>IF(OR(($A71=Settings!$A$31),($A71=Settings!$A$32),ISERROR(VLOOKUP($B71,SportslineData!$AD:$AK,7,0))),"",ROUND(VLOOKUP($B71,SportslineData!$AD:$AK,7,0),0))</f>
        <v/>
      </c>
      <c r="R71" s="117"/>
      <c r="S71" s="33"/>
      <c r="T71" s="38">
        <f>IF(ISERROR(ROUND((((((ROUNDDOWN((D71/5),0)*Settings!$F$7)+(E71*Settings!$I$7))+(F71*Settings!$I$11))+(ROUNDDOWN((G71/5),0)*Settings!$F$11))+(H71*Settings!$F$12)),1)),0,ROUND((((((ROUNDDOWN((D71/5),0)*Settings!$F$7)+(E71*Settings!$I$7))+(F71*Settings!$I$11))+(ROUNDDOWN((G71/5),0)*Settings!$F$11))+(H71*Settings!$F$12)),1))</f>
        <v>74</v>
      </c>
      <c r="U71" s="38">
        <f>IF(ISERROR(ROUND((((((ROUNDDOWN((I71/5),0)*Settings!$F$7)+(J71*Settings!$I$7))+(K71*Settings!$I$11))+(ROUNDDOWN((L71/5),0)*Settings!$F$11))+(M71*Settings!$F$12)),1)),0,ROUND((((((ROUNDDOWN((I71/5),0)*Settings!$F$7)+(J71*Settings!$I$7))+(K71*Settings!$I$11))+(ROUNDDOWN((L71/5),0)*Settings!$F$11))+(M71*Settings!$F$12)),1))</f>
        <v>68</v>
      </c>
      <c r="V71" s="38">
        <f>IF((N71=""),0,((((N71*Settings!$I$11)+(ROUND((O71/5),0)*Settings!$F$11))+(P71*Settings!$F$12))+(Q71*Settings!$F$15)))</f>
        <v>0</v>
      </c>
      <c r="W71" s="66">
        <f>ROUND((((T71*Settings!$B$21)+(U71*Settings!$B$22))+(V71*Settings!$B$23)),1)</f>
        <v>46.9</v>
      </c>
      <c r="X71" s="66">
        <f>IF(ISERROR(VLOOKUP(RANK(W71,W$4:W$182),X$4:X70,1,0)),RANK(W71,W$4:W$182),IF(ISERROR(VLOOKUP((RANK(W71,W$4:W$182)+1),X$4:X70,1,0)),(RANK(W71,W$4:W$182)+1),IF(ISERROR(VLOOKUP((RANK(W71,W$4:W$182)+2),X$4:X70,1,0)),(RANK(W71,W$4:W$182)+2),(RANK(W71,W$4:W$182)+3))))</f>
        <v>98</v>
      </c>
      <c r="Y71" t="str">
        <f t="shared" si="8"/>
        <v>Josh Gordon</v>
      </c>
    </row>
    <row r="72" spans="1:25" ht="12.75" customHeight="1">
      <c r="A72" s="33" t="str">
        <f>ESPNData!AH73</f>
        <v>Mike Williams, Buf WR</v>
      </c>
      <c r="B72" s="33" t="str">
        <f t="shared" si="6"/>
        <v>Mike Williams</v>
      </c>
      <c r="C72" s="64" t="str">
        <f t="shared" si="7"/>
        <v>BUF</v>
      </c>
      <c r="D72" s="117">
        <f>IF(OR(($A72=Settings!$A$31),($A72=Settings!$A$32),ISERROR(VLOOKUP($B72,FFTodayData!$AB:$AK,8,0))),"",VLOOKUP($B72,FFTodayData!$AB:$AK,8,0))</f>
        <v>0</v>
      </c>
      <c r="E72" s="33">
        <f>IF(OR(($A72=Settings!$A$31),($A72=Settings!$A$32),ISERROR(VLOOKUP($B72,FFTodayData!$AB:$AK,9,0))),"",VLOOKUP($B72,FFTodayData!$AB:$AK,9,0))</f>
        <v>0</v>
      </c>
      <c r="F72" s="33">
        <f>IF(OR(($A72=Settings!$A$31),($A72=Settings!$A$32),ISERROR(VLOOKUP($B72,FFTodayData!$AB:$AK,4,0))),"",VLOOKUP($B72,FFTodayData!$AB:$AK,4,0))</f>
        <v>48</v>
      </c>
      <c r="G72" s="33">
        <f>IF(OR(($A72=Settings!$A$31),($A72=Settings!$A$32),ISERROR(VLOOKUP($B72,FFTodayData!$AB:$AK,5,0))),"",VLOOKUP($B72,FFTodayData!$AB:$AK,5,0))</f>
        <v>662</v>
      </c>
      <c r="H72" s="64">
        <f>IF(OR(($A72=Settings!$A$31),($A72=Settings!$A$32),ISERROR(VLOOKUP($B72,FFTodayData!$AB:$AK,6,0))),"",VLOOKUP($B72,FFTodayData!$AB:$AK,6,0))</f>
        <v>4</v>
      </c>
      <c r="I72" s="117">
        <f>IF(ISERROR(VLOOKUP($A72,ESPNData!$AH:$AU,9,0)),"",VLOOKUP($A72,ESPNData!$AH:$AU,9,0))</f>
        <v>0</v>
      </c>
      <c r="J72" s="33">
        <f>IF(ISERROR(VLOOKUP($A72,ESPNData!$AH:$AU,10,0)),"",VLOOKUP($A72,ESPNData!$AH:$AU,10,0))</f>
        <v>0</v>
      </c>
      <c r="K72" s="33">
        <f>IF(ISERROR(VLOOKUP($A72,ESPNData!$AH:$AU,11,0)),"",VLOOKUP($A72,ESPNData!$AH:$AU,11,0))</f>
        <v>51</v>
      </c>
      <c r="L72" s="33">
        <f>IF(ISERROR(VLOOKUP($A72,ESPNData!$AH:$AU,12,0)),"",VLOOKUP($A72,ESPNData!$AH:$AU,12,0))</f>
        <v>704</v>
      </c>
      <c r="M72" s="64">
        <f>IF(ISERROR(VLOOKUP($A72,ESPNData!$AH:$AU,13,0)),"",VLOOKUP($A72,ESPNData!$AH:$AU,13,0))</f>
        <v>3</v>
      </c>
      <c r="N72" s="117">
        <f>IF(OR(($A72=Settings!$A$31),($A72=Settings!$A$32),ISERROR(VLOOKUP($B72,SportslineData!$AD:$AK,3,0))),"",ROUND(VLOOKUP($B72,SportslineData!$AD:$AK,3,0),0))</f>
        <v>43</v>
      </c>
      <c r="O72" s="33">
        <f>IF(OR(($A72=Settings!$A$31),($A72=Settings!$A$32),ISERROR(VLOOKUP($B72,SportslineData!$AD:$AK,4,0))),"",VLOOKUP($B72,SportslineData!$AD:$AK,4,0))</f>
        <v>583.5</v>
      </c>
      <c r="P72" s="33">
        <f>IF(OR(($A72=Settings!$A$31),($A72=Settings!$A$32),ISERROR(VLOOKUP($B72,SportslineData!$AD:$AK,6,0))),"",ROUND(VLOOKUP($B72,SportslineData!$AD:$AK,6,0),0))</f>
        <v>3</v>
      </c>
      <c r="Q72" s="64">
        <f>IF(OR(($A72=Settings!$A$31),($A72=Settings!$A$32),ISERROR(VLOOKUP($B72,SportslineData!$AD:$AK,7,0))),"",ROUND(VLOOKUP($B72,SportslineData!$AD:$AK,7,0),0))</f>
        <v>1</v>
      </c>
      <c r="R72" s="117"/>
      <c r="S72" s="33"/>
      <c r="T72" s="38">
        <f>IF(ISERROR(ROUND((((((ROUNDDOWN((D72/5),0)*Settings!$F$7)+(E72*Settings!$I$7))+(F72*Settings!$I$11))+(ROUNDDOWN((G72/5),0)*Settings!$F$11))+(H72*Settings!$F$12)),1)),0,ROUND((((((ROUNDDOWN((D72/5),0)*Settings!$F$7)+(E72*Settings!$I$7))+(F72*Settings!$I$11))+(ROUNDDOWN((G72/5),0)*Settings!$F$11))+(H72*Settings!$F$12)),1))</f>
        <v>114</v>
      </c>
      <c r="U72" s="38">
        <f>IF(ISERROR(ROUND((((((ROUNDDOWN((I72/5),0)*Settings!$F$7)+(J72*Settings!$I$7))+(K72*Settings!$I$11))+(ROUNDDOWN((L72/5),0)*Settings!$F$11))+(M72*Settings!$F$12)),1)),0,ROUND((((((ROUNDDOWN((I72/5),0)*Settings!$F$7)+(J72*Settings!$I$7))+(K72*Settings!$I$11))+(ROUNDDOWN((L72/5),0)*Settings!$F$11))+(M72*Settings!$F$12)),1))</f>
        <v>113.5</v>
      </c>
      <c r="V72" s="38">
        <f>IF((N72=""),0,((((N72*Settings!$I$11)+(ROUND((O72/5),0)*Settings!$F$11))+(P72*Settings!$F$12))+(Q72*Settings!$F$15)))</f>
        <v>97</v>
      </c>
      <c r="W72" s="66">
        <f>ROUND((((T72*Settings!$B$21)+(U72*Settings!$B$22))+(V72*Settings!$B$23)),1)</f>
        <v>108.1</v>
      </c>
      <c r="X72" s="66">
        <f>IF(ISERROR(VLOOKUP(RANK(W72,W$4:W$182),X$4:X71,1,0)),RANK(W72,W$4:W$182),IF(ISERROR(VLOOKUP((RANK(W72,W$4:W$182)+1),X$4:X71,1,0)),(RANK(W72,W$4:W$182)+1),IF(ISERROR(VLOOKUP((RANK(W72,W$4:W$182)+2),X$4:X71,1,0)),(RANK(W72,W$4:W$182)+2),(RANK(W72,W$4:W$182)+3))))</f>
        <v>52</v>
      </c>
      <c r="Y72" t="str">
        <f t="shared" si="8"/>
        <v>Mike Williams</v>
      </c>
    </row>
    <row r="73" spans="1:25" ht="12.75" customHeight="1">
      <c r="A73" s="33" t="str">
        <f>ESPNData!AH74</f>
        <v>Andre Roberts, Wsh WR</v>
      </c>
      <c r="B73" s="33" t="str">
        <f t="shared" si="6"/>
        <v>Andre Roberts</v>
      </c>
      <c r="C73" s="64" t="str">
        <f t="shared" si="7"/>
        <v>WSH</v>
      </c>
      <c r="D73" s="117">
        <f>IF(OR(($A73=Settings!$A$31),($A73=Settings!$A$32),ISERROR(VLOOKUP($B73,FFTodayData!$AB:$AK,8,0))),"",VLOOKUP($B73,FFTodayData!$AB:$AK,8,0))</f>
        <v>0</v>
      </c>
      <c r="E73" s="33">
        <f>IF(OR(($A73=Settings!$A$31),($A73=Settings!$A$32),ISERROR(VLOOKUP($B73,FFTodayData!$AB:$AK,9,0))),"",VLOOKUP($B73,FFTodayData!$AB:$AK,9,0))</f>
        <v>0</v>
      </c>
      <c r="F73" s="33">
        <f>IF(OR(($A73=Settings!$A$31),($A73=Settings!$A$32),ISERROR(VLOOKUP($B73,FFTodayData!$AB:$AK,4,0))),"",VLOOKUP($B73,FFTodayData!$AB:$AK,4,0))</f>
        <v>41</v>
      </c>
      <c r="G73" s="33">
        <f>IF(OR(($A73=Settings!$A$31),($A73=Settings!$A$32),ISERROR(VLOOKUP($B73,FFTodayData!$AB:$AK,5,0))),"",VLOOKUP($B73,FFTodayData!$AB:$AK,5,0))</f>
        <v>556</v>
      </c>
      <c r="H73" s="64">
        <f>IF(OR(($A73=Settings!$A$31),($A73=Settings!$A$32),ISERROR(VLOOKUP($B73,FFTodayData!$AB:$AK,6,0))),"",VLOOKUP($B73,FFTodayData!$AB:$AK,6,0))</f>
        <v>3</v>
      </c>
      <c r="I73" s="117">
        <f>IF(ISERROR(VLOOKUP($A73,ESPNData!$AH:$AU,9,0)),"",VLOOKUP($A73,ESPNData!$AH:$AU,9,0))</f>
        <v>17</v>
      </c>
      <c r="J73" s="33">
        <f>IF(ISERROR(VLOOKUP($A73,ESPNData!$AH:$AU,10,0)),"",VLOOKUP($A73,ESPNData!$AH:$AU,10,0))</f>
        <v>0</v>
      </c>
      <c r="K73" s="33">
        <f>IF(ISERROR(VLOOKUP($A73,ESPNData!$AH:$AU,11,0)),"",VLOOKUP($A73,ESPNData!$AH:$AU,11,0))</f>
        <v>40</v>
      </c>
      <c r="L73" s="33">
        <f>IF(ISERROR(VLOOKUP($A73,ESPNData!$AH:$AU,12,0)),"",VLOOKUP($A73,ESPNData!$AH:$AU,12,0))</f>
        <v>545</v>
      </c>
      <c r="M73" s="64">
        <f>IF(ISERROR(VLOOKUP($A73,ESPNData!$AH:$AU,13,0)),"",VLOOKUP($A73,ESPNData!$AH:$AU,13,0))</f>
        <v>4</v>
      </c>
      <c r="N73" s="117">
        <f>IF(OR(($A73=Settings!$A$31),($A73=Settings!$A$32),ISERROR(VLOOKUP($B73,SportslineData!$AD:$AK,3,0))),"",ROUND(VLOOKUP($B73,SportslineData!$AD:$AK,3,0),0))</f>
        <v>52</v>
      </c>
      <c r="O73" s="33">
        <f>IF(OR(($A73=Settings!$A$31),($A73=Settings!$A$32),ISERROR(VLOOKUP($B73,SportslineData!$AD:$AK,4,0))),"",VLOOKUP($B73,SportslineData!$AD:$AK,4,0))</f>
        <v>578.5</v>
      </c>
      <c r="P73" s="33">
        <f>IF(OR(($A73=Settings!$A$31),($A73=Settings!$A$32),ISERROR(VLOOKUP($B73,SportslineData!$AD:$AK,6,0))),"",ROUND(VLOOKUP($B73,SportslineData!$AD:$AK,6,0),0))</f>
        <v>3</v>
      </c>
      <c r="Q73" s="64">
        <f>IF(OR(($A73=Settings!$A$31),($A73=Settings!$A$32),ISERROR(VLOOKUP($B73,SportslineData!$AD:$AK,7,0))),"",ROUND(VLOOKUP($B73,SportslineData!$AD:$AK,7,0),0))</f>
        <v>1</v>
      </c>
      <c r="R73" s="117"/>
      <c r="S73" s="33"/>
      <c r="T73" s="38">
        <f>IF(ISERROR(ROUND((((((ROUNDDOWN((D73/5),0)*Settings!$F$7)+(E73*Settings!$I$7))+(F73*Settings!$I$11))+(ROUNDDOWN((G73/5),0)*Settings!$F$11))+(H73*Settings!$F$12)),1)),0,ROUND((((((ROUNDDOWN((D73/5),0)*Settings!$F$7)+(E73*Settings!$I$7))+(F73*Settings!$I$11))+(ROUNDDOWN((G73/5),0)*Settings!$F$11))+(H73*Settings!$F$12)),1))</f>
        <v>94</v>
      </c>
      <c r="U73" s="38">
        <f>IF(ISERROR(ROUND((((((ROUNDDOWN((I73/5),0)*Settings!$F$7)+(J73*Settings!$I$7))+(K73*Settings!$I$11))+(ROUNDDOWN((L73/5),0)*Settings!$F$11))+(M73*Settings!$F$12)),1)),0,ROUND((((((ROUNDDOWN((I73/5),0)*Settings!$F$7)+(J73*Settings!$I$7))+(K73*Settings!$I$11))+(ROUNDDOWN((L73/5),0)*Settings!$F$11))+(M73*Settings!$F$12)),1))</f>
        <v>100</v>
      </c>
      <c r="V73" s="38">
        <f>IF((N73=""),0,((((N73*Settings!$I$11)+(ROUND((O73/5),0)*Settings!$F$11))+(P73*Settings!$F$12))+(Q73*Settings!$F$15)))</f>
        <v>101</v>
      </c>
      <c r="W73" s="66">
        <f>ROUND((((T73*Settings!$B$21)+(U73*Settings!$B$22))+(V73*Settings!$B$23)),1)</f>
        <v>98.4</v>
      </c>
      <c r="X73" s="66">
        <f>IF(ISERROR(VLOOKUP(RANK(W73,W$4:W$182),X$4:X72,1,0)),RANK(W73,W$4:W$182),IF(ISERROR(VLOOKUP((RANK(W73,W$4:W$182)+1),X$4:X72,1,0)),(RANK(W73,W$4:W$182)+1),IF(ISERROR(VLOOKUP((RANK(W73,W$4:W$182)+2),X$4:X72,1,0)),(RANK(W73,W$4:W$182)+2),(RANK(W73,W$4:W$182)+3))))</f>
        <v>57</v>
      </c>
      <c r="Y73" t="str">
        <f t="shared" si="8"/>
        <v>Andre Roberts</v>
      </c>
    </row>
    <row r="74" spans="1:25" ht="12.75" customHeight="1">
      <c r="A74" s="33" t="str">
        <f>ESPNData!AH75</f>
        <v>Kenny Britt, StL WR</v>
      </c>
      <c r="B74" s="33" t="str">
        <f t="shared" si="6"/>
        <v>Kenny Britt</v>
      </c>
      <c r="C74" s="64" t="str">
        <f t="shared" si="7"/>
        <v>STL</v>
      </c>
      <c r="D74" s="117" t="str">
        <f>IF(OR(($A74=Settings!$A$31),($A74=Settings!$A$32),ISERROR(VLOOKUP($B74,FFTodayData!$AB:$AK,8,0))),"",VLOOKUP($B74,FFTodayData!$AB:$AK,8,0))</f>
        <v/>
      </c>
      <c r="E74" s="33" t="str">
        <f>IF(OR(($A74=Settings!$A$31),($A74=Settings!$A$32),ISERROR(VLOOKUP($B74,FFTodayData!$AB:$AK,9,0))),"",VLOOKUP($B74,FFTodayData!$AB:$AK,9,0))</f>
        <v/>
      </c>
      <c r="F74" s="33" t="str">
        <f>IF(OR(($A74=Settings!$A$31),($A74=Settings!$A$32),ISERROR(VLOOKUP($B74,FFTodayData!$AB:$AK,4,0))),"",VLOOKUP($B74,FFTodayData!$AB:$AK,4,0))</f>
        <v/>
      </c>
      <c r="G74" s="33" t="str">
        <f>IF(OR(($A74=Settings!$A$31),($A74=Settings!$A$32),ISERROR(VLOOKUP($B74,FFTodayData!$AB:$AK,5,0))),"",VLOOKUP($B74,FFTodayData!$AB:$AK,5,0))</f>
        <v/>
      </c>
      <c r="H74" s="64" t="str">
        <f>IF(OR(($A74=Settings!$A$31),($A74=Settings!$A$32),ISERROR(VLOOKUP($B74,FFTodayData!$AB:$AK,6,0))),"",VLOOKUP($B74,FFTodayData!$AB:$AK,6,0))</f>
        <v/>
      </c>
      <c r="I74" s="117">
        <f>IF(ISERROR(VLOOKUP($A74,ESPNData!$AH:$AU,9,0)),"",VLOOKUP($A74,ESPNData!$AH:$AU,9,0))</f>
        <v>0</v>
      </c>
      <c r="J74" s="33">
        <f>IF(ISERROR(VLOOKUP($A74,ESPNData!$AH:$AU,10,0)),"",VLOOKUP($A74,ESPNData!$AH:$AU,10,0))</f>
        <v>0</v>
      </c>
      <c r="K74" s="33">
        <f>IF(ISERROR(VLOOKUP($A74,ESPNData!$AH:$AU,11,0)),"",VLOOKUP($A74,ESPNData!$AH:$AU,11,0))</f>
        <v>37</v>
      </c>
      <c r="L74" s="33">
        <f>IF(ISERROR(VLOOKUP($A74,ESPNData!$AH:$AU,12,0)),"",VLOOKUP($A74,ESPNData!$AH:$AU,12,0))</f>
        <v>525</v>
      </c>
      <c r="M74" s="64">
        <f>IF(ISERROR(VLOOKUP($A74,ESPNData!$AH:$AU,13,0)),"",VLOOKUP($A74,ESPNData!$AH:$AU,13,0))</f>
        <v>4</v>
      </c>
      <c r="N74" s="117">
        <f>IF(OR(($A74=Settings!$A$31),($A74=Settings!$A$32),ISERROR(VLOOKUP($B74,SportslineData!$AD:$AK,3,0))),"",ROUND(VLOOKUP($B74,SportslineData!$AD:$AK,3,0),0))</f>
        <v>47</v>
      </c>
      <c r="O74" s="33">
        <f>IF(OR(($A74=Settings!$A$31),($A74=Settings!$A$32),ISERROR(VLOOKUP($B74,SportslineData!$AD:$AK,4,0))),"",VLOOKUP($B74,SportslineData!$AD:$AK,4,0))</f>
        <v>676.5</v>
      </c>
      <c r="P74" s="33">
        <f>IF(OR(($A74=Settings!$A$31),($A74=Settings!$A$32),ISERROR(VLOOKUP($B74,SportslineData!$AD:$AK,6,0))),"",ROUND(VLOOKUP($B74,SportslineData!$AD:$AK,6,0),0))</f>
        <v>5</v>
      </c>
      <c r="Q74" s="64">
        <f>IF(OR(($A74=Settings!$A$31),($A74=Settings!$A$32),ISERROR(VLOOKUP($B74,SportslineData!$AD:$AK,7,0))),"",ROUND(VLOOKUP($B74,SportslineData!$AD:$AK,7,0),0))</f>
        <v>0</v>
      </c>
      <c r="R74" s="117"/>
      <c r="S74" s="33"/>
      <c r="T74" s="38">
        <f>IF(ISERROR(ROUND((((((ROUNDDOWN((D74/5),0)*Settings!$F$7)+(E74*Settings!$I$7))+(F74*Settings!$I$11))+(ROUNDDOWN((G74/5),0)*Settings!$F$11))+(H74*Settings!$F$12)),1)),0,ROUND((((((ROUNDDOWN((D74/5),0)*Settings!$F$7)+(E74*Settings!$I$7))+(F74*Settings!$I$11))+(ROUNDDOWN((G74/5),0)*Settings!$F$11))+(H74*Settings!$F$12)),1))</f>
        <v>0</v>
      </c>
      <c r="U74" s="38">
        <f>IF(ISERROR(ROUND((((((ROUNDDOWN((I74/5),0)*Settings!$F$7)+(J74*Settings!$I$7))+(K74*Settings!$I$11))+(ROUNDDOWN((L74/5),0)*Settings!$F$11))+(M74*Settings!$F$12)),1)),0,ROUND((((((ROUNDDOWN((I74/5),0)*Settings!$F$7)+(J74*Settings!$I$7))+(K74*Settings!$I$11))+(ROUNDDOWN((L74/5),0)*Settings!$F$11))+(M74*Settings!$F$12)),1))</f>
        <v>95</v>
      </c>
      <c r="V74" s="38">
        <f>IF((N74=""),0,((((N74*Settings!$I$11)+(ROUND((O74/5),0)*Settings!$F$11))+(P74*Settings!$F$12))+(Q74*Settings!$F$15)))</f>
        <v>121</v>
      </c>
      <c r="W74" s="66">
        <f>ROUND((((T74*Settings!$B$21)+(U74*Settings!$B$22))+(V74*Settings!$B$23)),1)</f>
        <v>72.5</v>
      </c>
      <c r="X74" s="66">
        <f>IF(ISERROR(VLOOKUP(RANK(W74,W$4:W$182),X$4:X73,1,0)),RANK(W74,W$4:W$182),IF(ISERROR(VLOOKUP((RANK(W74,W$4:W$182)+1),X$4:X73,1,0)),(RANK(W74,W$4:W$182)+1),IF(ISERROR(VLOOKUP((RANK(W74,W$4:W$182)+2),X$4:X73,1,0)),(RANK(W74,W$4:W$182)+2),(RANK(W74,W$4:W$182)+3))))</f>
        <v>72</v>
      </c>
      <c r="Y74" t="str">
        <f t="shared" si="8"/>
        <v>Kenny Britt</v>
      </c>
    </row>
    <row r="75" spans="1:25" ht="12.75" customHeight="1">
      <c r="A75" s="33" t="str">
        <f>ESPNData!AH76</f>
        <v>Jerome Simpson, Min WR  Q</v>
      </c>
      <c r="B75" s="33" t="str">
        <f t="shared" si="6"/>
        <v>Jerome Simpson</v>
      </c>
      <c r="C75" s="64" t="str">
        <f t="shared" si="7"/>
        <v>MIN</v>
      </c>
      <c r="D75" s="117">
        <f>IF(OR(($A75=Settings!$A$31),($A75=Settings!$A$32),ISERROR(VLOOKUP($B75,FFTodayData!$AB:$AK,8,0))),"",VLOOKUP($B75,FFTodayData!$AB:$AK,8,0))</f>
        <v>0</v>
      </c>
      <c r="E75" s="33">
        <f>IF(OR(($A75=Settings!$A$31),($A75=Settings!$A$32),ISERROR(VLOOKUP($B75,FFTodayData!$AB:$AK,9,0))),"",VLOOKUP($B75,FFTodayData!$AB:$AK,9,0))</f>
        <v>0</v>
      </c>
      <c r="F75" s="33">
        <f>IF(OR(($A75=Settings!$A$31),($A75=Settings!$A$32),ISERROR(VLOOKUP($B75,FFTodayData!$AB:$AK,4,0))),"",VLOOKUP($B75,FFTodayData!$AB:$AK,4,0))</f>
        <v>42</v>
      </c>
      <c r="G75" s="33">
        <f>IF(OR(($A75=Settings!$A$31),($A75=Settings!$A$32),ISERROR(VLOOKUP($B75,FFTodayData!$AB:$AK,5,0))),"",VLOOKUP($B75,FFTodayData!$AB:$AK,5,0))</f>
        <v>565</v>
      </c>
      <c r="H75" s="64">
        <f>IF(OR(($A75=Settings!$A$31),($A75=Settings!$A$32),ISERROR(VLOOKUP($B75,FFTodayData!$AB:$AK,6,0))),"",VLOOKUP($B75,FFTodayData!$AB:$AK,6,0))</f>
        <v>3</v>
      </c>
      <c r="I75" s="117">
        <f>IF(ISERROR(VLOOKUP($A75,ESPNData!$AH:$AU,9,0)),"",VLOOKUP($A75,ESPNData!$AH:$AU,9,0))</f>
        <v>0</v>
      </c>
      <c r="J75" s="33">
        <f>IF(ISERROR(VLOOKUP($A75,ESPNData!$AH:$AU,10,0)),"",VLOOKUP($A75,ESPNData!$AH:$AU,10,0))</f>
        <v>0</v>
      </c>
      <c r="K75" s="33">
        <f>IF(ISERROR(VLOOKUP($A75,ESPNData!$AH:$AU,11,0)),"",VLOOKUP($A75,ESPNData!$AH:$AU,11,0))</f>
        <v>46</v>
      </c>
      <c r="L75" s="33">
        <f>IF(ISERROR(VLOOKUP($A75,ESPNData!$AH:$AU,12,0)),"",VLOOKUP($A75,ESPNData!$AH:$AU,12,0))</f>
        <v>572</v>
      </c>
      <c r="M75" s="64">
        <f>IF(ISERROR(VLOOKUP($A75,ESPNData!$AH:$AU,13,0)),"",VLOOKUP($A75,ESPNData!$AH:$AU,13,0))</f>
        <v>3</v>
      </c>
      <c r="N75" s="117">
        <f>IF(OR(($A75=Settings!$A$31),($A75=Settings!$A$32),ISERROR(VLOOKUP($B75,SportslineData!$AD:$AK,3,0))),"",ROUND(VLOOKUP($B75,SportslineData!$AD:$AK,3,0),0))</f>
        <v>39</v>
      </c>
      <c r="O75" s="33">
        <f>IF(OR(($A75=Settings!$A$31),($A75=Settings!$A$32),ISERROR(VLOOKUP($B75,SportslineData!$AD:$AK,4,0))),"",VLOOKUP($B75,SportslineData!$AD:$AK,4,0))</f>
        <v>569.5</v>
      </c>
      <c r="P75" s="33">
        <f>IF(OR(($A75=Settings!$A$31),($A75=Settings!$A$32),ISERROR(VLOOKUP($B75,SportslineData!$AD:$AK,6,0))),"",ROUND(VLOOKUP($B75,SportslineData!$AD:$AK,6,0),0))</f>
        <v>3</v>
      </c>
      <c r="Q75" s="64">
        <f>IF(OR(($A75=Settings!$A$31),($A75=Settings!$A$32),ISERROR(VLOOKUP($B75,SportslineData!$AD:$AK,7,0))),"",ROUND(VLOOKUP($B75,SportslineData!$AD:$AK,7,0),0))</f>
        <v>1</v>
      </c>
      <c r="R75" s="117"/>
      <c r="S75" s="33"/>
      <c r="T75" s="38">
        <f>IF(ISERROR(ROUND((((((ROUNDDOWN((D75/5),0)*Settings!$F$7)+(E75*Settings!$I$7))+(F75*Settings!$I$11))+(ROUNDDOWN((G75/5),0)*Settings!$F$11))+(H75*Settings!$F$12)),1)),0,ROUND((((((ROUNDDOWN((D75/5),0)*Settings!$F$7)+(E75*Settings!$I$7))+(F75*Settings!$I$11))+(ROUNDDOWN((G75/5),0)*Settings!$F$11))+(H75*Settings!$F$12)),1))</f>
        <v>95.5</v>
      </c>
      <c r="U75" s="38">
        <f>IF(ISERROR(ROUND((((((ROUNDDOWN((I75/5),0)*Settings!$F$7)+(J75*Settings!$I$7))+(K75*Settings!$I$11))+(ROUNDDOWN((L75/5),0)*Settings!$F$11))+(M75*Settings!$F$12)),1)),0,ROUND((((((ROUNDDOWN((I75/5),0)*Settings!$F$7)+(J75*Settings!$I$7))+(K75*Settings!$I$11))+(ROUNDDOWN((L75/5),0)*Settings!$F$11))+(M75*Settings!$F$12)),1))</f>
        <v>98</v>
      </c>
      <c r="V75" s="38">
        <f>IF((N75=""),0,((((N75*Settings!$I$11)+(ROUND((O75/5),0)*Settings!$F$11))+(P75*Settings!$F$12))+(Q75*Settings!$F$15)))</f>
        <v>93.5</v>
      </c>
      <c r="W75" s="66">
        <f>ROUND((((T75*Settings!$B$21)+(U75*Settings!$B$22))+(V75*Settings!$B$23)),1)</f>
        <v>95.6</v>
      </c>
      <c r="X75" s="66">
        <f>IF(ISERROR(VLOOKUP(RANK(W75,W$4:W$182),X$4:X74,1,0)),RANK(W75,W$4:W$182),IF(ISERROR(VLOOKUP((RANK(W75,W$4:W$182)+1),X$4:X74,1,0)),(RANK(W75,W$4:W$182)+1),IF(ISERROR(VLOOKUP((RANK(W75,W$4:W$182)+2),X$4:X74,1,0)),(RANK(W75,W$4:W$182)+2),(RANK(W75,W$4:W$182)+3))))</f>
        <v>58</v>
      </c>
      <c r="Y75" t="str">
        <f t="shared" si="8"/>
        <v>Jerome Simpson</v>
      </c>
    </row>
    <row r="76" spans="1:25" ht="12.75" customHeight="1">
      <c r="A76" s="33" t="str">
        <f>ESPNData!AH77</f>
        <v>Robert Woods, Buf WR</v>
      </c>
      <c r="B76" s="33" t="str">
        <f t="shared" si="6"/>
        <v>Robert Woods</v>
      </c>
      <c r="C76" s="64" t="str">
        <f t="shared" si="7"/>
        <v>BUF</v>
      </c>
      <c r="D76" s="117" t="str">
        <f>IF(OR(($A76=Settings!$A$31),($A76=Settings!$A$32),ISERROR(VLOOKUP($B76,FFTodayData!$AB:$AK,8,0))),"",VLOOKUP($B76,FFTodayData!$AB:$AK,8,0))</f>
        <v/>
      </c>
      <c r="E76" s="33" t="str">
        <f>IF(OR(($A76=Settings!$A$31),($A76=Settings!$A$32),ISERROR(VLOOKUP($B76,FFTodayData!$AB:$AK,9,0))),"",VLOOKUP($B76,FFTodayData!$AB:$AK,9,0))</f>
        <v/>
      </c>
      <c r="F76" s="33" t="str">
        <f>IF(OR(($A76=Settings!$A$31),($A76=Settings!$A$32),ISERROR(VLOOKUP($B76,FFTodayData!$AB:$AK,4,0))),"",VLOOKUP($B76,FFTodayData!$AB:$AK,4,0))</f>
        <v/>
      </c>
      <c r="G76" s="33" t="str">
        <f>IF(OR(($A76=Settings!$A$31),($A76=Settings!$A$32),ISERROR(VLOOKUP($B76,FFTodayData!$AB:$AK,5,0))),"",VLOOKUP($B76,FFTodayData!$AB:$AK,5,0))</f>
        <v/>
      </c>
      <c r="H76" s="64" t="str">
        <f>IF(OR(($A76=Settings!$A$31),($A76=Settings!$A$32),ISERROR(VLOOKUP($B76,FFTodayData!$AB:$AK,6,0))),"",VLOOKUP($B76,FFTodayData!$AB:$AK,6,0))</f>
        <v/>
      </c>
      <c r="I76" s="117">
        <f>IF(ISERROR(VLOOKUP($A76,ESPNData!$AH:$AU,9,0)),"",VLOOKUP($A76,ESPNData!$AH:$AU,9,0))</f>
        <v>11</v>
      </c>
      <c r="J76" s="33">
        <f>IF(ISERROR(VLOOKUP($A76,ESPNData!$AH:$AU,10,0)),"",VLOOKUP($A76,ESPNData!$AH:$AU,10,0))</f>
        <v>0</v>
      </c>
      <c r="K76" s="33">
        <f>IF(ISERROR(VLOOKUP($A76,ESPNData!$AH:$AU,11,0)),"",VLOOKUP($A76,ESPNData!$AH:$AU,11,0))</f>
        <v>40</v>
      </c>
      <c r="L76" s="33">
        <f>IF(ISERROR(VLOOKUP($A76,ESPNData!$AH:$AU,12,0)),"",VLOOKUP($A76,ESPNData!$AH:$AU,12,0))</f>
        <v>545</v>
      </c>
      <c r="M76" s="64">
        <f>IF(ISERROR(VLOOKUP($A76,ESPNData!$AH:$AU,13,0)),"",VLOOKUP($A76,ESPNData!$AH:$AU,13,0))</f>
        <v>3</v>
      </c>
      <c r="N76" s="117">
        <f>IF(OR(($A76=Settings!$A$31),($A76=Settings!$A$32),ISERROR(VLOOKUP($B76,SportslineData!$AD:$AK,3,0))),"",ROUND(VLOOKUP($B76,SportslineData!$AD:$AK,3,0),0))</f>
        <v>53</v>
      </c>
      <c r="O76" s="33">
        <f>IF(OR(($A76=Settings!$A$31),($A76=Settings!$A$32),ISERROR(VLOOKUP($B76,SportslineData!$AD:$AK,4,0))),"",VLOOKUP($B76,SportslineData!$AD:$AK,4,0))</f>
        <v>695</v>
      </c>
      <c r="P76" s="33">
        <f>IF(OR(($A76=Settings!$A$31),($A76=Settings!$A$32),ISERROR(VLOOKUP($B76,SportslineData!$AD:$AK,6,0))),"",ROUND(VLOOKUP($B76,SportslineData!$AD:$AK,6,0),0))</f>
        <v>4</v>
      </c>
      <c r="Q76" s="64">
        <f>IF(OR(($A76=Settings!$A$31),($A76=Settings!$A$32),ISERROR(VLOOKUP($B76,SportslineData!$AD:$AK,7,0))),"",ROUND(VLOOKUP($B76,SportslineData!$AD:$AK,7,0),0))</f>
        <v>1</v>
      </c>
      <c r="R76" s="117"/>
      <c r="S76" s="33"/>
      <c r="T76" s="38">
        <f>IF(ISERROR(ROUND((((((ROUNDDOWN((D76/5),0)*Settings!$F$7)+(E76*Settings!$I$7))+(F76*Settings!$I$11))+(ROUNDDOWN((G76/5),0)*Settings!$F$11))+(H76*Settings!$F$12)),1)),0,ROUND((((((ROUNDDOWN((D76/5),0)*Settings!$F$7)+(E76*Settings!$I$7))+(F76*Settings!$I$11))+(ROUNDDOWN((G76/5),0)*Settings!$F$11))+(H76*Settings!$F$12)),1))</f>
        <v>0</v>
      </c>
      <c r="U76" s="38">
        <f>IF(ISERROR(ROUND((((((ROUNDDOWN((I76/5),0)*Settings!$F$7)+(J76*Settings!$I$7))+(K76*Settings!$I$11))+(ROUNDDOWN((L76/5),0)*Settings!$F$11))+(M76*Settings!$F$12)),1)),0,ROUND((((((ROUNDDOWN((I76/5),0)*Settings!$F$7)+(J76*Settings!$I$7))+(K76*Settings!$I$11))+(ROUNDDOWN((L76/5),0)*Settings!$F$11))+(M76*Settings!$F$12)),1))</f>
        <v>93.5</v>
      </c>
      <c r="V76" s="38">
        <f>IF((N76=""),0,((((N76*Settings!$I$11)+(ROUND((O76/5),0)*Settings!$F$11))+(P76*Settings!$F$12))+(Q76*Settings!$F$15)))</f>
        <v>119</v>
      </c>
      <c r="W76" s="66">
        <f>ROUND((((T76*Settings!$B$21)+(U76*Settings!$B$22))+(V76*Settings!$B$23)),1)</f>
        <v>71.3</v>
      </c>
      <c r="X76" s="66">
        <f>IF(ISERROR(VLOOKUP(RANK(W76,W$4:W$182),X$4:X75,1,0)),RANK(W76,W$4:W$182),IF(ISERROR(VLOOKUP((RANK(W76,W$4:W$182)+1),X$4:X75,1,0)),(RANK(W76,W$4:W$182)+1),IF(ISERROR(VLOOKUP((RANK(W76,W$4:W$182)+2),X$4:X75,1,0)),(RANK(W76,W$4:W$182)+2),(RANK(W76,W$4:W$182)+3))))</f>
        <v>75</v>
      </c>
      <c r="Y76" t="str">
        <f t="shared" si="8"/>
        <v>Robert Woods</v>
      </c>
    </row>
    <row r="77" spans="1:25" ht="12.75" customHeight="1">
      <c r="A77" s="33" t="str">
        <f>ESPNData!AH78</f>
        <v>Jordan Matthews, Phi WR</v>
      </c>
      <c r="B77" s="33" t="str">
        <f t="shared" si="6"/>
        <v>Jordan Matthews</v>
      </c>
      <c r="C77" s="64" t="str">
        <f t="shared" si="7"/>
        <v>PHI</v>
      </c>
      <c r="D77" s="117" t="str">
        <f>IF(OR(($A77=Settings!$A$31),($A77=Settings!$A$32),ISERROR(VLOOKUP($B77,FFTodayData!$AB:$AK,8,0))),"",VLOOKUP($B77,FFTodayData!$AB:$AK,8,0))</f>
        <v/>
      </c>
      <c r="E77" s="33" t="str">
        <f>IF(OR(($A77=Settings!$A$31),($A77=Settings!$A$32),ISERROR(VLOOKUP($B77,FFTodayData!$AB:$AK,9,0))),"",VLOOKUP($B77,FFTodayData!$AB:$AK,9,0))</f>
        <v/>
      </c>
      <c r="F77" s="33" t="str">
        <f>IF(OR(($A77=Settings!$A$31),($A77=Settings!$A$32),ISERROR(VLOOKUP($B77,FFTodayData!$AB:$AK,4,0))),"",VLOOKUP($B77,FFTodayData!$AB:$AK,4,0))</f>
        <v/>
      </c>
      <c r="G77" s="33" t="str">
        <f>IF(OR(($A77=Settings!$A$31),($A77=Settings!$A$32),ISERROR(VLOOKUP($B77,FFTodayData!$AB:$AK,5,0))),"",VLOOKUP($B77,FFTodayData!$AB:$AK,5,0))</f>
        <v/>
      </c>
      <c r="H77" s="64" t="str">
        <f>IF(OR(($A77=Settings!$A$31),($A77=Settings!$A$32),ISERROR(VLOOKUP($B77,FFTodayData!$AB:$AK,6,0))),"",VLOOKUP($B77,FFTodayData!$AB:$AK,6,0))</f>
        <v/>
      </c>
      <c r="I77" s="117">
        <f>IF(ISERROR(VLOOKUP($A77,ESPNData!$AH:$AU,9,0)),"",VLOOKUP($A77,ESPNData!$AH:$AU,9,0))</f>
        <v>0</v>
      </c>
      <c r="J77" s="33">
        <f>IF(ISERROR(VLOOKUP($A77,ESPNData!$AH:$AU,10,0)),"",VLOOKUP($A77,ESPNData!$AH:$AU,10,0))</f>
        <v>0</v>
      </c>
      <c r="K77" s="33">
        <f>IF(ISERROR(VLOOKUP($A77,ESPNData!$AH:$AU,11,0)),"",VLOOKUP($A77,ESPNData!$AH:$AU,11,0))</f>
        <v>36</v>
      </c>
      <c r="L77" s="33">
        <f>IF(ISERROR(VLOOKUP($A77,ESPNData!$AH:$AU,12,0)),"",VLOOKUP($A77,ESPNData!$AH:$AU,12,0))</f>
        <v>513</v>
      </c>
      <c r="M77" s="64">
        <f>IF(ISERROR(VLOOKUP($A77,ESPNData!$AH:$AU,13,0)),"",VLOOKUP($A77,ESPNData!$AH:$AU,13,0))</f>
        <v>3</v>
      </c>
      <c r="N77" s="117">
        <f>IF(OR(($A77=Settings!$A$31),($A77=Settings!$A$32),ISERROR(VLOOKUP($B77,SportslineData!$AD:$AK,3,0))),"",ROUND(VLOOKUP($B77,SportslineData!$AD:$AK,3,0),0))</f>
        <v>49</v>
      </c>
      <c r="O77" s="33">
        <f>IF(OR(($A77=Settings!$A$31),($A77=Settings!$A$32),ISERROR(VLOOKUP($B77,SportslineData!$AD:$AK,4,0))),"",VLOOKUP($B77,SportslineData!$AD:$AK,4,0))</f>
        <v>741.5</v>
      </c>
      <c r="P77" s="33">
        <f>IF(OR(($A77=Settings!$A$31),($A77=Settings!$A$32),ISERROR(VLOOKUP($B77,SportslineData!$AD:$AK,6,0))),"",ROUND(VLOOKUP($B77,SportslineData!$AD:$AK,6,0),0))</f>
        <v>5</v>
      </c>
      <c r="Q77" s="64">
        <f>IF(OR(($A77=Settings!$A$31),($A77=Settings!$A$32),ISERROR(VLOOKUP($B77,SportslineData!$AD:$AK,7,0))),"",ROUND(VLOOKUP($B77,SportslineData!$AD:$AK,7,0),0))</f>
        <v>1</v>
      </c>
      <c r="R77" s="117"/>
      <c r="S77" s="33"/>
      <c r="T77" s="38">
        <f>IF(ISERROR(ROUND((((((ROUNDDOWN((D77/5),0)*Settings!$F$7)+(E77*Settings!$I$7))+(F77*Settings!$I$11))+(ROUNDDOWN((G77/5),0)*Settings!$F$11))+(H77*Settings!$F$12)),1)),0,ROUND((((((ROUNDDOWN((D77/5),0)*Settings!$F$7)+(E77*Settings!$I$7))+(F77*Settings!$I$11))+(ROUNDDOWN((G77/5),0)*Settings!$F$11))+(H77*Settings!$F$12)),1))</f>
        <v>0</v>
      </c>
      <c r="U77" s="38">
        <f>IF(ISERROR(ROUND((((((ROUNDDOWN((I77/5),0)*Settings!$F$7)+(J77*Settings!$I$7))+(K77*Settings!$I$11))+(ROUNDDOWN((L77/5),0)*Settings!$F$11))+(M77*Settings!$F$12)),1)),0,ROUND((((((ROUNDDOWN((I77/5),0)*Settings!$F$7)+(J77*Settings!$I$7))+(K77*Settings!$I$11))+(ROUNDDOWN((L77/5),0)*Settings!$F$11))+(M77*Settings!$F$12)),1))</f>
        <v>87</v>
      </c>
      <c r="V77" s="38">
        <f>IF((N77=""),0,((((N77*Settings!$I$11)+(ROUND((O77/5),0)*Settings!$F$11))+(P77*Settings!$F$12))+(Q77*Settings!$F$15)))</f>
        <v>127.5</v>
      </c>
      <c r="W77" s="66">
        <f>ROUND((((T77*Settings!$B$21)+(U77*Settings!$B$22))+(V77*Settings!$B$23)),1)</f>
        <v>72.099999999999994</v>
      </c>
      <c r="X77" s="66">
        <f>IF(ISERROR(VLOOKUP(RANK(W77,W$4:W$182),X$4:X76,1,0)),RANK(W77,W$4:W$182),IF(ISERROR(VLOOKUP((RANK(W77,W$4:W$182)+1),X$4:X76,1,0)),(RANK(W77,W$4:W$182)+1),IF(ISERROR(VLOOKUP((RANK(W77,W$4:W$182)+2),X$4:X76,1,0)),(RANK(W77,W$4:W$182)+2),(RANK(W77,W$4:W$182)+3))))</f>
        <v>73</v>
      </c>
      <c r="Y77" t="str">
        <f t="shared" si="8"/>
        <v>Jordan Matthews</v>
      </c>
    </row>
    <row r="78" spans="1:25" ht="12.75" customHeight="1">
      <c r="A78" s="33" t="str">
        <f>ESPNData!AH79</f>
        <v>Andre Holmes, Oak WR</v>
      </c>
      <c r="B78" s="33" t="str">
        <f t="shared" si="6"/>
        <v>Andre Holmes</v>
      </c>
      <c r="C78" s="64" t="str">
        <f t="shared" si="7"/>
        <v>OAK</v>
      </c>
      <c r="D78" s="117" t="str">
        <f>IF(OR(($A78=Settings!$A$31),($A78=Settings!$A$32),ISERROR(VLOOKUP($B78,FFTodayData!$AB:$AK,8,0))),"",VLOOKUP($B78,FFTodayData!$AB:$AK,8,0))</f>
        <v/>
      </c>
      <c r="E78" s="33" t="str">
        <f>IF(OR(($A78=Settings!$A$31),($A78=Settings!$A$32),ISERROR(VLOOKUP($B78,FFTodayData!$AB:$AK,9,0))),"",VLOOKUP($B78,FFTodayData!$AB:$AK,9,0))</f>
        <v/>
      </c>
      <c r="F78" s="33" t="str">
        <f>IF(OR(($A78=Settings!$A$31),($A78=Settings!$A$32),ISERROR(VLOOKUP($B78,FFTodayData!$AB:$AK,4,0))),"",VLOOKUP($B78,FFTodayData!$AB:$AK,4,0))</f>
        <v/>
      </c>
      <c r="G78" s="33" t="str">
        <f>IF(OR(($A78=Settings!$A$31),($A78=Settings!$A$32),ISERROR(VLOOKUP($B78,FFTodayData!$AB:$AK,5,0))),"",VLOOKUP($B78,FFTodayData!$AB:$AK,5,0))</f>
        <v/>
      </c>
      <c r="H78" s="64" t="str">
        <f>IF(OR(($A78=Settings!$A$31),($A78=Settings!$A$32),ISERROR(VLOOKUP($B78,FFTodayData!$AB:$AK,6,0))),"",VLOOKUP($B78,FFTodayData!$AB:$AK,6,0))</f>
        <v/>
      </c>
      <c r="I78" s="117">
        <f>IF(ISERROR(VLOOKUP($A78,ESPNData!$AH:$AU,9,0)),"",VLOOKUP($A78,ESPNData!$AH:$AU,9,0))</f>
        <v>0</v>
      </c>
      <c r="J78" s="33">
        <f>IF(ISERROR(VLOOKUP($A78,ESPNData!$AH:$AU,10,0)),"",VLOOKUP($A78,ESPNData!$AH:$AU,10,0))</f>
        <v>0</v>
      </c>
      <c r="K78" s="33">
        <f>IF(ISERROR(VLOOKUP($A78,ESPNData!$AH:$AU,11,0)),"",VLOOKUP($A78,ESPNData!$AH:$AU,11,0))</f>
        <v>35</v>
      </c>
      <c r="L78" s="33">
        <f>IF(ISERROR(VLOOKUP($A78,ESPNData!$AH:$AU,12,0)),"",VLOOKUP($A78,ESPNData!$AH:$AU,12,0))</f>
        <v>463</v>
      </c>
      <c r="M78" s="64">
        <f>IF(ISERROR(VLOOKUP($A78,ESPNData!$AH:$AU,13,0)),"",VLOOKUP($A78,ESPNData!$AH:$AU,13,0))</f>
        <v>2</v>
      </c>
      <c r="N78" s="117">
        <f>IF(OR(($A78=Settings!$A$31),($A78=Settings!$A$32),ISERROR(VLOOKUP($B78,SportslineData!$AD:$AK,3,0))),"",ROUND(VLOOKUP($B78,SportslineData!$AD:$AK,3,0),0))</f>
        <v>40</v>
      </c>
      <c r="O78" s="33">
        <f>IF(OR(($A78=Settings!$A$31),($A78=Settings!$A$32),ISERROR(VLOOKUP($B78,SportslineData!$AD:$AK,4,0))),"",VLOOKUP($B78,SportslineData!$AD:$AK,4,0))</f>
        <v>622.5</v>
      </c>
      <c r="P78" s="33">
        <f>IF(OR(($A78=Settings!$A$31),($A78=Settings!$A$32),ISERROR(VLOOKUP($B78,SportslineData!$AD:$AK,6,0))),"",ROUND(VLOOKUP($B78,SportslineData!$AD:$AK,6,0),0))</f>
        <v>5</v>
      </c>
      <c r="Q78" s="64">
        <f>IF(OR(($A78=Settings!$A$31),($A78=Settings!$A$32),ISERROR(VLOOKUP($B78,SportslineData!$AD:$AK,7,0))),"",ROUND(VLOOKUP($B78,SportslineData!$AD:$AK,7,0),0))</f>
        <v>0</v>
      </c>
      <c r="R78" s="117"/>
      <c r="S78" s="33"/>
      <c r="T78" s="38">
        <f>IF(ISERROR(ROUND((((((ROUNDDOWN((D78/5),0)*Settings!$F$7)+(E78*Settings!$I$7))+(F78*Settings!$I$11))+(ROUNDDOWN((G78/5),0)*Settings!$F$11))+(H78*Settings!$F$12)),1)),0,ROUND((((((ROUNDDOWN((D78/5),0)*Settings!$F$7)+(E78*Settings!$I$7))+(F78*Settings!$I$11))+(ROUNDDOWN((G78/5),0)*Settings!$F$11))+(H78*Settings!$F$12)),1))</f>
        <v>0</v>
      </c>
      <c r="U78" s="38">
        <f>IF(ISERROR(ROUND((((((ROUNDDOWN((I78/5),0)*Settings!$F$7)+(J78*Settings!$I$7))+(K78*Settings!$I$11))+(ROUNDDOWN((L78/5),0)*Settings!$F$11))+(M78*Settings!$F$12)),1)),0,ROUND((((((ROUNDDOWN((I78/5),0)*Settings!$F$7)+(J78*Settings!$I$7))+(K78*Settings!$I$11))+(ROUNDDOWN((L78/5),0)*Settings!$F$11))+(M78*Settings!$F$12)),1))</f>
        <v>75.5</v>
      </c>
      <c r="V78" s="38">
        <f>IF((N78=""),0,((((N78*Settings!$I$11)+(ROUND((O78/5),0)*Settings!$F$11))+(P78*Settings!$F$12))+(Q78*Settings!$F$15)))</f>
        <v>112.5</v>
      </c>
      <c r="W78" s="66">
        <f>ROUND((((T78*Settings!$B$21)+(U78*Settings!$B$22))+(V78*Settings!$B$23)),1)</f>
        <v>63.2</v>
      </c>
      <c r="X78" s="66">
        <f>IF(ISERROR(VLOOKUP(RANK(W78,W$4:W$182),X$4:X77,1,0)),RANK(W78,W$4:W$182),IF(ISERROR(VLOOKUP((RANK(W78,W$4:W$182)+1),X$4:X77,1,0)),(RANK(W78,W$4:W$182)+1),IF(ISERROR(VLOOKUP((RANK(W78,W$4:W$182)+2),X$4:X77,1,0)),(RANK(W78,W$4:W$182)+2),(RANK(W78,W$4:W$182)+3))))</f>
        <v>84</v>
      </c>
      <c r="Y78" t="str">
        <f t="shared" si="8"/>
        <v>Andre Holmes</v>
      </c>
    </row>
    <row r="79" spans="1:25" ht="12.75" customHeight="1">
      <c r="A79" s="33" t="str">
        <f>ESPNData!AH80</f>
        <v>Harry Douglas, Atl WR</v>
      </c>
      <c r="B79" s="33" t="str">
        <f t="shared" si="6"/>
        <v>Harry Douglas</v>
      </c>
      <c r="C79" s="64" t="str">
        <f t="shared" si="7"/>
        <v>ATL</v>
      </c>
      <c r="D79" s="117">
        <f>IF(OR(($A79=Settings!$A$31),($A79=Settings!$A$32),ISERROR(VLOOKUP($B79,FFTodayData!$AB:$AK,8,0))),"",VLOOKUP($B79,FFTodayData!$AB:$AK,8,0))</f>
        <v>0</v>
      </c>
      <c r="E79" s="33">
        <f>IF(OR(($A79=Settings!$A$31),($A79=Settings!$A$32),ISERROR(VLOOKUP($B79,FFTodayData!$AB:$AK,9,0))),"",VLOOKUP($B79,FFTodayData!$AB:$AK,9,0))</f>
        <v>0</v>
      </c>
      <c r="F79" s="33">
        <f>IF(OR(($A79=Settings!$A$31),($A79=Settings!$A$32),ISERROR(VLOOKUP($B79,FFTodayData!$AB:$AK,4,0))),"",VLOOKUP($B79,FFTodayData!$AB:$AK,4,0))</f>
        <v>61</v>
      </c>
      <c r="G79" s="33">
        <f>IF(OR(($A79=Settings!$A$31),($A79=Settings!$A$32),ISERROR(VLOOKUP($B79,FFTodayData!$AB:$AK,5,0))),"",VLOOKUP($B79,FFTodayData!$AB:$AK,5,0))</f>
        <v>775</v>
      </c>
      <c r="H79" s="64">
        <f>IF(OR(($A79=Settings!$A$31),($A79=Settings!$A$32),ISERROR(VLOOKUP($B79,FFTodayData!$AB:$AK,6,0))),"",VLOOKUP($B79,FFTodayData!$AB:$AK,6,0))</f>
        <v>4</v>
      </c>
      <c r="I79" s="117">
        <f>IF(ISERROR(VLOOKUP($A79,ESPNData!$AH:$AU,9,0)),"",VLOOKUP($A79,ESPNData!$AH:$AU,9,0))</f>
        <v>0</v>
      </c>
      <c r="J79" s="33">
        <f>IF(ISERROR(VLOOKUP($A79,ESPNData!$AH:$AU,10,0)),"",VLOOKUP($A79,ESPNData!$AH:$AU,10,0))</f>
        <v>0</v>
      </c>
      <c r="K79" s="33">
        <f>IF(ISERROR(VLOOKUP($A79,ESPNData!$AH:$AU,11,0)),"",VLOOKUP($A79,ESPNData!$AH:$AU,11,0))</f>
        <v>56</v>
      </c>
      <c r="L79" s="33">
        <f>IF(ISERROR(VLOOKUP($A79,ESPNData!$AH:$AU,12,0)),"",VLOOKUP($A79,ESPNData!$AH:$AU,12,0))</f>
        <v>657</v>
      </c>
      <c r="M79" s="64">
        <f>IF(ISERROR(VLOOKUP($A79,ESPNData!$AH:$AU,13,0)),"",VLOOKUP($A79,ESPNData!$AH:$AU,13,0))</f>
        <v>2</v>
      </c>
      <c r="N79" s="117">
        <f>IF(OR(($A79=Settings!$A$31),($A79=Settings!$A$32),ISERROR(VLOOKUP($B79,SportslineData!$AD:$AK,3,0))),"",ROUND(VLOOKUP($B79,SportslineData!$AD:$AK,3,0),0))</f>
        <v>68</v>
      </c>
      <c r="O79" s="33">
        <f>IF(OR(($A79=Settings!$A$31),($A79=Settings!$A$32),ISERROR(VLOOKUP($B79,SportslineData!$AD:$AK,4,0))),"",VLOOKUP($B79,SportslineData!$AD:$AK,4,0))</f>
        <v>834</v>
      </c>
      <c r="P79" s="33">
        <f>IF(OR(($A79=Settings!$A$31),($A79=Settings!$A$32),ISERROR(VLOOKUP($B79,SportslineData!$AD:$AK,6,0))),"",ROUND(VLOOKUP($B79,SportslineData!$AD:$AK,6,0),0))</f>
        <v>4</v>
      </c>
      <c r="Q79" s="64">
        <f>IF(OR(($A79=Settings!$A$31),($A79=Settings!$A$32),ISERROR(VLOOKUP($B79,SportslineData!$AD:$AK,7,0))),"",ROUND(VLOOKUP($B79,SportslineData!$AD:$AK,7,0),0))</f>
        <v>1</v>
      </c>
      <c r="R79" s="117"/>
      <c r="S79" s="33"/>
      <c r="T79" s="38">
        <f>IF(ISERROR(ROUND((((((ROUNDDOWN((D79/5),0)*Settings!$F$7)+(E79*Settings!$I$7))+(F79*Settings!$I$11))+(ROUNDDOWN((G79/5),0)*Settings!$F$11))+(H79*Settings!$F$12)),1)),0,ROUND((((((ROUNDDOWN((D79/5),0)*Settings!$F$7)+(E79*Settings!$I$7))+(F79*Settings!$I$11))+(ROUNDDOWN((G79/5),0)*Settings!$F$11))+(H79*Settings!$F$12)),1))</f>
        <v>132</v>
      </c>
      <c r="U79" s="38">
        <f>IF(ISERROR(ROUND((((((ROUNDDOWN((I79/5),0)*Settings!$F$7)+(J79*Settings!$I$7))+(K79*Settings!$I$11))+(ROUNDDOWN((L79/5),0)*Settings!$F$11))+(M79*Settings!$F$12)),1)),0,ROUND((((((ROUNDDOWN((I79/5),0)*Settings!$F$7)+(J79*Settings!$I$7))+(K79*Settings!$I$11))+(ROUNDDOWN((L79/5),0)*Settings!$F$11))+(M79*Settings!$F$12)),1))</f>
        <v>105.5</v>
      </c>
      <c r="V79" s="38">
        <f>IF((N79=""),0,((((N79*Settings!$I$11)+(ROUND((O79/5),0)*Settings!$F$11))+(P79*Settings!$F$12))+(Q79*Settings!$F$15)))</f>
        <v>140.5</v>
      </c>
      <c r="W79" s="66">
        <f>ROUND((((T79*Settings!$B$21)+(U79*Settings!$B$22))+(V79*Settings!$B$23)),1)</f>
        <v>126.1</v>
      </c>
      <c r="X79" s="66">
        <f>IF(ISERROR(VLOOKUP(RANK(W79,W$4:W$182),X$4:X78,1,0)),RANK(W79,W$4:W$182),IF(ISERROR(VLOOKUP((RANK(W79,W$4:W$182)+1),X$4:X78,1,0)),(RANK(W79,W$4:W$182)+1),IF(ISERROR(VLOOKUP((RANK(W79,W$4:W$182)+2),X$4:X78,1,0)),(RANK(W79,W$4:W$182)+2),(RANK(W79,W$4:W$182)+3))))</f>
        <v>48</v>
      </c>
      <c r="Y79" t="str">
        <f t="shared" si="8"/>
        <v>Harry Douglas</v>
      </c>
    </row>
    <row r="80" spans="1:25" ht="12.75" customHeight="1">
      <c r="A80" s="33" t="str">
        <f>ESPNData!AH81</f>
        <v>Malcom Floyd, SD WR</v>
      </c>
      <c r="B80" s="33" t="str">
        <f t="shared" si="6"/>
        <v>Malcom Floyd</v>
      </c>
      <c r="C80" s="64" t="str">
        <f t="shared" si="7"/>
        <v>SD</v>
      </c>
      <c r="D80" s="117" t="str">
        <f>IF(OR(($A80=Settings!$A$31),($A80=Settings!$A$32),ISERROR(VLOOKUP($B80,FFTodayData!$AB:$AK,8,0))),"",VLOOKUP($B80,FFTodayData!$AB:$AK,8,0))</f>
        <v/>
      </c>
      <c r="E80" s="33" t="str">
        <f>IF(OR(($A80=Settings!$A$31),($A80=Settings!$A$32),ISERROR(VLOOKUP($B80,FFTodayData!$AB:$AK,9,0))),"",VLOOKUP($B80,FFTodayData!$AB:$AK,9,0))</f>
        <v/>
      </c>
      <c r="F80" s="33" t="str">
        <f>IF(OR(($A80=Settings!$A$31),($A80=Settings!$A$32),ISERROR(VLOOKUP($B80,FFTodayData!$AB:$AK,4,0))),"",VLOOKUP($B80,FFTodayData!$AB:$AK,4,0))</f>
        <v/>
      </c>
      <c r="G80" s="33" t="str">
        <f>IF(OR(($A80=Settings!$A$31),($A80=Settings!$A$32),ISERROR(VLOOKUP($B80,FFTodayData!$AB:$AK,5,0))),"",VLOOKUP($B80,FFTodayData!$AB:$AK,5,0))</f>
        <v/>
      </c>
      <c r="H80" s="64" t="str">
        <f>IF(OR(($A80=Settings!$A$31),($A80=Settings!$A$32),ISERROR(VLOOKUP($B80,FFTodayData!$AB:$AK,6,0))),"",VLOOKUP($B80,FFTodayData!$AB:$AK,6,0))</f>
        <v/>
      </c>
      <c r="I80" s="117">
        <f>IF(ISERROR(VLOOKUP($A80,ESPNData!$AH:$AU,9,0)),"",VLOOKUP($A80,ESPNData!$AH:$AU,9,0))</f>
        <v>0</v>
      </c>
      <c r="J80" s="33">
        <f>IF(ISERROR(VLOOKUP($A80,ESPNData!$AH:$AU,10,0)),"",VLOOKUP($A80,ESPNData!$AH:$AU,10,0))</f>
        <v>0</v>
      </c>
      <c r="K80" s="33">
        <f>IF(ISERROR(VLOOKUP($A80,ESPNData!$AH:$AU,11,0)),"",VLOOKUP($A80,ESPNData!$AH:$AU,11,0))</f>
        <v>39</v>
      </c>
      <c r="L80" s="33">
        <f>IF(ISERROR(VLOOKUP($A80,ESPNData!$AH:$AU,12,0)),"",VLOOKUP($A80,ESPNData!$AH:$AU,12,0))</f>
        <v>628</v>
      </c>
      <c r="M80" s="64">
        <f>IF(ISERROR(VLOOKUP($A80,ESPNData!$AH:$AU,13,0)),"",VLOOKUP($A80,ESPNData!$AH:$AU,13,0))</f>
        <v>4</v>
      </c>
      <c r="N80" s="117">
        <f>IF(OR(($A80=Settings!$A$31),($A80=Settings!$A$32),ISERROR(VLOOKUP($B80,SportslineData!$AD:$AK,3,0))),"",ROUND(VLOOKUP($B80,SportslineData!$AD:$AK,3,0),0))</f>
        <v>42</v>
      </c>
      <c r="O80" s="33">
        <f>IF(OR(($A80=Settings!$A$31),($A80=Settings!$A$32),ISERROR(VLOOKUP($B80,SportslineData!$AD:$AK,4,0))),"",VLOOKUP($B80,SportslineData!$AD:$AK,4,0))</f>
        <v>589</v>
      </c>
      <c r="P80" s="33">
        <f>IF(OR(($A80=Settings!$A$31),($A80=Settings!$A$32),ISERROR(VLOOKUP($B80,SportslineData!$AD:$AK,6,0))),"",ROUND(VLOOKUP($B80,SportslineData!$AD:$AK,6,0),0))</f>
        <v>4</v>
      </c>
      <c r="Q80" s="64">
        <f>IF(OR(($A80=Settings!$A$31),($A80=Settings!$A$32),ISERROR(VLOOKUP($B80,SportslineData!$AD:$AK,7,0))),"",ROUND(VLOOKUP($B80,SportslineData!$AD:$AK,7,0),0))</f>
        <v>1</v>
      </c>
      <c r="R80" s="117"/>
      <c r="S80" s="33"/>
      <c r="T80" s="38">
        <f>IF(ISERROR(ROUND((((((ROUNDDOWN((D80/5),0)*Settings!$F$7)+(E80*Settings!$I$7))+(F80*Settings!$I$11))+(ROUNDDOWN((G80/5),0)*Settings!$F$11))+(H80*Settings!$F$12)),1)),0,ROUND((((((ROUNDDOWN((D80/5),0)*Settings!$F$7)+(E80*Settings!$I$7))+(F80*Settings!$I$11))+(ROUNDDOWN((G80/5),0)*Settings!$F$11))+(H80*Settings!$F$12)),1))</f>
        <v>0</v>
      </c>
      <c r="U80" s="38">
        <f>IF(ISERROR(ROUND((((((ROUNDDOWN((I80/5),0)*Settings!$F$7)+(J80*Settings!$I$7))+(K80*Settings!$I$11))+(ROUNDDOWN((L80/5),0)*Settings!$F$11))+(M80*Settings!$F$12)),1)),0,ROUND((((((ROUNDDOWN((I80/5),0)*Settings!$F$7)+(J80*Settings!$I$7))+(K80*Settings!$I$11))+(ROUNDDOWN((L80/5),0)*Settings!$F$11))+(M80*Settings!$F$12)),1))</f>
        <v>106</v>
      </c>
      <c r="V80" s="38">
        <f>IF((N80=""),0,((((N80*Settings!$I$11)+(ROUND((O80/5),0)*Settings!$F$11))+(P80*Settings!$F$12))+(Q80*Settings!$F$15)))</f>
        <v>103</v>
      </c>
      <c r="W80" s="66">
        <f>ROUND((((T80*Settings!$B$21)+(U80*Settings!$B$22))+(V80*Settings!$B$23)),1)</f>
        <v>70</v>
      </c>
      <c r="X80" s="66">
        <f>IF(ISERROR(VLOOKUP(RANK(W80,W$4:W$182),X$4:X79,1,0)),RANK(W80,W$4:W$182),IF(ISERROR(VLOOKUP((RANK(W80,W$4:W$182)+1),X$4:X79,1,0)),(RANK(W80,W$4:W$182)+1),IF(ISERROR(VLOOKUP((RANK(W80,W$4:W$182)+2),X$4:X79,1,0)),(RANK(W80,W$4:W$182)+2),(RANK(W80,W$4:W$182)+3))))</f>
        <v>76</v>
      </c>
      <c r="Y80" t="str">
        <f t="shared" si="8"/>
        <v>Malcom Floyd</v>
      </c>
    </row>
    <row r="81" spans="1:25" ht="12.75" customHeight="1">
      <c r="A81" s="33" t="str">
        <f>ESPNData!AH82</f>
        <v>Kenbrell Thompkins, NE WR</v>
      </c>
      <c r="B81" s="33" t="str">
        <f t="shared" si="6"/>
        <v>Kenbrell Thompkins</v>
      </c>
      <c r="C81" s="64" t="str">
        <f t="shared" si="7"/>
        <v>NE</v>
      </c>
      <c r="D81" s="117" t="str">
        <f>IF(OR(($A81=Settings!$A$31),($A81=Settings!$A$32),ISERROR(VLOOKUP($B81,FFTodayData!$AB:$AK,8,0))),"",VLOOKUP($B81,FFTodayData!$AB:$AK,8,0))</f>
        <v/>
      </c>
      <c r="E81" s="33" t="str">
        <f>IF(OR(($A81=Settings!$A$31),($A81=Settings!$A$32),ISERROR(VLOOKUP($B81,FFTodayData!$AB:$AK,9,0))),"",VLOOKUP($B81,FFTodayData!$AB:$AK,9,0))</f>
        <v/>
      </c>
      <c r="F81" s="33" t="str">
        <f>IF(OR(($A81=Settings!$A$31),($A81=Settings!$A$32),ISERROR(VLOOKUP($B81,FFTodayData!$AB:$AK,4,0))),"",VLOOKUP($B81,FFTodayData!$AB:$AK,4,0))</f>
        <v/>
      </c>
      <c r="G81" s="33" t="str">
        <f>IF(OR(($A81=Settings!$A$31),($A81=Settings!$A$32),ISERROR(VLOOKUP($B81,FFTodayData!$AB:$AK,5,0))),"",VLOOKUP($B81,FFTodayData!$AB:$AK,5,0))</f>
        <v/>
      </c>
      <c r="H81" s="64" t="str">
        <f>IF(OR(($A81=Settings!$A$31),($A81=Settings!$A$32),ISERROR(VLOOKUP($B81,FFTodayData!$AB:$AK,6,0))),"",VLOOKUP($B81,FFTodayData!$AB:$AK,6,0))</f>
        <v/>
      </c>
      <c r="I81" s="117">
        <f>IF(ISERROR(VLOOKUP($A81,ESPNData!$AH:$AU,9,0)),"",VLOOKUP($A81,ESPNData!$AH:$AU,9,0))</f>
        <v>0</v>
      </c>
      <c r="J81" s="33">
        <f>IF(ISERROR(VLOOKUP($A81,ESPNData!$AH:$AU,10,0)),"",VLOOKUP($A81,ESPNData!$AH:$AU,10,0))</f>
        <v>0</v>
      </c>
      <c r="K81" s="33">
        <f>IF(ISERROR(VLOOKUP($A81,ESPNData!$AH:$AU,11,0)),"",VLOOKUP($A81,ESPNData!$AH:$AU,11,0))</f>
        <v>39</v>
      </c>
      <c r="L81" s="33">
        <f>IF(ISERROR(VLOOKUP($A81,ESPNData!$AH:$AU,12,0)),"",VLOOKUP($A81,ESPNData!$AH:$AU,12,0))</f>
        <v>538</v>
      </c>
      <c r="M81" s="64">
        <f>IF(ISERROR(VLOOKUP($A81,ESPNData!$AH:$AU,13,0)),"",VLOOKUP($A81,ESPNData!$AH:$AU,13,0))</f>
        <v>3</v>
      </c>
      <c r="N81" s="117">
        <f>IF(OR(($A81=Settings!$A$31),($A81=Settings!$A$32),ISERROR(VLOOKUP($B81,SportslineData!$AD:$AK,3,0))),"",ROUND(VLOOKUP($B81,SportslineData!$AD:$AK,3,0),0))</f>
        <v>34</v>
      </c>
      <c r="O81" s="33">
        <f>IF(OR(($A81=Settings!$A$31),($A81=Settings!$A$32),ISERROR(VLOOKUP($B81,SportslineData!$AD:$AK,4,0))),"",VLOOKUP($B81,SportslineData!$AD:$AK,4,0))</f>
        <v>492</v>
      </c>
      <c r="P81" s="33">
        <f>IF(OR(($A81=Settings!$A$31),($A81=Settings!$A$32),ISERROR(VLOOKUP($B81,SportslineData!$AD:$AK,6,0))),"",ROUND(VLOOKUP($B81,SportslineData!$AD:$AK,6,0),0))</f>
        <v>3</v>
      </c>
      <c r="Q81" s="64">
        <f>IF(OR(($A81=Settings!$A$31),($A81=Settings!$A$32),ISERROR(VLOOKUP($B81,SportslineData!$AD:$AK,7,0))),"",ROUND(VLOOKUP($B81,SportslineData!$AD:$AK,7,0),0))</f>
        <v>0</v>
      </c>
      <c r="R81" s="117"/>
      <c r="S81" s="33"/>
      <c r="T81" s="38">
        <f>IF(ISERROR(ROUND((((((ROUNDDOWN((D81/5),0)*Settings!$F$7)+(E81*Settings!$I$7))+(F81*Settings!$I$11))+(ROUNDDOWN((G81/5),0)*Settings!$F$11))+(H81*Settings!$F$12)),1)),0,ROUND((((((ROUNDDOWN((D81/5),0)*Settings!$F$7)+(E81*Settings!$I$7))+(F81*Settings!$I$11))+(ROUNDDOWN((G81/5),0)*Settings!$F$11))+(H81*Settings!$F$12)),1))</f>
        <v>0</v>
      </c>
      <c r="U81" s="38">
        <f>IF(ISERROR(ROUND((((((ROUNDDOWN((I81/5),0)*Settings!$F$7)+(J81*Settings!$I$7))+(K81*Settings!$I$11))+(ROUNDDOWN((L81/5),0)*Settings!$F$11))+(M81*Settings!$F$12)),1)),0,ROUND((((((ROUNDDOWN((I81/5),0)*Settings!$F$7)+(J81*Settings!$I$7))+(K81*Settings!$I$11))+(ROUNDDOWN((L81/5),0)*Settings!$F$11))+(M81*Settings!$F$12)),1))</f>
        <v>91</v>
      </c>
      <c r="V81" s="38">
        <f>IF((N81=""),0,((((N81*Settings!$I$11)+(ROUND((O81/5),0)*Settings!$F$11))+(P81*Settings!$F$12))+(Q81*Settings!$F$15)))</f>
        <v>84</v>
      </c>
      <c r="W81" s="66">
        <f>ROUND((((T81*Settings!$B$21)+(U81*Settings!$B$22))+(V81*Settings!$B$23)),1)</f>
        <v>58.6</v>
      </c>
      <c r="X81" s="66">
        <f>IF(ISERROR(VLOOKUP(RANK(W81,W$4:W$182),X$4:X80,1,0)),RANK(W81,W$4:W$182),IF(ISERROR(VLOOKUP((RANK(W81,W$4:W$182)+1),X$4:X80,1,0)),(RANK(W81,W$4:W$182)+1),IF(ISERROR(VLOOKUP((RANK(W81,W$4:W$182)+2),X$4:X80,1,0)),(RANK(W81,W$4:W$182)+2),(RANK(W81,W$4:W$182)+3))))</f>
        <v>86</v>
      </c>
      <c r="Y81" t="str">
        <f t="shared" si="8"/>
        <v>Kenbrell Thompkins</v>
      </c>
    </row>
    <row r="82" spans="1:25" ht="12.75" customHeight="1">
      <c r="A82" s="33" t="str">
        <f>ESPNData!AH83</f>
        <v>Lance Moore, Pit WR</v>
      </c>
      <c r="B82" s="33" t="str">
        <f t="shared" si="6"/>
        <v>Lance Moore</v>
      </c>
      <c r="C82" s="64" t="str">
        <f t="shared" si="7"/>
        <v>PIT</v>
      </c>
      <c r="D82" s="117" t="str">
        <f>IF(OR(($A82=Settings!$A$31),($A82=Settings!$A$32),ISERROR(VLOOKUP($B82,FFTodayData!$AB:$AK,8,0))),"",VLOOKUP($B82,FFTodayData!$AB:$AK,8,0))</f>
        <v/>
      </c>
      <c r="E82" s="33" t="str">
        <f>IF(OR(($A82=Settings!$A$31),($A82=Settings!$A$32),ISERROR(VLOOKUP($B82,FFTodayData!$AB:$AK,9,0))),"",VLOOKUP($B82,FFTodayData!$AB:$AK,9,0))</f>
        <v/>
      </c>
      <c r="F82" s="33" t="str">
        <f>IF(OR(($A82=Settings!$A$31),($A82=Settings!$A$32),ISERROR(VLOOKUP($B82,FFTodayData!$AB:$AK,4,0))),"",VLOOKUP($B82,FFTodayData!$AB:$AK,4,0))</f>
        <v/>
      </c>
      <c r="G82" s="33" t="str">
        <f>IF(OR(($A82=Settings!$A$31),($A82=Settings!$A$32),ISERROR(VLOOKUP($B82,FFTodayData!$AB:$AK,5,0))),"",VLOOKUP($B82,FFTodayData!$AB:$AK,5,0))</f>
        <v/>
      </c>
      <c r="H82" s="64" t="str">
        <f>IF(OR(($A82=Settings!$A$31),($A82=Settings!$A$32),ISERROR(VLOOKUP($B82,FFTodayData!$AB:$AK,6,0))),"",VLOOKUP($B82,FFTodayData!$AB:$AK,6,0))</f>
        <v/>
      </c>
      <c r="I82" s="117">
        <f>IF(ISERROR(VLOOKUP($A82,ESPNData!$AH:$AU,9,0)),"",VLOOKUP($A82,ESPNData!$AH:$AU,9,0))</f>
        <v>0</v>
      </c>
      <c r="J82" s="33">
        <f>IF(ISERROR(VLOOKUP($A82,ESPNData!$AH:$AU,10,0)),"",VLOOKUP($A82,ESPNData!$AH:$AU,10,0))</f>
        <v>0</v>
      </c>
      <c r="K82" s="33">
        <f>IF(ISERROR(VLOOKUP($A82,ESPNData!$AH:$AU,11,0)),"",VLOOKUP($A82,ESPNData!$AH:$AU,11,0))</f>
        <v>50</v>
      </c>
      <c r="L82" s="33">
        <f>IF(ISERROR(VLOOKUP($A82,ESPNData!$AH:$AU,12,0)),"",VLOOKUP($A82,ESPNData!$AH:$AU,12,0))</f>
        <v>602</v>
      </c>
      <c r="M82" s="64">
        <f>IF(ISERROR(VLOOKUP($A82,ESPNData!$AH:$AU,13,0)),"",VLOOKUP($A82,ESPNData!$AH:$AU,13,0))</f>
        <v>2</v>
      </c>
      <c r="N82" s="117">
        <f>IF(OR(($A82=Settings!$A$31),($A82=Settings!$A$32),ISERROR(VLOOKUP($B82,SportslineData!$AD:$AK,3,0))),"",ROUND(VLOOKUP($B82,SportslineData!$AD:$AK,3,0),0))</f>
        <v>50</v>
      </c>
      <c r="O82" s="33">
        <f>IF(OR(($A82=Settings!$A$31),($A82=Settings!$A$32),ISERROR(VLOOKUP($B82,SportslineData!$AD:$AK,4,0))),"",VLOOKUP($B82,SportslineData!$AD:$AK,4,0))</f>
        <v>619</v>
      </c>
      <c r="P82" s="33">
        <f>IF(OR(($A82=Settings!$A$31),($A82=Settings!$A$32),ISERROR(VLOOKUP($B82,SportslineData!$AD:$AK,6,0))),"",ROUND(VLOOKUP($B82,SportslineData!$AD:$AK,6,0),0))</f>
        <v>3</v>
      </c>
      <c r="Q82" s="64">
        <f>IF(OR(($A82=Settings!$A$31),($A82=Settings!$A$32),ISERROR(VLOOKUP($B82,SportslineData!$AD:$AK,7,0))),"",ROUND(VLOOKUP($B82,SportslineData!$AD:$AK,7,0),0))</f>
        <v>0</v>
      </c>
      <c r="R82" s="117"/>
      <c r="S82" s="33"/>
      <c r="T82" s="38">
        <f>IF(ISERROR(ROUND((((((ROUNDDOWN((D82/5),0)*Settings!$F$7)+(E82*Settings!$I$7))+(F82*Settings!$I$11))+(ROUNDDOWN((G82/5),0)*Settings!$F$11))+(H82*Settings!$F$12)),1)),0,ROUND((((((ROUNDDOWN((D82/5),0)*Settings!$F$7)+(E82*Settings!$I$7))+(F82*Settings!$I$11))+(ROUNDDOWN((G82/5),0)*Settings!$F$11))+(H82*Settings!$F$12)),1))</f>
        <v>0</v>
      </c>
      <c r="U82" s="38">
        <f>IF(ISERROR(ROUND((((((ROUNDDOWN((I82/5),0)*Settings!$F$7)+(J82*Settings!$I$7))+(K82*Settings!$I$11))+(ROUNDDOWN((L82/5),0)*Settings!$F$11))+(M82*Settings!$F$12)),1)),0,ROUND((((((ROUNDDOWN((I82/5),0)*Settings!$F$7)+(J82*Settings!$I$7))+(K82*Settings!$I$11))+(ROUNDDOWN((L82/5),0)*Settings!$F$11))+(M82*Settings!$F$12)),1))</f>
        <v>97</v>
      </c>
      <c r="V82" s="38">
        <f>IF((N82=""),0,((((N82*Settings!$I$11)+(ROUND((O82/5),0)*Settings!$F$11))+(P82*Settings!$F$12))+(Q82*Settings!$F$15)))</f>
        <v>105</v>
      </c>
      <c r="W82" s="66">
        <f>ROUND((((T82*Settings!$B$21)+(U82*Settings!$B$22))+(V82*Settings!$B$23)),1)</f>
        <v>67.7</v>
      </c>
      <c r="X82" s="66">
        <f>IF(ISERROR(VLOOKUP(RANK(W82,W$4:W$182),X$4:X81,1,0)),RANK(W82,W$4:W$182),IF(ISERROR(VLOOKUP((RANK(W82,W$4:W$182)+1),X$4:X81,1,0)),(RANK(W82,W$4:W$182)+1),IF(ISERROR(VLOOKUP((RANK(W82,W$4:W$182)+2),X$4:X81,1,0)),(RANK(W82,W$4:W$182)+2),(RANK(W82,W$4:W$182)+3))))</f>
        <v>80</v>
      </c>
      <c r="Y82" t="str">
        <f t="shared" si="8"/>
        <v>Lance Moore</v>
      </c>
    </row>
    <row r="83" spans="1:25" ht="12.75" customHeight="1">
      <c r="A83" s="33" t="str">
        <f>ESPNData!AH84</f>
        <v>Nate Washington, Ten WR</v>
      </c>
      <c r="B83" s="33" t="str">
        <f t="shared" si="6"/>
        <v>Nate Washington</v>
      </c>
      <c r="C83" s="64" t="str">
        <f t="shared" si="7"/>
        <v>TEN</v>
      </c>
      <c r="D83" s="117">
        <f>IF(OR(($A83=Settings!$A$31),($A83=Settings!$A$32),ISERROR(VLOOKUP($B83,FFTodayData!$AB:$AK,8,0))),"",VLOOKUP($B83,FFTodayData!$AB:$AK,8,0))</f>
        <v>11</v>
      </c>
      <c r="E83" s="33">
        <f>IF(OR(($A83=Settings!$A$31),($A83=Settings!$A$32),ISERROR(VLOOKUP($B83,FFTodayData!$AB:$AK,9,0))),"",VLOOKUP($B83,FFTodayData!$AB:$AK,9,0))</f>
        <v>0</v>
      </c>
      <c r="F83" s="33">
        <f>IF(OR(($A83=Settings!$A$31),($A83=Settings!$A$32),ISERROR(VLOOKUP($B83,FFTodayData!$AB:$AK,4,0))),"",VLOOKUP($B83,FFTodayData!$AB:$AK,4,0))</f>
        <v>47</v>
      </c>
      <c r="G83" s="33">
        <f>IF(OR(($A83=Settings!$A$31),($A83=Settings!$A$32),ISERROR(VLOOKUP($B83,FFTodayData!$AB:$AK,5,0))),"",VLOOKUP($B83,FFTodayData!$AB:$AK,5,0))</f>
        <v>625</v>
      </c>
      <c r="H83" s="64">
        <f>IF(OR(($A83=Settings!$A$31),($A83=Settings!$A$32),ISERROR(VLOOKUP($B83,FFTodayData!$AB:$AK,6,0))),"",VLOOKUP($B83,FFTodayData!$AB:$AK,6,0))</f>
        <v>4</v>
      </c>
      <c r="I83" s="117">
        <f>IF(ISERROR(VLOOKUP($A83,ESPNData!$AH:$AU,9,0)),"",VLOOKUP($A83,ESPNData!$AH:$AU,9,0))</f>
        <v>0</v>
      </c>
      <c r="J83" s="33">
        <f>IF(ISERROR(VLOOKUP($A83,ESPNData!$AH:$AU,10,0)),"",VLOOKUP($A83,ESPNData!$AH:$AU,10,0))</f>
        <v>0</v>
      </c>
      <c r="K83" s="33">
        <f>IF(ISERROR(VLOOKUP($A83,ESPNData!$AH:$AU,11,0)),"",VLOOKUP($A83,ESPNData!$AH:$AU,11,0))</f>
        <v>39</v>
      </c>
      <c r="L83" s="33">
        <f>IF(ISERROR(VLOOKUP($A83,ESPNData!$AH:$AU,12,0)),"",VLOOKUP($A83,ESPNData!$AH:$AU,12,0))</f>
        <v>600</v>
      </c>
      <c r="M83" s="64">
        <f>IF(ISERROR(VLOOKUP($A83,ESPNData!$AH:$AU,13,0)),"",VLOOKUP($A83,ESPNData!$AH:$AU,13,0))</f>
        <v>2</v>
      </c>
      <c r="N83" s="117">
        <f>IF(OR(($A83=Settings!$A$31),($A83=Settings!$A$32),ISERROR(VLOOKUP($B83,SportslineData!$AD:$AK,3,0))),"",ROUND(VLOOKUP($B83,SportslineData!$AD:$AK,3,0),0))</f>
        <v>44</v>
      </c>
      <c r="O83" s="33">
        <f>IF(OR(($A83=Settings!$A$31),($A83=Settings!$A$32),ISERROR(VLOOKUP($B83,SportslineData!$AD:$AK,4,0))),"",VLOOKUP($B83,SportslineData!$AD:$AK,4,0))</f>
        <v>603.5</v>
      </c>
      <c r="P83" s="33">
        <f>IF(OR(($A83=Settings!$A$31),($A83=Settings!$A$32),ISERROR(VLOOKUP($B83,SportslineData!$AD:$AK,6,0))),"",ROUND(VLOOKUP($B83,SportslineData!$AD:$AK,6,0),0))</f>
        <v>4</v>
      </c>
      <c r="Q83" s="64">
        <f>IF(OR(($A83=Settings!$A$31),($A83=Settings!$A$32),ISERROR(VLOOKUP($B83,SportslineData!$AD:$AK,7,0))),"",ROUND(VLOOKUP($B83,SportslineData!$AD:$AK,7,0),0))</f>
        <v>1</v>
      </c>
      <c r="R83" s="117"/>
      <c r="S83" s="33"/>
      <c r="T83" s="38">
        <f>IF(ISERROR(ROUND((((((ROUNDDOWN((D83/5),0)*Settings!$F$7)+(E83*Settings!$I$7))+(F83*Settings!$I$11))+(ROUNDDOWN((G83/5),0)*Settings!$F$11))+(H83*Settings!$F$12)),1)),0,ROUND((((((ROUNDDOWN((D83/5),0)*Settings!$F$7)+(E83*Settings!$I$7))+(F83*Settings!$I$11))+(ROUNDDOWN((G83/5),0)*Settings!$F$11))+(H83*Settings!$F$12)),1))</f>
        <v>111</v>
      </c>
      <c r="U83" s="38">
        <f>IF(ISERROR(ROUND((((((ROUNDDOWN((I83/5),0)*Settings!$F$7)+(J83*Settings!$I$7))+(K83*Settings!$I$11))+(ROUNDDOWN((L83/5),0)*Settings!$F$11))+(M83*Settings!$F$12)),1)),0,ROUND((((((ROUNDDOWN((I83/5),0)*Settings!$F$7)+(J83*Settings!$I$7))+(K83*Settings!$I$11))+(ROUNDDOWN((L83/5),0)*Settings!$F$11))+(M83*Settings!$F$12)),1))</f>
        <v>91.5</v>
      </c>
      <c r="V83" s="38">
        <f>IF((N83=""),0,((((N83*Settings!$I$11)+(ROUND((O83/5),0)*Settings!$F$11))+(P83*Settings!$F$12))+(Q83*Settings!$F$15)))</f>
        <v>105.5</v>
      </c>
      <c r="W83" s="66">
        <f>ROUND((((T83*Settings!$B$21)+(U83*Settings!$B$22))+(V83*Settings!$B$23)),1)</f>
        <v>102.7</v>
      </c>
      <c r="X83" s="66">
        <f>IF(ISERROR(VLOOKUP(RANK(W83,W$4:W$182),X$4:X82,1,0)),RANK(W83,W$4:W$182),IF(ISERROR(VLOOKUP((RANK(W83,W$4:W$182)+1),X$4:X82,1,0)),(RANK(W83,W$4:W$182)+1),IF(ISERROR(VLOOKUP((RANK(W83,W$4:W$182)+2),X$4:X82,1,0)),(RANK(W83,W$4:W$182)+2),(RANK(W83,W$4:W$182)+3))))</f>
        <v>54</v>
      </c>
      <c r="Y83" t="str">
        <f t="shared" si="8"/>
        <v>Nate Washington</v>
      </c>
    </row>
    <row r="84" spans="1:25" ht="12.75" customHeight="1">
      <c r="A84" s="33" t="str">
        <f>ESPNData!AH87</f>
        <v>Marvin Jones*, Cin WR  O</v>
      </c>
      <c r="B84" s="33" t="str">
        <f t="shared" si="6"/>
        <v>Marvin Jones</v>
      </c>
      <c r="C84" s="64" t="str">
        <f t="shared" si="7"/>
        <v>CIN</v>
      </c>
      <c r="D84" s="117" t="str">
        <f>IF(OR(($A84=Settings!$A$31),($A84=Settings!$A$32),ISERROR(VLOOKUP($B84,FFTodayData!$AB:$AK,8,0))),"",VLOOKUP($B84,FFTodayData!$AB:$AK,8,0))</f>
        <v/>
      </c>
      <c r="E84" s="33" t="str">
        <f>IF(OR(($A84=Settings!$A$31),($A84=Settings!$A$32),ISERROR(VLOOKUP($B84,FFTodayData!$AB:$AK,9,0))),"",VLOOKUP($B84,FFTodayData!$AB:$AK,9,0))</f>
        <v/>
      </c>
      <c r="F84" s="33" t="str">
        <f>IF(OR(($A84=Settings!$A$31),($A84=Settings!$A$32),ISERROR(VLOOKUP($B84,FFTodayData!$AB:$AK,4,0))),"",VLOOKUP($B84,FFTodayData!$AB:$AK,4,0))</f>
        <v/>
      </c>
      <c r="G84" s="33" t="str">
        <f>IF(OR(($A84=Settings!$A$31),($A84=Settings!$A$32),ISERROR(VLOOKUP($B84,FFTodayData!$AB:$AK,5,0))),"",VLOOKUP($B84,FFTodayData!$AB:$AK,5,0))</f>
        <v/>
      </c>
      <c r="H84" s="64" t="str">
        <f>IF(OR(($A84=Settings!$A$31),($A84=Settings!$A$32),ISERROR(VLOOKUP($B84,FFTodayData!$AB:$AK,6,0))),"",VLOOKUP($B84,FFTodayData!$AB:$AK,6,0))</f>
        <v/>
      </c>
      <c r="I84" s="117">
        <f>IF(ISERROR(VLOOKUP($A84,ESPNData!$AH:$AU,9,0)),"",VLOOKUP($A84,ESPNData!$AH:$AU,9,0))</f>
        <v>48</v>
      </c>
      <c r="J84" s="33">
        <f>IF(ISERROR(VLOOKUP($A84,ESPNData!$AH:$AU,10,0)),"",VLOOKUP($A84,ESPNData!$AH:$AU,10,0))</f>
        <v>0</v>
      </c>
      <c r="K84" s="33">
        <f>IF(ISERROR(VLOOKUP($A84,ESPNData!$AH:$AU,11,0)),"",VLOOKUP($A84,ESPNData!$AH:$AU,11,0))</f>
        <v>41</v>
      </c>
      <c r="L84" s="33">
        <f>IF(ISERROR(VLOOKUP($A84,ESPNData!$AH:$AU,12,0)),"",VLOOKUP($A84,ESPNData!$AH:$AU,12,0))</f>
        <v>483</v>
      </c>
      <c r="M84" s="64">
        <f>IF(ISERROR(VLOOKUP($A84,ESPNData!$AH:$AU,13,0)),"",VLOOKUP($A84,ESPNData!$AH:$AU,13,0))</f>
        <v>4</v>
      </c>
      <c r="N84" s="117">
        <f>IF(OR(($A84=Settings!$A$31),($A84=Settings!$A$32),ISERROR(VLOOKUP($B84,SportslineData!$AD:$AK,3,0))),"",ROUND(VLOOKUP($B84,SportslineData!$AD:$AK,3,0),0))</f>
        <v>42</v>
      </c>
      <c r="O84" s="33">
        <f>IF(OR(($A84=Settings!$A$31),($A84=Settings!$A$32),ISERROR(VLOOKUP($B84,SportslineData!$AD:$AK,4,0))),"",VLOOKUP($B84,SportslineData!$AD:$AK,4,0))</f>
        <v>606.5</v>
      </c>
      <c r="P84" s="33">
        <f>IF(OR(($A84=Settings!$A$31),($A84=Settings!$A$32),ISERROR(VLOOKUP($B84,SportslineData!$AD:$AK,6,0))),"",ROUND(VLOOKUP($B84,SportslineData!$AD:$AK,6,0),0))</f>
        <v>5</v>
      </c>
      <c r="Q84" s="64">
        <f>IF(OR(($A84=Settings!$A$31),($A84=Settings!$A$32),ISERROR(VLOOKUP($B84,SportslineData!$AD:$AK,7,0))),"",ROUND(VLOOKUP($B84,SportslineData!$AD:$AK,7,0),0))</f>
        <v>1</v>
      </c>
      <c r="R84" s="117"/>
      <c r="S84" s="33"/>
      <c r="T84" s="38">
        <f>IF(ISERROR(ROUND((((((ROUNDDOWN((D84/5),0)*Settings!$F$7)+(E84*Settings!$I$7))+(F84*Settings!$I$11))+(ROUNDDOWN((G84/5),0)*Settings!$F$11))+(H84*Settings!$F$12)),1)),0,ROUND((((((ROUNDDOWN((D84/5),0)*Settings!$F$7)+(E84*Settings!$I$7))+(F84*Settings!$I$11))+(ROUNDDOWN((G84/5),0)*Settings!$F$11))+(H84*Settings!$F$12)),1))</f>
        <v>0</v>
      </c>
      <c r="U84" s="38">
        <f>IF(ISERROR(ROUND((((((ROUNDDOWN((I84/5),0)*Settings!$F$7)+(J84*Settings!$I$7))+(K84*Settings!$I$11))+(ROUNDDOWN((L84/5),0)*Settings!$F$11))+(M84*Settings!$F$12)),1)),0,ROUND((((((ROUNDDOWN((I84/5),0)*Settings!$F$7)+(J84*Settings!$I$7))+(K84*Settings!$I$11))+(ROUNDDOWN((L84/5),0)*Settings!$F$11))+(M84*Settings!$F$12)),1))</f>
        <v>97</v>
      </c>
      <c r="V84" s="38">
        <f>IF((N84=""),0,((((N84*Settings!$I$11)+(ROUND((O84/5),0)*Settings!$F$11))+(P84*Settings!$F$12))+(Q84*Settings!$F$15)))</f>
        <v>110.5</v>
      </c>
      <c r="W84" s="66">
        <f>ROUND((((T84*Settings!$B$21)+(U84*Settings!$B$22))+(V84*Settings!$B$23)),1)</f>
        <v>69.599999999999994</v>
      </c>
      <c r="X84" s="66">
        <f>IF(ISERROR(VLOOKUP(RANK(W84,W$4:W$182),X$4:X83,1,0)),RANK(W84,W$4:W$182),IF(ISERROR(VLOOKUP((RANK(W84,W$4:W$182)+1),X$4:X83,1,0)),(RANK(W84,W$4:W$182)+1),IF(ISERROR(VLOOKUP((RANK(W84,W$4:W$182)+2),X$4:X83,1,0)),(RANK(W84,W$4:W$182)+2),(RANK(W84,W$4:W$182)+3))))</f>
        <v>77</v>
      </c>
      <c r="Y84" t="str">
        <f t="shared" si="8"/>
        <v>Marvin Jones</v>
      </c>
    </row>
    <row r="85" spans="1:25" ht="12.75" customHeight="1">
      <c r="A85" s="33" t="str">
        <f>ESPNData!AH88</f>
        <v>Donnie Avery, KC WR</v>
      </c>
      <c r="B85" s="33" t="str">
        <f t="shared" si="6"/>
        <v>Donnie Avery</v>
      </c>
      <c r="C85" s="64" t="str">
        <f t="shared" si="7"/>
        <v>KC</v>
      </c>
      <c r="D85" s="117">
        <f>IF(OR(($A85=Settings!$A$31),($A85=Settings!$A$32),ISERROR(VLOOKUP($B85,FFTodayData!$AB:$AK,8,0))),"",VLOOKUP($B85,FFTodayData!$AB:$AK,8,0))</f>
        <v>0</v>
      </c>
      <c r="E85" s="33">
        <f>IF(OR(($A85=Settings!$A$31),($A85=Settings!$A$32),ISERROR(VLOOKUP($B85,FFTodayData!$AB:$AK,9,0))),"",VLOOKUP($B85,FFTodayData!$AB:$AK,9,0))</f>
        <v>0</v>
      </c>
      <c r="F85" s="33">
        <f>IF(OR(($A85=Settings!$A$31),($A85=Settings!$A$32),ISERROR(VLOOKUP($B85,FFTodayData!$AB:$AK,4,0))),"",VLOOKUP($B85,FFTodayData!$AB:$AK,4,0))</f>
        <v>25</v>
      </c>
      <c r="G85" s="33">
        <f>IF(OR(($A85=Settings!$A$31),($A85=Settings!$A$32),ISERROR(VLOOKUP($B85,FFTodayData!$AB:$AK,5,0))),"",VLOOKUP($B85,FFTodayData!$AB:$AK,5,0))</f>
        <v>335</v>
      </c>
      <c r="H85" s="64">
        <f>IF(OR(($A85=Settings!$A$31),($A85=Settings!$A$32),ISERROR(VLOOKUP($B85,FFTodayData!$AB:$AK,6,0))),"",VLOOKUP($B85,FFTodayData!$AB:$AK,6,0))</f>
        <v>2</v>
      </c>
      <c r="I85" s="117">
        <f>IF(ISERROR(VLOOKUP($A85,ESPNData!$AH:$AU,9,0)),"",VLOOKUP($A85,ESPNData!$AH:$AU,9,0))</f>
        <v>12</v>
      </c>
      <c r="J85" s="33">
        <f>IF(ISERROR(VLOOKUP($A85,ESPNData!$AH:$AU,10,0)),"",VLOOKUP($A85,ESPNData!$AH:$AU,10,0))</f>
        <v>0</v>
      </c>
      <c r="K85" s="33">
        <f>IF(ISERROR(VLOOKUP($A85,ESPNData!$AH:$AU,11,0)),"",VLOOKUP($A85,ESPNData!$AH:$AU,11,0))</f>
        <v>43</v>
      </c>
      <c r="L85" s="33">
        <f>IF(ISERROR(VLOOKUP($A85,ESPNData!$AH:$AU,12,0)),"",VLOOKUP($A85,ESPNData!$AH:$AU,12,0))</f>
        <v>632</v>
      </c>
      <c r="M85" s="64">
        <f>IF(ISERROR(VLOOKUP($A85,ESPNData!$AH:$AU,13,0)),"",VLOOKUP($A85,ESPNData!$AH:$AU,13,0))</f>
        <v>3</v>
      </c>
      <c r="N85" s="117">
        <f>IF(OR(($A85=Settings!$A$31),($A85=Settings!$A$32),ISERROR(VLOOKUP($B85,SportslineData!$AD:$AK,3,0))),"",ROUND(VLOOKUP($B85,SportslineData!$AD:$AK,3,0),0))</f>
        <v>45</v>
      </c>
      <c r="O85" s="33">
        <f>IF(OR(($A85=Settings!$A$31),($A85=Settings!$A$32),ISERROR(VLOOKUP($B85,SportslineData!$AD:$AK,4,0))),"",VLOOKUP($B85,SportslineData!$AD:$AK,4,0))</f>
        <v>603.5</v>
      </c>
      <c r="P85" s="33">
        <f>IF(OR(($A85=Settings!$A$31),($A85=Settings!$A$32),ISERROR(VLOOKUP($B85,SportslineData!$AD:$AK,6,0))),"",ROUND(VLOOKUP($B85,SportslineData!$AD:$AK,6,0),0))</f>
        <v>3</v>
      </c>
      <c r="Q85" s="64">
        <f>IF(OR(($A85=Settings!$A$31),($A85=Settings!$A$32),ISERROR(VLOOKUP($B85,SportslineData!$AD:$AK,7,0))),"",ROUND(VLOOKUP($B85,SportslineData!$AD:$AK,7,0),0))</f>
        <v>0</v>
      </c>
      <c r="R85" s="117"/>
      <c r="S85" s="33"/>
      <c r="T85" s="38">
        <f>IF(ISERROR(ROUND((((((ROUNDDOWN((D85/5),0)*Settings!$F$7)+(E85*Settings!$I$7))+(F85*Settings!$I$11))+(ROUNDDOWN((G85/5),0)*Settings!$F$11))+(H85*Settings!$F$12)),1)),0,ROUND((((((ROUNDDOWN((D85/5),0)*Settings!$F$7)+(E85*Settings!$I$7))+(F85*Settings!$I$11))+(ROUNDDOWN((G85/5),0)*Settings!$F$11))+(H85*Settings!$F$12)),1))</f>
        <v>58</v>
      </c>
      <c r="U85" s="38">
        <f>IF(ISERROR(ROUND((((((ROUNDDOWN((I85/5),0)*Settings!$F$7)+(J85*Settings!$I$7))+(K85*Settings!$I$11))+(ROUNDDOWN((L85/5),0)*Settings!$F$11))+(M85*Settings!$F$12)),1)),0,ROUND((((((ROUNDDOWN((I85/5),0)*Settings!$F$7)+(J85*Settings!$I$7))+(K85*Settings!$I$11))+(ROUNDDOWN((L85/5),0)*Settings!$F$11))+(M85*Settings!$F$12)),1))</f>
        <v>103.5</v>
      </c>
      <c r="V85" s="38">
        <f>IF((N85=""),0,((((N85*Settings!$I$11)+(ROUND((O85/5),0)*Settings!$F$11))+(P85*Settings!$F$12))+(Q85*Settings!$F$15)))</f>
        <v>101</v>
      </c>
      <c r="W85" s="66">
        <f>ROUND((((T85*Settings!$B$21)+(U85*Settings!$B$22))+(V85*Settings!$B$23)),1)</f>
        <v>87.6</v>
      </c>
      <c r="X85" s="66">
        <f>IF(ISERROR(VLOOKUP(RANK(W85,W$4:W$182),X$4:X84,1,0)),RANK(W85,W$4:W$182),IF(ISERROR(VLOOKUP((RANK(W85,W$4:W$182)+1),X$4:X84,1,0)),(RANK(W85,W$4:W$182)+1),IF(ISERROR(VLOOKUP((RANK(W85,W$4:W$182)+2),X$4:X84,1,0)),(RANK(W85,W$4:W$182)+2),(RANK(W85,W$4:W$182)+3))))</f>
        <v>61</v>
      </c>
      <c r="Y85" t="str">
        <f t="shared" si="8"/>
        <v>Donnie Avery</v>
      </c>
    </row>
    <row r="86" spans="1:25" ht="12.75" customHeight="1">
      <c r="A86" s="33" t="str">
        <f>ESPNData!AH89</f>
        <v>Jermaine Kearse, Sea WR</v>
      </c>
      <c r="B86" s="33" t="str">
        <f t="shared" si="6"/>
        <v>Jermaine Kearse</v>
      </c>
      <c r="C86" s="64" t="str">
        <f t="shared" si="7"/>
        <v>SEA</v>
      </c>
      <c r="D86" s="117" t="str">
        <f>IF(OR(($A86=Settings!$A$31),($A86=Settings!$A$32),ISERROR(VLOOKUP($B86,FFTodayData!$AB:$AK,8,0))),"",VLOOKUP($B86,FFTodayData!$AB:$AK,8,0))</f>
        <v/>
      </c>
      <c r="E86" s="33" t="str">
        <f>IF(OR(($A86=Settings!$A$31),($A86=Settings!$A$32),ISERROR(VLOOKUP($B86,FFTodayData!$AB:$AK,9,0))),"",VLOOKUP($B86,FFTodayData!$AB:$AK,9,0))</f>
        <v/>
      </c>
      <c r="F86" s="33" t="str">
        <f>IF(OR(($A86=Settings!$A$31),($A86=Settings!$A$32),ISERROR(VLOOKUP($B86,FFTodayData!$AB:$AK,4,0))),"",VLOOKUP($B86,FFTodayData!$AB:$AK,4,0))</f>
        <v/>
      </c>
      <c r="G86" s="33" t="str">
        <f>IF(OR(($A86=Settings!$A$31),($A86=Settings!$A$32),ISERROR(VLOOKUP($B86,FFTodayData!$AB:$AK,5,0))),"",VLOOKUP($B86,FFTodayData!$AB:$AK,5,0))</f>
        <v/>
      </c>
      <c r="H86" s="64" t="str">
        <f>IF(OR(($A86=Settings!$A$31),($A86=Settings!$A$32),ISERROR(VLOOKUP($B86,FFTodayData!$AB:$AK,6,0))),"",VLOOKUP($B86,FFTodayData!$AB:$AK,6,0))</f>
        <v/>
      </c>
      <c r="I86" s="117">
        <f>IF(ISERROR(VLOOKUP($A86,ESPNData!$AH:$AU,9,0)),"",VLOOKUP($A86,ESPNData!$AH:$AU,9,0))</f>
        <v>0</v>
      </c>
      <c r="J86" s="33">
        <f>IF(ISERROR(VLOOKUP($A86,ESPNData!$AH:$AU,10,0)),"",VLOOKUP($A86,ESPNData!$AH:$AU,10,0))</f>
        <v>0</v>
      </c>
      <c r="K86" s="33">
        <f>IF(ISERROR(VLOOKUP($A86,ESPNData!$AH:$AU,11,0)),"",VLOOKUP($A86,ESPNData!$AH:$AU,11,0))</f>
        <v>33</v>
      </c>
      <c r="L86" s="33">
        <f>IF(ISERROR(VLOOKUP($A86,ESPNData!$AH:$AU,12,0)),"",VLOOKUP($A86,ESPNData!$AH:$AU,12,0))</f>
        <v>492</v>
      </c>
      <c r="M86" s="64">
        <f>IF(ISERROR(VLOOKUP($A86,ESPNData!$AH:$AU,13,0)),"",VLOOKUP($A86,ESPNData!$AH:$AU,13,0))</f>
        <v>3</v>
      </c>
      <c r="N86" s="117">
        <f>IF(OR(($A86=Settings!$A$31),($A86=Settings!$A$32),ISERROR(VLOOKUP($B86,SportslineData!$AD:$AK,3,0))),"",ROUND(VLOOKUP($B86,SportslineData!$AD:$AK,3,0),0))</f>
        <v>23</v>
      </c>
      <c r="O86" s="33">
        <f>IF(OR(($A86=Settings!$A$31),($A86=Settings!$A$32),ISERROR(VLOOKUP($B86,SportslineData!$AD:$AK,4,0))),"",VLOOKUP($B86,SportslineData!$AD:$AK,4,0))</f>
        <v>368</v>
      </c>
      <c r="P86" s="33">
        <f>IF(OR(($A86=Settings!$A$31),($A86=Settings!$A$32),ISERROR(VLOOKUP($B86,SportslineData!$AD:$AK,6,0))),"",ROUND(VLOOKUP($B86,SportslineData!$AD:$AK,6,0),0))</f>
        <v>2</v>
      </c>
      <c r="Q86" s="64">
        <f>IF(OR(($A86=Settings!$A$31),($A86=Settings!$A$32),ISERROR(VLOOKUP($B86,SportslineData!$AD:$AK,7,0))),"",ROUND(VLOOKUP($B86,SportslineData!$AD:$AK,7,0),0))</f>
        <v>0</v>
      </c>
      <c r="R86" s="117"/>
      <c r="S86" s="33"/>
      <c r="T86" s="38">
        <f>IF(ISERROR(ROUND((((((ROUNDDOWN((D86/5),0)*Settings!$F$7)+(E86*Settings!$I$7))+(F86*Settings!$I$11))+(ROUNDDOWN((G86/5),0)*Settings!$F$11))+(H86*Settings!$F$12)),1)),0,ROUND((((((ROUNDDOWN((D86/5),0)*Settings!$F$7)+(E86*Settings!$I$7))+(F86*Settings!$I$11))+(ROUNDDOWN((G86/5),0)*Settings!$F$11))+(H86*Settings!$F$12)),1))</f>
        <v>0</v>
      </c>
      <c r="U86" s="38">
        <f>IF(ISERROR(ROUND((((((ROUNDDOWN((I86/5),0)*Settings!$F$7)+(J86*Settings!$I$7))+(K86*Settings!$I$11))+(ROUNDDOWN((L86/5),0)*Settings!$F$11))+(M86*Settings!$F$12)),1)),0,ROUND((((((ROUNDDOWN((I86/5),0)*Settings!$F$7)+(J86*Settings!$I$7))+(K86*Settings!$I$11))+(ROUNDDOWN((L86/5),0)*Settings!$F$11))+(M86*Settings!$F$12)),1))</f>
        <v>83.5</v>
      </c>
      <c r="V86" s="38">
        <f>IF((N86=""),0,((((N86*Settings!$I$11)+(ROUND((O86/5),0)*Settings!$F$11))+(P86*Settings!$F$12))+(Q86*Settings!$F$15)))</f>
        <v>60.5</v>
      </c>
      <c r="W86" s="66">
        <f>ROUND((((T86*Settings!$B$21)+(U86*Settings!$B$22))+(V86*Settings!$B$23)),1)</f>
        <v>48.1</v>
      </c>
      <c r="X86" s="66">
        <f>IF(ISERROR(VLOOKUP(RANK(W86,W$4:W$182),X$4:X85,1,0)),RANK(W86,W$4:W$182),IF(ISERROR(VLOOKUP((RANK(W86,W$4:W$182)+1),X$4:X85,1,0)),(RANK(W86,W$4:W$182)+1),IF(ISERROR(VLOOKUP((RANK(W86,W$4:W$182)+2),X$4:X85,1,0)),(RANK(W86,W$4:W$182)+2),(RANK(W86,W$4:W$182)+3))))</f>
        <v>97</v>
      </c>
      <c r="Y86" t="str">
        <f t="shared" si="8"/>
        <v>Jermaine Kearse</v>
      </c>
    </row>
    <row r="87" spans="1:25" ht="12.75" customHeight="1">
      <c r="A87" s="33" t="str">
        <f>ESPNData!AH90</f>
        <v>Marlon Brown, Bal WR</v>
      </c>
      <c r="B87" s="33" t="str">
        <f t="shared" si="6"/>
        <v>Marlon Brown</v>
      </c>
      <c r="C87" s="64" t="str">
        <f t="shared" si="7"/>
        <v>BAL</v>
      </c>
      <c r="D87" s="117" t="str">
        <f>IF(OR(($A87=Settings!$A$31),($A87=Settings!$A$32),ISERROR(VLOOKUP($B87,FFTodayData!$AB:$AK,8,0))),"",VLOOKUP($B87,FFTodayData!$AB:$AK,8,0))</f>
        <v/>
      </c>
      <c r="E87" s="33" t="str">
        <f>IF(OR(($A87=Settings!$A$31),($A87=Settings!$A$32),ISERROR(VLOOKUP($B87,FFTodayData!$AB:$AK,9,0))),"",VLOOKUP($B87,FFTodayData!$AB:$AK,9,0))</f>
        <v/>
      </c>
      <c r="F87" s="33" t="str">
        <f>IF(OR(($A87=Settings!$A$31),($A87=Settings!$A$32),ISERROR(VLOOKUP($B87,FFTodayData!$AB:$AK,4,0))),"",VLOOKUP($B87,FFTodayData!$AB:$AK,4,0))</f>
        <v/>
      </c>
      <c r="G87" s="33" t="str">
        <f>IF(OR(($A87=Settings!$A$31),($A87=Settings!$A$32),ISERROR(VLOOKUP($B87,FFTodayData!$AB:$AK,5,0))),"",VLOOKUP($B87,FFTodayData!$AB:$AK,5,0))</f>
        <v/>
      </c>
      <c r="H87" s="64" t="str">
        <f>IF(OR(($A87=Settings!$A$31),($A87=Settings!$A$32),ISERROR(VLOOKUP($B87,FFTodayData!$AB:$AK,6,0))),"",VLOOKUP($B87,FFTodayData!$AB:$AK,6,0))</f>
        <v/>
      </c>
      <c r="I87" s="117">
        <f>IF(ISERROR(VLOOKUP($A87,ESPNData!$AH:$AU,9,0)),"",VLOOKUP($A87,ESPNData!$AH:$AU,9,0))</f>
        <v>0</v>
      </c>
      <c r="J87" s="33">
        <f>IF(ISERROR(VLOOKUP($A87,ESPNData!$AH:$AU,10,0)),"",VLOOKUP($A87,ESPNData!$AH:$AU,10,0))</f>
        <v>0</v>
      </c>
      <c r="K87" s="33">
        <f>IF(ISERROR(VLOOKUP($A87,ESPNData!$AH:$AU,11,0)),"",VLOOKUP($A87,ESPNData!$AH:$AU,11,0))</f>
        <v>33</v>
      </c>
      <c r="L87" s="33">
        <f>IF(ISERROR(VLOOKUP($A87,ESPNData!$AH:$AU,12,0)),"",VLOOKUP($A87,ESPNData!$AH:$AU,12,0))</f>
        <v>363</v>
      </c>
      <c r="M87" s="64">
        <f>IF(ISERROR(VLOOKUP($A87,ESPNData!$AH:$AU,13,0)),"",VLOOKUP($A87,ESPNData!$AH:$AU,13,0))</f>
        <v>4</v>
      </c>
      <c r="N87" s="117">
        <f>IF(OR(($A87=Settings!$A$31),($A87=Settings!$A$32),ISERROR(VLOOKUP($B87,SportslineData!$AD:$AK,3,0))),"",ROUND(VLOOKUP($B87,SportslineData!$AD:$AK,3,0),0))</f>
        <v>34</v>
      </c>
      <c r="O87" s="33">
        <f>IF(OR(($A87=Settings!$A$31),($A87=Settings!$A$32),ISERROR(VLOOKUP($B87,SportslineData!$AD:$AK,4,0))),"",VLOOKUP($B87,SportslineData!$AD:$AK,4,0))</f>
        <v>437.5</v>
      </c>
      <c r="P87" s="33">
        <f>IF(OR(($A87=Settings!$A$31),($A87=Settings!$A$32),ISERROR(VLOOKUP($B87,SportslineData!$AD:$AK,6,0))),"",ROUND(VLOOKUP($B87,SportslineData!$AD:$AK,6,0),0))</f>
        <v>2</v>
      </c>
      <c r="Q87" s="64">
        <f>IF(OR(($A87=Settings!$A$31),($A87=Settings!$A$32),ISERROR(VLOOKUP($B87,SportslineData!$AD:$AK,7,0))),"",ROUND(VLOOKUP($B87,SportslineData!$AD:$AK,7,0),0))</f>
        <v>0</v>
      </c>
      <c r="R87" s="117"/>
      <c r="S87" s="33"/>
      <c r="T87" s="38">
        <f>IF(ISERROR(ROUND((((((ROUNDDOWN((D87/5),0)*Settings!$F$7)+(E87*Settings!$I$7))+(F87*Settings!$I$11))+(ROUNDDOWN((G87/5),0)*Settings!$F$11))+(H87*Settings!$F$12)),1)),0,ROUND((((((ROUNDDOWN((D87/5),0)*Settings!$F$7)+(E87*Settings!$I$7))+(F87*Settings!$I$11))+(ROUNDDOWN((G87/5),0)*Settings!$F$11))+(H87*Settings!$F$12)),1))</f>
        <v>0</v>
      </c>
      <c r="U87" s="38">
        <f>IF(ISERROR(ROUND((((((ROUNDDOWN((I87/5),0)*Settings!$F$7)+(J87*Settings!$I$7))+(K87*Settings!$I$11))+(ROUNDDOWN((L87/5),0)*Settings!$F$11))+(M87*Settings!$F$12)),1)),0,ROUND((((((ROUNDDOWN((I87/5),0)*Settings!$F$7)+(J87*Settings!$I$7))+(K87*Settings!$I$11))+(ROUNDDOWN((L87/5),0)*Settings!$F$11))+(M87*Settings!$F$12)),1))</f>
        <v>76.5</v>
      </c>
      <c r="V87" s="38">
        <f>IF((N87=""),0,((((N87*Settings!$I$11)+(ROUND((O87/5),0)*Settings!$F$11))+(P87*Settings!$F$12))+(Q87*Settings!$F$15)))</f>
        <v>73</v>
      </c>
      <c r="W87" s="66">
        <f>ROUND((((T87*Settings!$B$21)+(U87*Settings!$B$22))+(V87*Settings!$B$23)),1)</f>
        <v>50.1</v>
      </c>
      <c r="X87" s="66">
        <f>IF(ISERROR(VLOOKUP(RANK(W87,W$4:W$182),X$4:X86,1,0)),RANK(W87,W$4:W$182),IF(ISERROR(VLOOKUP((RANK(W87,W$4:W$182)+1),X$4:X86,1,0)),(RANK(W87,W$4:W$182)+1),IF(ISERROR(VLOOKUP((RANK(W87,W$4:W$182)+2),X$4:X86,1,0)),(RANK(W87,W$4:W$182)+2),(RANK(W87,W$4:W$182)+3))))</f>
        <v>95</v>
      </c>
      <c r="Y87" t="str">
        <f t="shared" si="8"/>
        <v>Marlon Brown</v>
      </c>
    </row>
    <row r="88" spans="1:25" ht="12.75" customHeight="1">
      <c r="A88" s="33" t="str">
        <f>ESPNData!AH91</f>
        <v>Jeremy Kerley, NYJ WR</v>
      </c>
      <c r="B88" s="33" t="str">
        <f t="shared" si="6"/>
        <v>Jeremy Kerley</v>
      </c>
      <c r="C88" s="64" t="str">
        <f t="shared" si="7"/>
        <v>NYJ</v>
      </c>
      <c r="D88" s="117">
        <f>IF(OR(($A88=Settings!$A$31),($A88=Settings!$A$32),ISERROR(VLOOKUP($B88,FFTodayData!$AB:$AK,8,0))),"",VLOOKUP($B88,FFTodayData!$AB:$AK,8,0))</f>
        <v>0</v>
      </c>
      <c r="E88" s="33">
        <f>IF(OR(($A88=Settings!$A$31),($A88=Settings!$A$32),ISERROR(VLOOKUP($B88,FFTodayData!$AB:$AK,9,0))),"",VLOOKUP($B88,FFTodayData!$AB:$AK,9,0))</f>
        <v>0</v>
      </c>
      <c r="F88" s="33">
        <f>IF(OR(($A88=Settings!$A$31),($A88=Settings!$A$32),ISERROR(VLOOKUP($B88,FFTodayData!$AB:$AK,4,0))),"",VLOOKUP($B88,FFTodayData!$AB:$AK,4,0))</f>
        <v>19</v>
      </c>
      <c r="G88" s="33">
        <f>IF(OR(($A88=Settings!$A$31),($A88=Settings!$A$32),ISERROR(VLOOKUP($B88,FFTodayData!$AB:$AK,5,0))),"",VLOOKUP($B88,FFTodayData!$AB:$AK,5,0))</f>
        <v>289</v>
      </c>
      <c r="H88" s="64">
        <f>IF(OR(($A88=Settings!$A$31),($A88=Settings!$A$32),ISERROR(VLOOKUP($B88,FFTodayData!$AB:$AK,6,0))),"",VLOOKUP($B88,FFTodayData!$AB:$AK,6,0))</f>
        <v>1</v>
      </c>
      <c r="I88" s="117">
        <f>IF(ISERROR(VLOOKUP($A88,ESPNData!$AH:$AU,9,0)),"",VLOOKUP($A88,ESPNData!$AH:$AU,9,0))</f>
        <v>19</v>
      </c>
      <c r="J88" s="33">
        <f>IF(ISERROR(VLOOKUP($A88,ESPNData!$AH:$AU,10,0)),"",VLOOKUP($A88,ESPNData!$AH:$AU,10,0))</f>
        <v>0</v>
      </c>
      <c r="K88" s="33">
        <f>IF(ISERROR(VLOOKUP($A88,ESPNData!$AH:$AU,11,0)),"",VLOOKUP($A88,ESPNData!$AH:$AU,11,0))</f>
        <v>51</v>
      </c>
      <c r="L88" s="33">
        <f>IF(ISERROR(VLOOKUP($A88,ESPNData!$AH:$AU,12,0)),"",VLOOKUP($A88,ESPNData!$AH:$AU,12,0))</f>
        <v>616</v>
      </c>
      <c r="M88" s="64">
        <f>IF(ISERROR(VLOOKUP($A88,ESPNData!$AH:$AU,13,0)),"",VLOOKUP($A88,ESPNData!$AH:$AU,13,0))</f>
        <v>2</v>
      </c>
      <c r="N88" s="117">
        <f>IF(OR(($A88=Settings!$A$31),($A88=Settings!$A$32),ISERROR(VLOOKUP($B88,SportslineData!$AD:$AK,3,0))),"",ROUND(VLOOKUP($B88,SportslineData!$AD:$AK,3,0),0))</f>
        <v>46</v>
      </c>
      <c r="O88" s="33">
        <f>IF(OR(($A88=Settings!$A$31),($A88=Settings!$A$32),ISERROR(VLOOKUP($B88,SportslineData!$AD:$AK,4,0))),"",VLOOKUP($B88,SportslineData!$AD:$AK,4,0))</f>
        <v>601</v>
      </c>
      <c r="P88" s="33">
        <f>IF(OR(($A88=Settings!$A$31),($A88=Settings!$A$32),ISERROR(VLOOKUP($B88,SportslineData!$AD:$AK,6,0))),"",ROUND(VLOOKUP($B88,SportslineData!$AD:$AK,6,0),0))</f>
        <v>3</v>
      </c>
      <c r="Q88" s="64">
        <f>IF(OR(($A88=Settings!$A$31),($A88=Settings!$A$32),ISERROR(VLOOKUP($B88,SportslineData!$AD:$AK,7,0))),"",ROUND(VLOOKUP($B88,SportslineData!$AD:$AK,7,0),0))</f>
        <v>1</v>
      </c>
      <c r="R88" s="117"/>
      <c r="S88" s="33"/>
      <c r="T88" s="38">
        <f>IF(ISERROR(ROUND((((((ROUNDDOWN((D88/5),0)*Settings!$F$7)+(E88*Settings!$I$7))+(F88*Settings!$I$11))+(ROUNDDOWN((G88/5),0)*Settings!$F$11))+(H88*Settings!$F$12)),1)),0,ROUND((((((ROUNDDOWN((D88/5),0)*Settings!$F$7)+(E88*Settings!$I$7))+(F88*Settings!$I$11))+(ROUNDDOWN((G88/5),0)*Settings!$F$11))+(H88*Settings!$F$12)),1))</f>
        <v>44</v>
      </c>
      <c r="U88" s="38">
        <f>IF(ISERROR(ROUND((((((ROUNDDOWN((I88/5),0)*Settings!$F$7)+(J88*Settings!$I$7))+(K88*Settings!$I$11))+(ROUNDDOWN((L88/5),0)*Settings!$F$11))+(M88*Settings!$F$12)),1)),0,ROUND((((((ROUNDDOWN((I88/5),0)*Settings!$F$7)+(J88*Settings!$I$7))+(K88*Settings!$I$11))+(ROUNDDOWN((L88/5),0)*Settings!$F$11))+(M88*Settings!$F$12)),1))</f>
        <v>100.5</v>
      </c>
      <c r="V88" s="38">
        <f>IF((N88=""),0,((((N88*Settings!$I$11)+(ROUND((O88/5),0)*Settings!$F$11))+(P88*Settings!$F$12))+(Q88*Settings!$F$15)))</f>
        <v>100</v>
      </c>
      <c r="W88" s="66">
        <f>ROUND((((T88*Settings!$B$21)+(U88*Settings!$B$22))+(V88*Settings!$B$23)),1)</f>
        <v>81.7</v>
      </c>
      <c r="X88" s="66">
        <f>IF(ISERROR(VLOOKUP(RANK(W88,W$4:W$182),X$4:X87,1,0)),RANK(W88,W$4:W$182),IF(ISERROR(VLOOKUP((RANK(W88,W$4:W$182)+1),X$4:X87,1,0)),(RANK(W88,W$4:W$182)+1),IF(ISERROR(VLOOKUP((RANK(W88,W$4:W$182)+2),X$4:X87,1,0)),(RANK(W88,W$4:W$182)+2),(RANK(W88,W$4:W$182)+3))))</f>
        <v>66</v>
      </c>
      <c r="Y88" t="str">
        <f t="shared" si="8"/>
        <v>Jeremy Kerley</v>
      </c>
    </row>
    <row r="89" spans="1:25" ht="12.75" customHeight="1">
      <c r="A89" s="33" t="str">
        <f>ESPNData!AH92</f>
        <v>Eddie Royal, SD WR</v>
      </c>
      <c r="B89" s="33" t="str">
        <f t="shared" si="6"/>
        <v>Eddie Royal</v>
      </c>
      <c r="C89" s="64" t="str">
        <f t="shared" si="7"/>
        <v>SD</v>
      </c>
      <c r="D89" s="117">
        <f>IF(OR(($A89=Settings!$A$31),($A89=Settings!$A$32),ISERROR(VLOOKUP($B89,FFTodayData!$AB:$AK,8,0))),"",VLOOKUP($B89,FFTodayData!$AB:$AK,8,0))</f>
        <v>33</v>
      </c>
      <c r="E89" s="33">
        <f>IF(OR(($A89=Settings!$A$31),($A89=Settings!$A$32),ISERROR(VLOOKUP($B89,FFTodayData!$AB:$AK,9,0))),"",VLOOKUP($B89,FFTodayData!$AB:$AK,9,0))</f>
        <v>0</v>
      </c>
      <c r="F89" s="33">
        <f>IF(OR(($A89=Settings!$A$31),($A89=Settings!$A$32),ISERROR(VLOOKUP($B89,FFTodayData!$AB:$AK,4,0))),"",VLOOKUP($B89,FFTodayData!$AB:$AK,4,0))</f>
        <v>30</v>
      </c>
      <c r="G89" s="33">
        <f>IF(OR(($A89=Settings!$A$31),($A89=Settings!$A$32),ISERROR(VLOOKUP($B89,FFTodayData!$AB:$AK,5,0))),"",VLOOKUP($B89,FFTodayData!$AB:$AK,5,0))</f>
        <v>417</v>
      </c>
      <c r="H89" s="64">
        <f>IF(OR(($A89=Settings!$A$31),($A89=Settings!$A$32),ISERROR(VLOOKUP($B89,FFTodayData!$AB:$AK,6,0))),"",VLOOKUP($B89,FFTodayData!$AB:$AK,6,0))</f>
        <v>2</v>
      </c>
      <c r="I89" s="117">
        <f>IF(ISERROR(VLOOKUP($A89,ESPNData!$AH:$AU,9,0)),"",VLOOKUP($A89,ESPNData!$AH:$AU,9,0))</f>
        <v>13</v>
      </c>
      <c r="J89" s="33">
        <f>IF(ISERROR(VLOOKUP($A89,ESPNData!$AH:$AU,10,0)),"",VLOOKUP($A89,ESPNData!$AH:$AU,10,0))</f>
        <v>0</v>
      </c>
      <c r="K89" s="33">
        <f>IF(ISERROR(VLOOKUP($A89,ESPNData!$AH:$AU,11,0)),"",VLOOKUP($A89,ESPNData!$AH:$AU,11,0))</f>
        <v>42</v>
      </c>
      <c r="L89" s="33">
        <f>IF(ISERROR(VLOOKUP($A89,ESPNData!$AH:$AU,12,0)),"",VLOOKUP($A89,ESPNData!$AH:$AU,12,0))</f>
        <v>431</v>
      </c>
      <c r="M89" s="64">
        <f>IF(ISERROR(VLOOKUP($A89,ESPNData!$AH:$AU,13,0)),"",VLOOKUP($A89,ESPNData!$AH:$AU,13,0))</f>
        <v>3</v>
      </c>
      <c r="N89" s="117">
        <f>IF(OR(($A89=Settings!$A$31),($A89=Settings!$A$32),ISERROR(VLOOKUP($B89,SportslineData!$AD:$AK,3,0))),"",ROUND(VLOOKUP($B89,SportslineData!$AD:$AK,3,0),0))</f>
        <v>39</v>
      </c>
      <c r="O89" s="33">
        <f>IF(OR(($A89=Settings!$A$31),($A89=Settings!$A$32),ISERROR(VLOOKUP($B89,SportslineData!$AD:$AK,4,0))),"",VLOOKUP($B89,SportslineData!$AD:$AK,4,0))</f>
        <v>491</v>
      </c>
      <c r="P89" s="33">
        <f>IF(OR(($A89=Settings!$A$31),($A89=Settings!$A$32),ISERROR(VLOOKUP($B89,SportslineData!$AD:$AK,6,0))),"",ROUND(VLOOKUP($B89,SportslineData!$AD:$AK,6,0),0))</f>
        <v>1</v>
      </c>
      <c r="Q89" s="64">
        <f>IF(OR(($A89=Settings!$A$31),($A89=Settings!$A$32),ISERROR(VLOOKUP($B89,SportslineData!$AD:$AK,7,0))),"",ROUND(VLOOKUP($B89,SportslineData!$AD:$AK,7,0),0))</f>
        <v>1</v>
      </c>
      <c r="R89" s="117"/>
      <c r="S89" s="33"/>
      <c r="T89" s="38">
        <f>IF(ISERROR(ROUND((((((ROUNDDOWN((D89/5),0)*Settings!$F$7)+(E89*Settings!$I$7))+(F89*Settings!$I$11))+(ROUNDDOWN((G89/5),0)*Settings!$F$11))+(H89*Settings!$F$12)),1)),0,ROUND((((((ROUNDDOWN((D89/5),0)*Settings!$F$7)+(E89*Settings!$I$7))+(F89*Settings!$I$11))+(ROUNDDOWN((G89/5),0)*Settings!$F$11))+(H89*Settings!$F$12)),1))</f>
        <v>71.5</v>
      </c>
      <c r="U89" s="38">
        <f>IF(ISERROR(ROUND((((((ROUNDDOWN((I89/5),0)*Settings!$F$7)+(J89*Settings!$I$7))+(K89*Settings!$I$11))+(ROUNDDOWN((L89/5),0)*Settings!$F$11))+(M89*Settings!$F$12)),1)),0,ROUND((((((ROUNDDOWN((I89/5),0)*Settings!$F$7)+(J89*Settings!$I$7))+(K89*Settings!$I$11))+(ROUNDDOWN((L89/5),0)*Settings!$F$11))+(M89*Settings!$F$12)),1))</f>
        <v>83</v>
      </c>
      <c r="V89" s="38">
        <f>IF((N89=""),0,((((N89*Settings!$I$11)+(ROUND((O89/5),0)*Settings!$F$11))+(P89*Settings!$F$12))+(Q89*Settings!$F$15)))</f>
        <v>73.5</v>
      </c>
      <c r="W89" s="66">
        <f>ROUND((((T89*Settings!$B$21)+(U89*Settings!$B$22))+(V89*Settings!$B$23)),1)</f>
        <v>76</v>
      </c>
      <c r="X89" s="66">
        <f>IF(ISERROR(VLOOKUP(RANK(W89,W$4:W$182),X$4:X88,1,0)),RANK(W89,W$4:W$182),IF(ISERROR(VLOOKUP((RANK(W89,W$4:W$182)+1),X$4:X88,1,0)),(RANK(W89,W$4:W$182)+1),IF(ISERROR(VLOOKUP((RANK(W89,W$4:W$182)+2),X$4:X88,1,0)),(RANK(W89,W$4:W$182)+2),(RANK(W89,W$4:W$182)+3))))</f>
        <v>71</v>
      </c>
      <c r="Y89" t="str">
        <f t="shared" si="8"/>
        <v>Eddie Royal</v>
      </c>
    </row>
    <row r="90" spans="1:25" ht="12.75" customHeight="1">
      <c r="A90" s="33" t="str">
        <f>ESPNData!AH93</f>
        <v>Ted Ginn, Ari WR  P</v>
      </c>
      <c r="B90" s="33" t="str">
        <f t="shared" si="6"/>
        <v>Ted Ginn</v>
      </c>
      <c r="C90" s="64" t="str">
        <f t="shared" si="7"/>
        <v>ARI</v>
      </c>
      <c r="D90" s="117" t="str">
        <f>IF(OR(($A90=Settings!$A$31),($A90=Settings!$A$32),ISERROR(VLOOKUP($B90,FFTodayData!$AB:$AK,8,0))),"",VLOOKUP($B90,FFTodayData!$AB:$AK,8,0))</f>
        <v/>
      </c>
      <c r="E90" s="33" t="str">
        <f>IF(OR(($A90=Settings!$A$31),($A90=Settings!$A$32),ISERROR(VLOOKUP($B90,FFTodayData!$AB:$AK,9,0))),"",VLOOKUP($B90,FFTodayData!$AB:$AK,9,0))</f>
        <v/>
      </c>
      <c r="F90" s="33" t="str">
        <f>IF(OR(($A90=Settings!$A$31),($A90=Settings!$A$32),ISERROR(VLOOKUP($B90,FFTodayData!$AB:$AK,4,0))),"",VLOOKUP($B90,FFTodayData!$AB:$AK,4,0))</f>
        <v/>
      </c>
      <c r="G90" s="33" t="str">
        <f>IF(OR(($A90=Settings!$A$31),($A90=Settings!$A$32),ISERROR(VLOOKUP($B90,FFTodayData!$AB:$AK,5,0))),"",VLOOKUP($B90,FFTodayData!$AB:$AK,5,0))</f>
        <v/>
      </c>
      <c r="H90" s="64" t="str">
        <f>IF(OR(($A90=Settings!$A$31),($A90=Settings!$A$32),ISERROR(VLOOKUP($B90,FFTodayData!$AB:$AK,6,0))),"",VLOOKUP($B90,FFTodayData!$AB:$AK,6,0))</f>
        <v/>
      </c>
      <c r="I90" s="117">
        <f>IF(ISERROR(VLOOKUP($A90,ESPNData!$AH:$AU,9,0)),"",VLOOKUP($A90,ESPNData!$AH:$AU,9,0))</f>
        <v>28</v>
      </c>
      <c r="J90" s="33">
        <f>IF(ISERROR(VLOOKUP($A90,ESPNData!$AH:$AU,10,0)),"",VLOOKUP($A90,ESPNData!$AH:$AU,10,0))</f>
        <v>0</v>
      </c>
      <c r="K90" s="33">
        <f>IF(ISERROR(VLOOKUP($A90,ESPNData!$AH:$AU,11,0)),"",VLOOKUP($A90,ESPNData!$AH:$AU,11,0))</f>
        <v>29</v>
      </c>
      <c r="L90" s="33">
        <f>IF(ISERROR(VLOOKUP($A90,ESPNData!$AH:$AU,12,0)),"",VLOOKUP($A90,ESPNData!$AH:$AU,12,0))</f>
        <v>452</v>
      </c>
      <c r="M90" s="64">
        <f>IF(ISERROR(VLOOKUP($A90,ESPNData!$AH:$AU,13,0)),"",VLOOKUP($A90,ESPNData!$AH:$AU,13,0))</f>
        <v>3</v>
      </c>
      <c r="N90" s="117">
        <f>IF(OR(($A90=Settings!$A$31),($A90=Settings!$A$32),ISERROR(VLOOKUP($B90,SportslineData!$AD:$AK,3,0))),"",ROUND(VLOOKUP($B90,SportslineData!$AD:$AK,3,0),0))</f>
        <v>26</v>
      </c>
      <c r="O90" s="33">
        <f>IF(OR(($A90=Settings!$A$31),($A90=Settings!$A$32),ISERROR(VLOOKUP($B90,SportslineData!$AD:$AK,4,0))),"",VLOOKUP($B90,SportslineData!$AD:$AK,4,0))</f>
        <v>394.5</v>
      </c>
      <c r="P90" s="33">
        <f>IF(OR(($A90=Settings!$A$31),($A90=Settings!$A$32),ISERROR(VLOOKUP($B90,SportslineData!$AD:$AK,6,0))),"",ROUND(VLOOKUP($B90,SportslineData!$AD:$AK,6,0),0))</f>
        <v>3</v>
      </c>
      <c r="Q90" s="64">
        <f>IF(OR(($A90=Settings!$A$31),($A90=Settings!$A$32),ISERROR(VLOOKUP($B90,SportslineData!$AD:$AK,7,0))),"",ROUND(VLOOKUP($B90,SportslineData!$AD:$AK,7,0),0))</f>
        <v>0</v>
      </c>
      <c r="R90" s="117"/>
      <c r="S90" s="33"/>
      <c r="T90" s="38">
        <f>IF(ISERROR(ROUND((((((ROUNDDOWN((D90/5),0)*Settings!$F$7)+(E90*Settings!$I$7))+(F90*Settings!$I$11))+(ROUNDDOWN((G90/5),0)*Settings!$F$11))+(H90*Settings!$F$12)),1)),0,ROUND((((((ROUNDDOWN((D90/5),0)*Settings!$F$7)+(E90*Settings!$I$7))+(F90*Settings!$I$11))+(ROUNDDOWN((G90/5),0)*Settings!$F$11))+(H90*Settings!$F$12)),1))</f>
        <v>0</v>
      </c>
      <c r="U90" s="38">
        <f>IF(ISERROR(ROUND((((((ROUNDDOWN((I90/5),0)*Settings!$F$7)+(J90*Settings!$I$7))+(K90*Settings!$I$11))+(ROUNDDOWN((L90/5),0)*Settings!$F$11))+(M90*Settings!$F$12)),1)),0,ROUND((((((ROUNDDOWN((I90/5),0)*Settings!$F$7)+(J90*Settings!$I$7))+(K90*Settings!$I$11))+(ROUNDDOWN((L90/5),0)*Settings!$F$11))+(M90*Settings!$F$12)),1))</f>
        <v>80</v>
      </c>
      <c r="V90" s="38">
        <f>IF((N90=""),0,((((N90*Settings!$I$11)+(ROUND((O90/5),0)*Settings!$F$11))+(P90*Settings!$F$12))+(Q90*Settings!$F$15)))</f>
        <v>70.5</v>
      </c>
      <c r="W90" s="66">
        <f>ROUND((((T90*Settings!$B$21)+(U90*Settings!$B$22))+(V90*Settings!$B$23)),1)</f>
        <v>50.4</v>
      </c>
      <c r="X90" s="66">
        <f>IF(ISERROR(VLOOKUP(RANK(W90,W$4:W$182),X$4:X89,1,0)),RANK(W90,W$4:W$182),IF(ISERROR(VLOOKUP((RANK(W90,W$4:W$182)+1),X$4:X89,1,0)),(RANK(W90,W$4:W$182)+1),IF(ISERROR(VLOOKUP((RANK(W90,W$4:W$182)+2),X$4:X89,1,0)),(RANK(W90,W$4:W$182)+2),(RANK(W90,W$4:W$182)+3))))</f>
        <v>94</v>
      </c>
      <c r="Y90" t="str">
        <f t="shared" si="8"/>
        <v>Ted Ginn</v>
      </c>
    </row>
    <row r="91" spans="1:25" ht="12.75" customHeight="1">
      <c r="A91" s="33" t="str">
        <f>ESPNData!AH94</f>
        <v>Nate Burleson, Cle WR  P</v>
      </c>
      <c r="B91" s="33" t="str">
        <f t="shared" si="6"/>
        <v>Nate Burleson</v>
      </c>
      <c r="C91" s="64" t="str">
        <f t="shared" si="7"/>
        <v>CLE</v>
      </c>
      <c r="D91" s="117" t="str">
        <f>IF(OR(($A91=Settings!$A$31),($A91=Settings!$A$32),ISERROR(VLOOKUP($B91,FFTodayData!$AB:$AK,8,0))),"",VLOOKUP($B91,FFTodayData!$AB:$AK,8,0))</f>
        <v/>
      </c>
      <c r="E91" s="33" t="str">
        <f>IF(OR(($A91=Settings!$A$31),($A91=Settings!$A$32),ISERROR(VLOOKUP($B91,FFTodayData!$AB:$AK,9,0))),"",VLOOKUP($B91,FFTodayData!$AB:$AK,9,0))</f>
        <v/>
      </c>
      <c r="F91" s="33" t="str">
        <f>IF(OR(($A91=Settings!$A$31),($A91=Settings!$A$32),ISERROR(VLOOKUP($B91,FFTodayData!$AB:$AK,4,0))),"",VLOOKUP($B91,FFTodayData!$AB:$AK,4,0))</f>
        <v/>
      </c>
      <c r="G91" s="33" t="str">
        <f>IF(OR(($A91=Settings!$A$31),($A91=Settings!$A$32),ISERROR(VLOOKUP($B91,FFTodayData!$AB:$AK,5,0))),"",VLOOKUP($B91,FFTodayData!$AB:$AK,5,0))</f>
        <v/>
      </c>
      <c r="H91" s="64" t="str">
        <f>IF(OR(($A91=Settings!$A$31),($A91=Settings!$A$32),ISERROR(VLOOKUP($B91,FFTodayData!$AB:$AK,6,0))),"",VLOOKUP($B91,FFTodayData!$AB:$AK,6,0))</f>
        <v/>
      </c>
      <c r="I91" s="117">
        <f>IF(ISERROR(VLOOKUP($A91,ESPNData!$AH:$AU,9,0)),"",VLOOKUP($A91,ESPNData!$AH:$AU,9,0))</f>
        <v>10</v>
      </c>
      <c r="J91" s="33">
        <f>IF(ISERROR(VLOOKUP($A91,ESPNData!$AH:$AU,10,0)),"",VLOOKUP($A91,ESPNData!$AH:$AU,10,0))</f>
        <v>0</v>
      </c>
      <c r="K91" s="33">
        <f>IF(ISERROR(VLOOKUP($A91,ESPNData!$AH:$AU,11,0)),"",VLOOKUP($A91,ESPNData!$AH:$AU,11,0))</f>
        <v>35</v>
      </c>
      <c r="L91" s="33">
        <f>IF(ISERROR(VLOOKUP($A91,ESPNData!$AH:$AU,12,0)),"",VLOOKUP($A91,ESPNData!$AH:$AU,12,0))</f>
        <v>390</v>
      </c>
      <c r="M91" s="64">
        <f>IF(ISERROR(VLOOKUP($A91,ESPNData!$AH:$AU,13,0)),"",VLOOKUP($A91,ESPNData!$AH:$AU,13,0))</f>
        <v>4</v>
      </c>
      <c r="N91" s="117">
        <f>IF(OR(($A91=Settings!$A$31),($A91=Settings!$A$32),ISERROR(VLOOKUP($B91,SportslineData!$AD:$AK,3,0))),"",ROUND(VLOOKUP($B91,SportslineData!$AD:$AK,3,0),0))</f>
        <v>42</v>
      </c>
      <c r="O91" s="33">
        <f>IF(OR(($A91=Settings!$A$31),($A91=Settings!$A$32),ISERROR(VLOOKUP($B91,SportslineData!$AD:$AK,4,0))),"",VLOOKUP($B91,SportslineData!$AD:$AK,4,0))</f>
        <v>488</v>
      </c>
      <c r="P91" s="33">
        <f>IF(OR(($A91=Settings!$A$31),($A91=Settings!$A$32),ISERROR(VLOOKUP($B91,SportslineData!$AD:$AK,6,0))),"",ROUND(VLOOKUP($B91,SportslineData!$AD:$AK,6,0),0))</f>
        <v>2</v>
      </c>
      <c r="Q91" s="64">
        <f>IF(OR(($A91=Settings!$A$31),($A91=Settings!$A$32),ISERROR(VLOOKUP($B91,SportslineData!$AD:$AK,7,0))),"",ROUND(VLOOKUP($B91,SportslineData!$AD:$AK,7,0),0))</f>
        <v>0</v>
      </c>
      <c r="R91" s="117"/>
      <c r="S91" s="33"/>
      <c r="T91" s="38">
        <f>IF(ISERROR(ROUND((((((ROUNDDOWN((D91/5),0)*Settings!$F$7)+(E91*Settings!$I$7))+(F91*Settings!$I$11))+(ROUNDDOWN((G91/5),0)*Settings!$F$11))+(H91*Settings!$F$12)),1)),0,ROUND((((((ROUNDDOWN((D91/5),0)*Settings!$F$7)+(E91*Settings!$I$7))+(F91*Settings!$I$11))+(ROUNDDOWN((G91/5),0)*Settings!$F$11))+(H91*Settings!$F$12)),1))</f>
        <v>0</v>
      </c>
      <c r="U91" s="38">
        <f>IF(ISERROR(ROUND((((((ROUNDDOWN((I91/5),0)*Settings!$F$7)+(J91*Settings!$I$7))+(K91*Settings!$I$11))+(ROUNDDOWN((L91/5),0)*Settings!$F$11))+(M91*Settings!$F$12)),1)),0,ROUND((((((ROUNDDOWN((I91/5),0)*Settings!$F$7)+(J91*Settings!$I$7))+(K91*Settings!$I$11))+(ROUNDDOWN((L91/5),0)*Settings!$F$11))+(M91*Settings!$F$12)),1))</f>
        <v>81.5</v>
      </c>
      <c r="V91" s="38">
        <f>IF((N91=""),0,((((N91*Settings!$I$11)+(ROUND((O91/5),0)*Settings!$F$11))+(P91*Settings!$F$12))+(Q91*Settings!$F$15)))</f>
        <v>82</v>
      </c>
      <c r="W91" s="66">
        <f>ROUND((((T91*Settings!$B$21)+(U91*Settings!$B$22))+(V91*Settings!$B$23)),1)</f>
        <v>54.8</v>
      </c>
      <c r="X91" s="66">
        <f>IF(ISERROR(VLOOKUP(RANK(W91,W$4:W$182),X$4:X90,1,0)),RANK(W91,W$4:W$182),IF(ISERROR(VLOOKUP((RANK(W91,W$4:W$182)+1),X$4:X90,1,0)),(RANK(W91,W$4:W$182)+1),IF(ISERROR(VLOOKUP((RANK(W91,W$4:W$182)+2),X$4:X90,1,0)),(RANK(W91,W$4:W$182)+2),(RANK(W91,W$4:W$182)+3))))</f>
        <v>89</v>
      </c>
      <c r="Y91" t="str">
        <f t="shared" si="8"/>
        <v>Nate Burleson</v>
      </c>
    </row>
    <row r="92" spans="1:25" ht="12.75" customHeight="1">
      <c r="A92" s="33" t="str">
        <f>ESPNData!AH95</f>
        <v>Jerrel Jernigan, NYG WR</v>
      </c>
      <c r="B92" s="33" t="str">
        <f t="shared" si="6"/>
        <v>Jerrel Jernigan</v>
      </c>
      <c r="C92" s="64" t="str">
        <f t="shared" si="7"/>
        <v>NYG</v>
      </c>
      <c r="D92" s="117">
        <f>IF(OR(($A92=Settings!$A$31),($A92=Settings!$A$32),ISERROR(VLOOKUP($B92,FFTodayData!$AB:$AK,8,0))),"",VLOOKUP($B92,FFTodayData!$AB:$AK,8,0))</f>
        <v>0</v>
      </c>
      <c r="E92" s="33">
        <f>IF(OR(($A92=Settings!$A$31),($A92=Settings!$A$32),ISERROR(VLOOKUP($B92,FFTodayData!$AB:$AK,9,0))),"",VLOOKUP($B92,FFTodayData!$AB:$AK,9,0))</f>
        <v>0</v>
      </c>
      <c r="F92" s="33">
        <f>IF(OR(($A92=Settings!$A$31),($A92=Settings!$A$32),ISERROR(VLOOKUP($B92,FFTodayData!$AB:$AK,4,0))),"",VLOOKUP($B92,FFTodayData!$AB:$AK,4,0))</f>
        <v>7</v>
      </c>
      <c r="G92" s="33">
        <f>IF(OR(($A92=Settings!$A$31),($A92=Settings!$A$32),ISERROR(VLOOKUP($B92,FFTodayData!$AB:$AK,5,0))),"",VLOOKUP($B92,FFTodayData!$AB:$AK,5,0))</f>
        <v>90</v>
      </c>
      <c r="H92" s="64">
        <f>IF(OR(($A92=Settings!$A$31),($A92=Settings!$A$32),ISERROR(VLOOKUP($B92,FFTodayData!$AB:$AK,6,0))),"",VLOOKUP($B92,FFTodayData!$AB:$AK,6,0))</f>
        <v>0</v>
      </c>
      <c r="I92" s="117">
        <f>IF(ISERROR(VLOOKUP($A92,ESPNData!$AH:$AU,9,0)),"",VLOOKUP($A92,ESPNData!$AH:$AU,9,0))</f>
        <v>26</v>
      </c>
      <c r="J92" s="33">
        <f>IF(ISERROR(VLOOKUP($A92,ESPNData!$AH:$AU,10,0)),"",VLOOKUP($A92,ESPNData!$AH:$AU,10,0))</f>
        <v>0</v>
      </c>
      <c r="K92" s="33">
        <f>IF(ISERROR(VLOOKUP($A92,ESPNData!$AH:$AU,11,0)),"",VLOOKUP($A92,ESPNData!$AH:$AU,11,0))</f>
        <v>31</v>
      </c>
      <c r="L92" s="33">
        <f>IF(ISERROR(VLOOKUP($A92,ESPNData!$AH:$AU,12,0)),"",VLOOKUP($A92,ESPNData!$AH:$AU,12,0))</f>
        <v>386</v>
      </c>
      <c r="M92" s="64">
        <f>IF(ISERROR(VLOOKUP($A92,ESPNData!$AH:$AU,13,0)),"",VLOOKUP($A92,ESPNData!$AH:$AU,13,0))</f>
        <v>3</v>
      </c>
      <c r="N92" s="117">
        <f>IF(OR(($A92=Settings!$A$31),($A92=Settings!$A$32),ISERROR(VLOOKUP($B92,SportslineData!$AD:$AK,3,0))),"",ROUND(VLOOKUP($B92,SportslineData!$AD:$AK,3,0),0))</f>
        <v>18</v>
      </c>
      <c r="O92" s="33">
        <f>IF(OR(($A92=Settings!$A$31),($A92=Settings!$A$32),ISERROR(VLOOKUP($B92,SportslineData!$AD:$AK,4,0))),"",VLOOKUP($B92,SportslineData!$AD:$AK,4,0))</f>
        <v>277</v>
      </c>
      <c r="P92" s="33">
        <f>IF(OR(($A92=Settings!$A$31),($A92=Settings!$A$32),ISERROR(VLOOKUP($B92,SportslineData!$AD:$AK,6,0))),"",ROUND(VLOOKUP($B92,SportslineData!$AD:$AK,6,0),0))</f>
        <v>2</v>
      </c>
      <c r="Q92" s="64">
        <f>IF(OR(($A92=Settings!$A$31),($A92=Settings!$A$32),ISERROR(VLOOKUP($B92,SportslineData!$AD:$AK,7,0))),"",ROUND(VLOOKUP($B92,SportslineData!$AD:$AK,7,0),0))</f>
        <v>0</v>
      </c>
      <c r="R92" s="117"/>
      <c r="S92" s="33"/>
      <c r="T92" s="38">
        <f>IF(ISERROR(ROUND((((((ROUNDDOWN((D92/5),0)*Settings!$F$7)+(E92*Settings!$I$7))+(F92*Settings!$I$11))+(ROUNDDOWN((G92/5),0)*Settings!$F$11))+(H92*Settings!$F$12)),1)),0,ROUND((((((ROUNDDOWN((D92/5),0)*Settings!$F$7)+(E92*Settings!$I$7))+(F92*Settings!$I$11))+(ROUNDDOWN((G92/5),0)*Settings!$F$11))+(H92*Settings!$F$12)),1))</f>
        <v>12.5</v>
      </c>
      <c r="U92" s="38">
        <f>IF(ISERROR(ROUND((((((ROUNDDOWN((I92/5),0)*Settings!$F$7)+(J92*Settings!$I$7))+(K92*Settings!$I$11))+(ROUNDDOWN((L92/5),0)*Settings!$F$11))+(M92*Settings!$F$12)),1)),0,ROUND((((((ROUNDDOWN((I92/5),0)*Settings!$F$7)+(J92*Settings!$I$7))+(K92*Settings!$I$11))+(ROUNDDOWN((L92/5),0)*Settings!$F$11))+(M92*Settings!$F$12)),1))</f>
        <v>74.5</v>
      </c>
      <c r="V92" s="38">
        <f>IF((N92=""),0,((((N92*Settings!$I$11)+(ROUND((O92/5),0)*Settings!$F$11))+(P92*Settings!$F$12))+(Q92*Settings!$F$15)))</f>
        <v>48.5</v>
      </c>
      <c r="W92" s="66">
        <f>ROUND((((T92*Settings!$B$21)+(U92*Settings!$B$22))+(V92*Settings!$B$23)),1)</f>
        <v>45.2</v>
      </c>
      <c r="X92" s="66">
        <f>IF(ISERROR(VLOOKUP(RANK(W92,W$4:W$182),X$4:X91,1,0)),RANK(W92,W$4:W$182),IF(ISERROR(VLOOKUP((RANK(W92,W$4:W$182)+1),X$4:X91,1,0)),(RANK(W92,W$4:W$182)+1),IF(ISERROR(VLOOKUP((RANK(W92,W$4:W$182)+2),X$4:X91,1,0)),(RANK(W92,W$4:W$182)+2),(RANK(W92,W$4:W$182)+3))))</f>
        <v>101</v>
      </c>
      <c r="Y92" t="str">
        <f t="shared" si="8"/>
        <v>Jerrel Jernigan</v>
      </c>
    </row>
    <row r="93" spans="1:25" ht="12.75" customHeight="1">
      <c r="A93" s="33" t="str">
        <f>ESPNData!AH96</f>
        <v>Jarvis Landry, Mia WR</v>
      </c>
      <c r="B93" s="33" t="str">
        <f t="shared" si="6"/>
        <v>Jarvis Landry</v>
      </c>
      <c r="C93" s="64" t="str">
        <f t="shared" si="7"/>
        <v>MIA</v>
      </c>
      <c r="D93" s="117" t="str">
        <f>IF(OR(($A93=Settings!$A$31),($A93=Settings!$A$32),ISERROR(VLOOKUP($B93,FFTodayData!$AB:$AK,8,0))),"",VLOOKUP($B93,FFTodayData!$AB:$AK,8,0))</f>
        <v/>
      </c>
      <c r="E93" s="33" t="str">
        <f>IF(OR(($A93=Settings!$A$31),($A93=Settings!$A$32),ISERROR(VLOOKUP($B93,FFTodayData!$AB:$AK,9,0))),"",VLOOKUP($B93,FFTodayData!$AB:$AK,9,0))</f>
        <v/>
      </c>
      <c r="F93" s="33" t="str">
        <f>IF(OR(($A93=Settings!$A$31),($A93=Settings!$A$32),ISERROR(VLOOKUP($B93,FFTodayData!$AB:$AK,4,0))),"",VLOOKUP($B93,FFTodayData!$AB:$AK,4,0))</f>
        <v/>
      </c>
      <c r="G93" s="33" t="str">
        <f>IF(OR(($A93=Settings!$A$31),($A93=Settings!$A$32),ISERROR(VLOOKUP($B93,FFTodayData!$AB:$AK,5,0))),"",VLOOKUP($B93,FFTodayData!$AB:$AK,5,0))</f>
        <v/>
      </c>
      <c r="H93" s="64" t="str">
        <f>IF(OR(($A93=Settings!$A$31),($A93=Settings!$A$32),ISERROR(VLOOKUP($B93,FFTodayData!$AB:$AK,6,0))),"",VLOOKUP($B93,FFTodayData!$AB:$AK,6,0))</f>
        <v/>
      </c>
      <c r="I93" s="117">
        <f>IF(ISERROR(VLOOKUP($A93,ESPNData!$AH:$AU,9,0)),"",VLOOKUP($A93,ESPNData!$AH:$AU,9,0))</f>
        <v>0</v>
      </c>
      <c r="J93" s="33">
        <f>IF(ISERROR(VLOOKUP($A93,ESPNData!$AH:$AU,10,0)),"",VLOOKUP($A93,ESPNData!$AH:$AU,10,0))</f>
        <v>0</v>
      </c>
      <c r="K93" s="33">
        <f>IF(ISERROR(VLOOKUP($A93,ESPNData!$AH:$AU,11,0)),"",VLOOKUP($A93,ESPNData!$AH:$AU,11,0))</f>
        <v>36</v>
      </c>
      <c r="L93" s="33">
        <f>IF(ISERROR(VLOOKUP($A93,ESPNData!$AH:$AU,12,0)),"",VLOOKUP($A93,ESPNData!$AH:$AU,12,0))</f>
        <v>476</v>
      </c>
      <c r="M93" s="64">
        <f>IF(ISERROR(VLOOKUP($A93,ESPNData!$AH:$AU,13,0)),"",VLOOKUP($A93,ESPNData!$AH:$AU,13,0))</f>
        <v>2</v>
      </c>
      <c r="N93" s="117">
        <f>IF(OR(($A93=Settings!$A$31),($A93=Settings!$A$32),ISERROR(VLOOKUP($B93,SportslineData!$AD:$AK,3,0))),"",ROUND(VLOOKUP($B93,SportslineData!$AD:$AK,3,0),0))</f>
        <v>34</v>
      </c>
      <c r="O93" s="33">
        <f>IF(OR(($A93=Settings!$A$31),($A93=Settings!$A$32),ISERROR(VLOOKUP($B93,SportslineData!$AD:$AK,4,0))),"",VLOOKUP($B93,SportslineData!$AD:$AK,4,0))</f>
        <v>428</v>
      </c>
      <c r="P93" s="33">
        <f>IF(OR(($A93=Settings!$A$31),($A93=Settings!$A$32),ISERROR(VLOOKUP($B93,SportslineData!$AD:$AK,6,0))),"",ROUND(VLOOKUP($B93,SportslineData!$AD:$AK,6,0),0))</f>
        <v>3</v>
      </c>
      <c r="Q93" s="64">
        <f>IF(OR(($A93=Settings!$A$31),($A93=Settings!$A$32),ISERROR(VLOOKUP($B93,SportslineData!$AD:$AK,7,0))),"",ROUND(VLOOKUP($B93,SportslineData!$AD:$AK,7,0),0))</f>
        <v>1</v>
      </c>
      <c r="R93" s="117"/>
      <c r="S93" s="33"/>
      <c r="T93" s="38">
        <f>IF(ISERROR(ROUND((((((ROUNDDOWN((D93/5),0)*Settings!$F$7)+(E93*Settings!$I$7))+(F93*Settings!$I$11))+(ROUNDDOWN((G93/5),0)*Settings!$F$11))+(H93*Settings!$F$12)),1)),0,ROUND((((((ROUNDDOWN((D93/5),0)*Settings!$F$7)+(E93*Settings!$I$7))+(F93*Settings!$I$11))+(ROUNDDOWN((G93/5),0)*Settings!$F$11))+(H93*Settings!$F$12)),1))</f>
        <v>0</v>
      </c>
      <c r="U93" s="38">
        <f>IF(ISERROR(ROUND((((((ROUNDDOWN((I93/5),0)*Settings!$F$7)+(J93*Settings!$I$7))+(K93*Settings!$I$11))+(ROUNDDOWN((L93/5),0)*Settings!$F$11))+(M93*Settings!$F$12)),1)),0,ROUND((((((ROUNDDOWN((I93/5),0)*Settings!$F$7)+(J93*Settings!$I$7))+(K93*Settings!$I$11))+(ROUNDDOWN((L93/5),0)*Settings!$F$11))+(M93*Settings!$F$12)),1))</f>
        <v>77.5</v>
      </c>
      <c r="V93" s="38">
        <f>IF((N93=""),0,((((N93*Settings!$I$11)+(ROUND((O93/5),0)*Settings!$F$11))+(P93*Settings!$F$12))+(Q93*Settings!$F$15)))</f>
        <v>77</v>
      </c>
      <c r="W93" s="66">
        <f>ROUND((((T93*Settings!$B$21)+(U93*Settings!$B$22))+(V93*Settings!$B$23)),1)</f>
        <v>51.8</v>
      </c>
      <c r="X93" s="66">
        <f>IF(ISERROR(VLOOKUP(RANK(W93,W$4:W$182),X$4:X92,1,0)),RANK(W93,W$4:W$182),IF(ISERROR(VLOOKUP((RANK(W93,W$4:W$182)+1),X$4:X92,1,0)),(RANK(W93,W$4:W$182)+1),IF(ISERROR(VLOOKUP((RANK(W93,W$4:W$182)+2),X$4:X92,1,0)),(RANK(W93,W$4:W$182)+2),(RANK(W93,W$4:W$182)+3))))</f>
        <v>92</v>
      </c>
      <c r="Y93" t="str">
        <f t="shared" si="8"/>
        <v>Jarvis Landry</v>
      </c>
    </row>
    <row r="94" spans="1:25" ht="12.75" customHeight="1">
      <c r="A94" s="33" t="str">
        <f>ESPNData!AH97</f>
        <v>Chris Givens, StL WR</v>
      </c>
      <c r="B94" s="33" t="str">
        <f t="shared" si="6"/>
        <v>Chris Givens</v>
      </c>
      <c r="C94" s="64" t="str">
        <f t="shared" si="7"/>
        <v>STL</v>
      </c>
      <c r="D94" s="117">
        <f>IF(OR(($A94=Settings!$A$31),($A94=Settings!$A$32),ISERROR(VLOOKUP($B94,FFTodayData!$AB:$AK,8,0))),"",VLOOKUP($B94,FFTodayData!$AB:$AK,8,0))</f>
        <v>12</v>
      </c>
      <c r="E94" s="33">
        <f>IF(OR(($A94=Settings!$A$31),($A94=Settings!$A$32),ISERROR(VLOOKUP($B94,FFTodayData!$AB:$AK,9,0))),"",VLOOKUP($B94,FFTodayData!$AB:$AK,9,0))</f>
        <v>0</v>
      </c>
      <c r="F94" s="33">
        <f>IF(OR(($A94=Settings!$A$31),($A94=Settings!$A$32),ISERROR(VLOOKUP($B94,FFTodayData!$AB:$AK,4,0))),"",VLOOKUP($B94,FFTodayData!$AB:$AK,4,0))</f>
        <v>14</v>
      </c>
      <c r="G94" s="33">
        <f>IF(OR(($A94=Settings!$A$31),($A94=Settings!$A$32),ISERROR(VLOOKUP($B94,FFTodayData!$AB:$AK,5,0))),"",VLOOKUP($B94,FFTodayData!$AB:$AK,5,0))</f>
        <v>213</v>
      </c>
      <c r="H94" s="64">
        <f>IF(OR(($A94=Settings!$A$31),($A94=Settings!$A$32),ISERROR(VLOOKUP($B94,FFTodayData!$AB:$AK,6,0))),"",VLOOKUP($B94,FFTodayData!$AB:$AK,6,0))</f>
        <v>1</v>
      </c>
      <c r="I94" s="117">
        <f>IF(ISERROR(VLOOKUP($A94,ESPNData!$AH:$AU,9,0)),"",VLOOKUP($A94,ESPNData!$AH:$AU,9,0))</f>
        <v>31</v>
      </c>
      <c r="J94" s="33">
        <f>IF(ISERROR(VLOOKUP($A94,ESPNData!$AH:$AU,10,0)),"",VLOOKUP($A94,ESPNData!$AH:$AU,10,0))</f>
        <v>0</v>
      </c>
      <c r="K94" s="33">
        <f>IF(ISERROR(VLOOKUP($A94,ESPNData!$AH:$AU,11,0)),"",VLOOKUP($A94,ESPNData!$AH:$AU,11,0))</f>
        <v>41</v>
      </c>
      <c r="L94" s="33">
        <f>IF(ISERROR(VLOOKUP($A94,ESPNData!$AH:$AU,12,0)),"",VLOOKUP($A94,ESPNData!$AH:$AU,12,0))</f>
        <v>671</v>
      </c>
      <c r="M94" s="64">
        <f>IF(ISERROR(VLOOKUP($A94,ESPNData!$AH:$AU,13,0)),"",VLOOKUP($A94,ESPNData!$AH:$AU,13,0))</f>
        <v>1</v>
      </c>
      <c r="N94" s="117">
        <f>IF(OR(($A94=Settings!$A$31),($A94=Settings!$A$32),ISERROR(VLOOKUP($B94,SportslineData!$AD:$AK,3,0))),"",ROUND(VLOOKUP($B94,SportslineData!$AD:$AK,3,0),0))</f>
        <v>36</v>
      </c>
      <c r="O94" s="33">
        <f>IF(OR(($A94=Settings!$A$31),($A94=Settings!$A$32),ISERROR(VLOOKUP($B94,SportslineData!$AD:$AK,4,0))),"",VLOOKUP($B94,SportslineData!$AD:$AK,4,0))</f>
        <v>534</v>
      </c>
      <c r="P94" s="33">
        <f>IF(OR(($A94=Settings!$A$31),($A94=Settings!$A$32),ISERROR(VLOOKUP($B94,SportslineData!$AD:$AK,6,0))),"",ROUND(VLOOKUP($B94,SportslineData!$AD:$AK,6,0),0))</f>
        <v>2</v>
      </c>
      <c r="Q94" s="64">
        <f>IF(OR(($A94=Settings!$A$31),($A94=Settings!$A$32),ISERROR(VLOOKUP($B94,SportslineData!$AD:$AK,7,0))),"",ROUND(VLOOKUP($B94,SportslineData!$AD:$AK,7,0),0))</f>
        <v>1</v>
      </c>
      <c r="R94" s="117"/>
      <c r="S94" s="33"/>
      <c r="T94" s="38">
        <f>IF(ISERROR(ROUND((((((ROUNDDOWN((D94/5),0)*Settings!$F$7)+(E94*Settings!$I$7))+(F94*Settings!$I$11))+(ROUNDDOWN((G94/5),0)*Settings!$F$11))+(H94*Settings!$F$12)),1)),0,ROUND((((((ROUNDDOWN((D94/5),0)*Settings!$F$7)+(E94*Settings!$I$7))+(F94*Settings!$I$11))+(ROUNDDOWN((G94/5),0)*Settings!$F$11))+(H94*Settings!$F$12)),1))</f>
        <v>35</v>
      </c>
      <c r="U94" s="38">
        <f>IF(ISERROR(ROUND((((((ROUNDDOWN((I94/5),0)*Settings!$F$7)+(J94*Settings!$I$7))+(K94*Settings!$I$11))+(ROUNDDOWN((L94/5),0)*Settings!$F$11))+(M94*Settings!$F$12)),1)),0,ROUND((((((ROUNDDOWN((I94/5),0)*Settings!$F$7)+(J94*Settings!$I$7))+(K94*Settings!$I$11))+(ROUNDDOWN((L94/5),0)*Settings!$F$11))+(M94*Settings!$F$12)),1))</f>
        <v>96.5</v>
      </c>
      <c r="V94" s="38">
        <f>IF((N94=""),0,((((N94*Settings!$I$11)+(ROUND((O94/5),0)*Settings!$F$11))+(P94*Settings!$F$12))+(Q94*Settings!$F$15)))</f>
        <v>82.5</v>
      </c>
      <c r="W94" s="66">
        <f>ROUND((((T94*Settings!$B$21)+(U94*Settings!$B$22))+(V94*Settings!$B$23)),1)</f>
        <v>71.400000000000006</v>
      </c>
      <c r="X94" s="66">
        <f>IF(ISERROR(VLOOKUP(RANK(W94,W$4:W$182),X$4:X93,1,0)),RANK(W94,W$4:W$182),IF(ISERROR(VLOOKUP((RANK(W94,W$4:W$182)+1),X$4:X93,1,0)),(RANK(W94,W$4:W$182)+1),IF(ISERROR(VLOOKUP((RANK(W94,W$4:W$182)+2),X$4:X93,1,0)),(RANK(W94,W$4:W$182)+2),(RANK(W94,W$4:W$182)+3))))</f>
        <v>74</v>
      </c>
      <c r="Y94" t="str">
        <f t="shared" si="8"/>
        <v>Chris Givens</v>
      </c>
    </row>
    <row r="95" spans="1:25" ht="12.75" customHeight="1">
      <c r="A95" s="33" t="str">
        <f>ESPNData!AH98</f>
        <v>Davante Adams, GB WR</v>
      </c>
      <c r="B95" s="33" t="str">
        <f t="shared" si="6"/>
        <v>Davante Adams</v>
      </c>
      <c r="C95" s="64" t="str">
        <f t="shared" si="7"/>
        <v>GB</v>
      </c>
      <c r="D95" s="117" t="str">
        <f>IF(OR(($A95=Settings!$A$31),($A95=Settings!$A$32),ISERROR(VLOOKUP($B95,FFTodayData!$AB:$AK,8,0))),"",VLOOKUP($B95,FFTodayData!$AB:$AK,8,0))</f>
        <v/>
      </c>
      <c r="E95" s="33" t="str">
        <f>IF(OR(($A95=Settings!$A$31),($A95=Settings!$A$32),ISERROR(VLOOKUP($B95,FFTodayData!$AB:$AK,9,0))),"",VLOOKUP($B95,FFTodayData!$AB:$AK,9,0))</f>
        <v/>
      </c>
      <c r="F95" s="33" t="str">
        <f>IF(OR(($A95=Settings!$A$31),($A95=Settings!$A$32),ISERROR(VLOOKUP($B95,FFTodayData!$AB:$AK,4,0))),"",VLOOKUP($B95,FFTodayData!$AB:$AK,4,0))</f>
        <v/>
      </c>
      <c r="G95" s="33" t="str">
        <f>IF(OR(($A95=Settings!$A$31),($A95=Settings!$A$32),ISERROR(VLOOKUP($B95,FFTodayData!$AB:$AK,5,0))),"",VLOOKUP($B95,FFTodayData!$AB:$AK,5,0))</f>
        <v/>
      </c>
      <c r="H95" s="64" t="str">
        <f>IF(OR(($A95=Settings!$A$31),($A95=Settings!$A$32),ISERROR(VLOOKUP($B95,FFTodayData!$AB:$AK,6,0))),"",VLOOKUP($B95,FFTodayData!$AB:$AK,6,0))</f>
        <v/>
      </c>
      <c r="I95" s="117">
        <f>IF(ISERROR(VLOOKUP($A95,ESPNData!$AH:$AU,9,0)),"",VLOOKUP($A95,ESPNData!$AH:$AU,9,0))</f>
        <v>0</v>
      </c>
      <c r="J95" s="33">
        <f>IF(ISERROR(VLOOKUP($A95,ESPNData!$AH:$AU,10,0)),"",VLOOKUP($A95,ESPNData!$AH:$AU,10,0))</f>
        <v>0</v>
      </c>
      <c r="K95" s="33">
        <f>IF(ISERROR(VLOOKUP($A95,ESPNData!$AH:$AU,11,0)),"",VLOOKUP($A95,ESPNData!$AH:$AU,11,0))</f>
        <v>26</v>
      </c>
      <c r="L95" s="33">
        <f>IF(ISERROR(VLOOKUP($A95,ESPNData!$AH:$AU,12,0)),"",VLOOKUP($A95,ESPNData!$AH:$AU,12,0))</f>
        <v>334</v>
      </c>
      <c r="M95" s="64">
        <f>IF(ISERROR(VLOOKUP($A95,ESPNData!$AH:$AU,13,0)),"",VLOOKUP($A95,ESPNData!$AH:$AU,13,0))</f>
        <v>2</v>
      </c>
      <c r="N95" s="117">
        <f>IF(OR(($A95=Settings!$A$31),($A95=Settings!$A$32),ISERROR(VLOOKUP($B95,SportslineData!$AD:$AK,3,0))),"",ROUND(VLOOKUP($B95,SportslineData!$AD:$AK,3,0),0))</f>
        <v>36</v>
      </c>
      <c r="O95" s="33">
        <f>IF(OR(($A95=Settings!$A$31),($A95=Settings!$A$32),ISERROR(VLOOKUP($B95,SportslineData!$AD:$AK,4,0))),"",VLOOKUP($B95,SportslineData!$AD:$AK,4,0))</f>
        <v>536.5</v>
      </c>
      <c r="P95" s="33">
        <f>IF(OR(($A95=Settings!$A$31),($A95=Settings!$A$32),ISERROR(VLOOKUP($B95,SportslineData!$AD:$AK,6,0))),"",ROUND(VLOOKUP($B95,SportslineData!$AD:$AK,6,0),0))</f>
        <v>4</v>
      </c>
      <c r="Q95" s="64">
        <f>IF(OR(($A95=Settings!$A$31),($A95=Settings!$A$32),ISERROR(VLOOKUP($B95,SportslineData!$AD:$AK,7,0))),"",ROUND(VLOOKUP($B95,SportslineData!$AD:$AK,7,0),0))</f>
        <v>1</v>
      </c>
      <c r="R95" s="117"/>
      <c r="S95" s="33"/>
      <c r="T95" s="38">
        <f>IF(ISERROR(ROUND((((((ROUNDDOWN((D95/5),0)*Settings!$F$7)+(E95*Settings!$I$7))+(F95*Settings!$I$11))+(ROUNDDOWN((G95/5),0)*Settings!$F$11))+(H95*Settings!$F$12)),1)),0,ROUND((((((ROUNDDOWN((D95/5),0)*Settings!$F$7)+(E95*Settings!$I$7))+(F95*Settings!$I$11))+(ROUNDDOWN((G95/5),0)*Settings!$F$11))+(H95*Settings!$F$12)),1))</f>
        <v>0</v>
      </c>
      <c r="U95" s="38">
        <f>IF(ISERROR(ROUND((((((ROUNDDOWN((I95/5),0)*Settings!$F$7)+(J95*Settings!$I$7))+(K95*Settings!$I$11))+(ROUNDDOWN((L95/5),0)*Settings!$F$11))+(M95*Settings!$F$12)),1)),0,ROUND((((((ROUNDDOWN((I95/5),0)*Settings!$F$7)+(J95*Settings!$I$7))+(K95*Settings!$I$11))+(ROUNDDOWN((L95/5),0)*Settings!$F$11))+(M95*Settings!$F$12)),1))</f>
        <v>58</v>
      </c>
      <c r="V95" s="38">
        <f>IF((N95=""),0,((((N95*Settings!$I$11)+(ROUND((O95/5),0)*Settings!$F$11))+(P95*Settings!$F$12))+(Q95*Settings!$F$15)))</f>
        <v>94.5</v>
      </c>
      <c r="W95" s="66">
        <f>ROUND((((T95*Settings!$B$21)+(U95*Settings!$B$22))+(V95*Settings!$B$23)),1)</f>
        <v>51.3</v>
      </c>
      <c r="X95" s="66">
        <f>IF(ISERROR(VLOOKUP(RANK(W95,W$4:W$182),X$4:X94,1,0)),RANK(W95,W$4:W$182),IF(ISERROR(VLOOKUP((RANK(W95,W$4:W$182)+1),X$4:X94,1,0)),(RANK(W95,W$4:W$182)+1),IF(ISERROR(VLOOKUP((RANK(W95,W$4:W$182)+2),X$4:X94,1,0)),(RANK(W95,W$4:W$182)+2),(RANK(W95,W$4:W$182)+3))))</f>
        <v>93</v>
      </c>
      <c r="Y95" t="str">
        <f t="shared" si="8"/>
        <v>Davante Adams</v>
      </c>
    </row>
    <row r="96" spans="1:25" ht="12.75" customHeight="1">
      <c r="A96" s="33" t="str">
        <f>ESPNData!AH99</f>
        <v>Greg Little, Oak WR</v>
      </c>
      <c r="B96" s="33" t="str">
        <f t="shared" si="6"/>
        <v>Greg Little</v>
      </c>
      <c r="C96" s="64" t="str">
        <f t="shared" si="7"/>
        <v>OAK</v>
      </c>
      <c r="D96" s="117" t="str">
        <f>IF(OR(($A96=Settings!$A$31),($A96=Settings!$A$32),ISERROR(VLOOKUP($B96,FFTodayData!$AB:$AK,8,0))),"",VLOOKUP($B96,FFTodayData!$AB:$AK,8,0))</f>
        <v/>
      </c>
      <c r="E96" s="33" t="str">
        <f>IF(OR(($A96=Settings!$A$31),($A96=Settings!$A$32),ISERROR(VLOOKUP($B96,FFTodayData!$AB:$AK,9,0))),"",VLOOKUP($B96,FFTodayData!$AB:$AK,9,0))</f>
        <v/>
      </c>
      <c r="F96" s="33" t="str">
        <f>IF(OR(($A96=Settings!$A$31),($A96=Settings!$A$32),ISERROR(VLOOKUP($B96,FFTodayData!$AB:$AK,4,0))),"",VLOOKUP($B96,FFTodayData!$AB:$AK,4,0))</f>
        <v/>
      </c>
      <c r="G96" s="33" t="str">
        <f>IF(OR(($A96=Settings!$A$31),($A96=Settings!$A$32),ISERROR(VLOOKUP($B96,FFTodayData!$AB:$AK,5,0))),"",VLOOKUP($B96,FFTodayData!$AB:$AK,5,0))</f>
        <v/>
      </c>
      <c r="H96" s="64" t="str">
        <f>IF(OR(($A96=Settings!$A$31),($A96=Settings!$A$32),ISERROR(VLOOKUP($B96,FFTodayData!$AB:$AK,6,0))),"",VLOOKUP($B96,FFTodayData!$AB:$AK,6,0))</f>
        <v/>
      </c>
      <c r="I96" s="117">
        <f>IF(ISERROR(VLOOKUP($A96,ESPNData!$AH:$AU,9,0)),"",VLOOKUP($A96,ESPNData!$AH:$AU,9,0))</f>
        <v>0</v>
      </c>
      <c r="J96" s="33">
        <f>IF(ISERROR(VLOOKUP($A96,ESPNData!$AH:$AU,10,0)),"",VLOOKUP($A96,ESPNData!$AH:$AU,10,0))</f>
        <v>0</v>
      </c>
      <c r="K96" s="33">
        <f>IF(ISERROR(VLOOKUP($A96,ESPNData!$AH:$AU,11,0)),"",VLOOKUP($A96,ESPNData!$AH:$AU,11,0))</f>
        <v>26</v>
      </c>
      <c r="L96" s="33">
        <f>IF(ISERROR(VLOOKUP($A96,ESPNData!$AH:$AU,12,0)),"",VLOOKUP($A96,ESPNData!$AH:$AU,12,0))</f>
        <v>330</v>
      </c>
      <c r="M96" s="64">
        <f>IF(ISERROR(VLOOKUP($A96,ESPNData!$AH:$AU,13,0)),"",VLOOKUP($A96,ESPNData!$AH:$AU,13,0))</f>
        <v>2</v>
      </c>
      <c r="N96" s="117">
        <f>IF(OR(($A96=Settings!$A$31),($A96=Settings!$A$32),ISERROR(VLOOKUP($B96,SportslineData!$AD:$AK,3,0))),"",ROUND(VLOOKUP($B96,SportslineData!$AD:$AK,3,0),0))</f>
        <v>30</v>
      </c>
      <c r="O96" s="33">
        <f>IF(OR(($A96=Settings!$A$31),($A96=Settings!$A$32),ISERROR(VLOOKUP($B96,SportslineData!$AD:$AK,4,0))),"",VLOOKUP($B96,SportslineData!$AD:$AK,4,0))</f>
        <v>423.5</v>
      </c>
      <c r="P96" s="33">
        <f>IF(OR(($A96=Settings!$A$31),($A96=Settings!$A$32),ISERROR(VLOOKUP($B96,SportslineData!$AD:$AK,6,0))),"",ROUND(VLOOKUP($B96,SportslineData!$AD:$AK,6,0),0))</f>
        <v>2</v>
      </c>
      <c r="Q96" s="64">
        <f>IF(OR(($A96=Settings!$A$31),($A96=Settings!$A$32),ISERROR(VLOOKUP($B96,SportslineData!$AD:$AK,7,0))),"",ROUND(VLOOKUP($B96,SportslineData!$AD:$AK,7,0),0))</f>
        <v>0</v>
      </c>
      <c r="R96" s="117"/>
      <c r="S96" s="33"/>
      <c r="T96" s="38">
        <f>IF(ISERROR(ROUND((((((ROUNDDOWN((D96/5),0)*Settings!$F$7)+(E96*Settings!$I$7))+(F96*Settings!$I$11))+(ROUNDDOWN((G96/5),0)*Settings!$F$11))+(H96*Settings!$F$12)),1)),0,ROUND((((((ROUNDDOWN((D96/5),0)*Settings!$F$7)+(E96*Settings!$I$7))+(F96*Settings!$I$11))+(ROUNDDOWN((G96/5),0)*Settings!$F$11))+(H96*Settings!$F$12)),1))</f>
        <v>0</v>
      </c>
      <c r="U96" s="38">
        <f>IF(ISERROR(ROUND((((((ROUNDDOWN((I96/5),0)*Settings!$F$7)+(J96*Settings!$I$7))+(K96*Settings!$I$11))+(ROUNDDOWN((L96/5),0)*Settings!$F$11))+(M96*Settings!$F$12)),1)),0,ROUND((((((ROUNDDOWN((I96/5),0)*Settings!$F$7)+(J96*Settings!$I$7))+(K96*Settings!$I$11))+(ROUNDDOWN((L96/5),0)*Settings!$F$11))+(M96*Settings!$F$12)),1))</f>
        <v>58</v>
      </c>
      <c r="V96" s="38">
        <f>IF((N96=""),0,((((N96*Settings!$I$11)+(ROUND((O96/5),0)*Settings!$F$11))+(P96*Settings!$F$12))+(Q96*Settings!$F$15)))</f>
        <v>69.5</v>
      </c>
      <c r="W96" s="66">
        <f>ROUND((((T96*Settings!$B$21)+(U96*Settings!$B$22))+(V96*Settings!$B$23)),1)</f>
        <v>42.8</v>
      </c>
      <c r="X96" s="66">
        <f>IF(ISERROR(VLOOKUP(RANK(W96,W$4:W$182),X$4:X95,1,0)),RANK(W96,W$4:W$182),IF(ISERROR(VLOOKUP((RANK(W96,W$4:W$182)+1),X$4:X95,1,0)),(RANK(W96,W$4:W$182)+1),IF(ISERROR(VLOOKUP((RANK(W96,W$4:W$182)+2),X$4:X95,1,0)),(RANK(W96,W$4:W$182)+2),(RANK(W96,W$4:W$182)+3))))</f>
        <v>103</v>
      </c>
      <c r="Y96" t="str">
        <f t="shared" si="8"/>
        <v>Greg Little</v>
      </c>
    </row>
    <row r="97" spans="1:25" ht="12.75" customHeight="1">
      <c r="A97" s="33" t="str">
        <f>ESPNData!AH100</f>
        <v>Cole Beasley, Dal WR</v>
      </c>
      <c r="B97" s="33" t="str">
        <f t="shared" si="6"/>
        <v>Cole Beasley</v>
      </c>
      <c r="C97" s="64" t="str">
        <f t="shared" si="7"/>
        <v>DAL</v>
      </c>
      <c r="D97" s="117">
        <f>IF(OR(($A97=Settings!$A$31),($A97=Settings!$A$32),ISERROR(VLOOKUP($B97,FFTodayData!$AB:$AK,8,0))),"",VLOOKUP($B97,FFTodayData!$AB:$AK,8,0))</f>
        <v>0</v>
      </c>
      <c r="E97" s="33">
        <f>IF(OR(($A97=Settings!$A$31),($A97=Settings!$A$32),ISERROR(VLOOKUP($B97,FFTodayData!$AB:$AK,9,0))),"",VLOOKUP($B97,FFTodayData!$AB:$AK,9,0))</f>
        <v>0</v>
      </c>
      <c r="F97" s="33">
        <f>IF(OR(($A97=Settings!$A$31),($A97=Settings!$A$32),ISERROR(VLOOKUP($B97,FFTodayData!$AB:$AK,4,0))),"",VLOOKUP($B97,FFTodayData!$AB:$AK,4,0))</f>
        <v>12</v>
      </c>
      <c r="G97" s="33">
        <f>IF(OR(($A97=Settings!$A$31),($A97=Settings!$A$32),ISERROR(VLOOKUP($B97,FFTodayData!$AB:$AK,5,0))),"",VLOOKUP($B97,FFTodayData!$AB:$AK,5,0))</f>
        <v>150</v>
      </c>
      <c r="H97" s="64">
        <f>IF(OR(($A97=Settings!$A$31),($A97=Settings!$A$32),ISERROR(VLOOKUP($B97,FFTodayData!$AB:$AK,6,0))),"",VLOOKUP($B97,FFTodayData!$AB:$AK,6,0))</f>
        <v>1</v>
      </c>
      <c r="I97" s="117">
        <f>IF(ISERROR(VLOOKUP($A97,ESPNData!$AH:$AU,9,0)),"",VLOOKUP($A97,ESPNData!$AH:$AU,9,0))</f>
        <v>0</v>
      </c>
      <c r="J97" s="33">
        <f>IF(ISERROR(VLOOKUP($A97,ESPNData!$AH:$AU,10,0)),"",VLOOKUP($A97,ESPNData!$AH:$AU,10,0))</f>
        <v>0</v>
      </c>
      <c r="K97" s="33">
        <f>IF(ISERROR(VLOOKUP($A97,ESPNData!$AH:$AU,11,0)),"",VLOOKUP($A97,ESPNData!$AH:$AU,11,0))</f>
        <v>46</v>
      </c>
      <c r="L97" s="33">
        <f>IF(ISERROR(VLOOKUP($A97,ESPNData!$AH:$AU,12,0)),"",VLOOKUP($A97,ESPNData!$AH:$AU,12,0))</f>
        <v>423</v>
      </c>
      <c r="M97" s="64">
        <f>IF(ISERROR(VLOOKUP($A97,ESPNData!$AH:$AU,13,0)),"",VLOOKUP($A97,ESPNData!$AH:$AU,13,0))</f>
        <v>2</v>
      </c>
      <c r="N97" s="117">
        <f>IF(OR(($A97=Settings!$A$31),($A97=Settings!$A$32),ISERROR(VLOOKUP($B97,SportslineData!$AD:$AK,3,0))),"",ROUND(VLOOKUP($B97,SportslineData!$AD:$AK,3,0),0))</f>
        <v>37</v>
      </c>
      <c r="O97" s="33">
        <f>IF(OR(($A97=Settings!$A$31),($A97=Settings!$A$32),ISERROR(VLOOKUP($B97,SportslineData!$AD:$AK,4,0))),"",VLOOKUP($B97,SportslineData!$AD:$AK,4,0))</f>
        <v>407</v>
      </c>
      <c r="P97" s="33">
        <f>IF(OR(($A97=Settings!$A$31),($A97=Settings!$A$32),ISERROR(VLOOKUP($B97,SportslineData!$AD:$AK,6,0))),"",ROUND(VLOOKUP($B97,SportslineData!$AD:$AK,6,0),0))</f>
        <v>3</v>
      </c>
      <c r="Q97" s="64">
        <f>IF(OR(($A97=Settings!$A$31),($A97=Settings!$A$32),ISERROR(VLOOKUP($B97,SportslineData!$AD:$AK,7,0))),"",ROUND(VLOOKUP($B97,SportslineData!$AD:$AK,7,0),0))</f>
        <v>0</v>
      </c>
      <c r="R97" s="117"/>
      <c r="S97" s="33"/>
      <c r="T97" s="38">
        <f>IF(ISERROR(ROUND((((((ROUNDDOWN((D97/5),0)*Settings!$F$7)+(E97*Settings!$I$7))+(F97*Settings!$I$11))+(ROUNDDOWN((G97/5),0)*Settings!$F$11))+(H97*Settings!$F$12)),1)),0,ROUND((((((ROUNDDOWN((D97/5),0)*Settings!$F$7)+(E97*Settings!$I$7))+(F97*Settings!$I$11))+(ROUNDDOWN((G97/5),0)*Settings!$F$11))+(H97*Settings!$F$12)),1))</f>
        <v>27</v>
      </c>
      <c r="U97" s="38">
        <f>IF(ISERROR(ROUND((((((ROUNDDOWN((I97/5),0)*Settings!$F$7)+(J97*Settings!$I$7))+(K97*Settings!$I$11))+(ROUNDDOWN((L97/5),0)*Settings!$F$11))+(M97*Settings!$F$12)),1)),0,ROUND((((((ROUNDDOWN((I97/5),0)*Settings!$F$7)+(J97*Settings!$I$7))+(K97*Settings!$I$11))+(ROUNDDOWN((L97/5),0)*Settings!$F$11))+(M97*Settings!$F$12)),1))</f>
        <v>77</v>
      </c>
      <c r="V97" s="38">
        <f>IF((N97=""),0,((((N97*Settings!$I$11)+(ROUND((O97/5),0)*Settings!$F$11))+(P97*Settings!$F$12))+(Q97*Settings!$F$15)))</f>
        <v>77</v>
      </c>
      <c r="W97" s="66">
        <f>ROUND((((T97*Settings!$B$21)+(U97*Settings!$B$22))+(V97*Settings!$B$23)),1)</f>
        <v>60.5</v>
      </c>
      <c r="X97" s="66">
        <f>IF(ISERROR(VLOOKUP(RANK(W97,W$4:W$182),X$4:X96,1,0)),RANK(W97,W$4:W$182),IF(ISERROR(VLOOKUP((RANK(W97,W$4:W$182)+1),X$4:X96,1,0)),(RANK(W97,W$4:W$182)+1),IF(ISERROR(VLOOKUP((RANK(W97,W$4:W$182)+2),X$4:X96,1,0)),(RANK(W97,W$4:W$182)+2),(RANK(W97,W$4:W$182)+3))))</f>
        <v>85</v>
      </c>
      <c r="Y97" t="str">
        <f t="shared" si="8"/>
        <v>Cole Beasley</v>
      </c>
    </row>
    <row r="98" spans="1:25" ht="12.75" customHeight="1">
      <c r="A98" s="33" t="str">
        <f>ESPNData!AH101</f>
        <v>Jason Avant, Car WR</v>
      </c>
      <c r="B98" s="33" t="str">
        <f t="shared" si="6"/>
        <v>Jason Avant</v>
      </c>
      <c r="C98" s="64" t="str">
        <f t="shared" si="7"/>
        <v>CAR</v>
      </c>
      <c r="D98" s="117">
        <f>IF(OR(($A98=Settings!$A$31),($A98=Settings!$A$32),ISERROR(VLOOKUP($B98,FFTodayData!$AB:$AK,8,0))),"",VLOOKUP($B98,FFTodayData!$AB:$AK,8,0))</f>
        <v>0</v>
      </c>
      <c r="E98" s="33">
        <f>IF(OR(($A98=Settings!$A$31),($A98=Settings!$A$32),ISERROR(VLOOKUP($B98,FFTodayData!$AB:$AK,9,0))),"",VLOOKUP($B98,FFTodayData!$AB:$AK,9,0))</f>
        <v>0</v>
      </c>
      <c r="F98" s="33">
        <f>IF(OR(($A98=Settings!$A$31),($A98=Settings!$A$32),ISERROR(VLOOKUP($B98,FFTodayData!$AB:$AK,4,0))),"",VLOOKUP($B98,FFTodayData!$AB:$AK,4,0))</f>
        <v>26</v>
      </c>
      <c r="G98" s="33">
        <f>IF(OR(($A98=Settings!$A$31),($A98=Settings!$A$32),ISERROR(VLOOKUP($B98,FFTodayData!$AB:$AK,5,0))),"",VLOOKUP($B98,FFTodayData!$AB:$AK,5,0))</f>
        <v>413</v>
      </c>
      <c r="H98" s="64">
        <f>IF(OR(($A98=Settings!$A$31),($A98=Settings!$A$32),ISERROR(VLOOKUP($B98,FFTodayData!$AB:$AK,6,0))),"",VLOOKUP($B98,FFTodayData!$AB:$AK,6,0))</f>
        <v>2</v>
      </c>
      <c r="I98" s="117">
        <f>IF(ISERROR(VLOOKUP($A98,ESPNData!$AH:$AU,9,0)),"",VLOOKUP($A98,ESPNData!$AH:$AU,9,0))</f>
        <v>0</v>
      </c>
      <c r="J98" s="33">
        <f>IF(ISERROR(VLOOKUP($A98,ESPNData!$AH:$AU,10,0)),"",VLOOKUP($A98,ESPNData!$AH:$AU,10,0))</f>
        <v>0</v>
      </c>
      <c r="K98" s="33">
        <f>IF(ISERROR(VLOOKUP($A98,ESPNData!$AH:$AU,11,0)),"",VLOOKUP($A98,ESPNData!$AH:$AU,11,0))</f>
        <v>35</v>
      </c>
      <c r="L98" s="33">
        <f>IF(ISERROR(VLOOKUP($A98,ESPNData!$AH:$AU,12,0)),"",VLOOKUP($A98,ESPNData!$AH:$AU,12,0))</f>
        <v>361</v>
      </c>
      <c r="M98" s="64">
        <f>IF(ISERROR(VLOOKUP($A98,ESPNData!$AH:$AU,13,0)),"",VLOOKUP($A98,ESPNData!$AH:$AU,13,0))</f>
        <v>2</v>
      </c>
      <c r="N98" s="117">
        <f>IF(OR(($A98=Settings!$A$31),($A98=Settings!$A$32),ISERROR(VLOOKUP($B98,SportslineData!$AD:$AK,3,0))),"",ROUND(VLOOKUP($B98,SportslineData!$AD:$AK,3,0),0))</f>
        <v>35</v>
      </c>
      <c r="O98" s="33">
        <f>IF(OR(($A98=Settings!$A$31),($A98=Settings!$A$32),ISERROR(VLOOKUP($B98,SportslineData!$AD:$AK,4,0))),"",VLOOKUP($B98,SportslineData!$AD:$AK,4,0))</f>
        <v>421</v>
      </c>
      <c r="P98" s="33">
        <f>IF(OR(($A98=Settings!$A$31),($A98=Settings!$A$32),ISERROR(VLOOKUP($B98,SportslineData!$AD:$AK,6,0))),"",ROUND(VLOOKUP($B98,SportslineData!$AD:$AK,6,0),0))</f>
        <v>3</v>
      </c>
      <c r="Q98" s="64">
        <f>IF(OR(($A98=Settings!$A$31),($A98=Settings!$A$32),ISERROR(VLOOKUP($B98,SportslineData!$AD:$AK,7,0))),"",ROUND(VLOOKUP($B98,SportslineData!$AD:$AK,7,0),0))</f>
        <v>1</v>
      </c>
      <c r="R98" s="117"/>
      <c r="S98" s="33"/>
      <c r="T98" s="38">
        <f>IF(ISERROR(ROUND((((((ROUNDDOWN((D98/5),0)*Settings!$F$7)+(E98*Settings!$I$7))+(F98*Settings!$I$11))+(ROUNDDOWN((G98/5),0)*Settings!$F$11))+(H98*Settings!$F$12)),1)),0,ROUND((((((ROUNDDOWN((D98/5),0)*Settings!$F$7)+(E98*Settings!$I$7))+(F98*Settings!$I$11))+(ROUNDDOWN((G98/5),0)*Settings!$F$11))+(H98*Settings!$F$12)),1))</f>
        <v>66</v>
      </c>
      <c r="U98" s="38">
        <f>IF(ISERROR(ROUND((((((ROUNDDOWN((I98/5),0)*Settings!$F$7)+(J98*Settings!$I$7))+(K98*Settings!$I$11))+(ROUNDDOWN((L98/5),0)*Settings!$F$11))+(M98*Settings!$F$12)),1)),0,ROUND((((((ROUNDDOWN((I98/5),0)*Settings!$F$7)+(J98*Settings!$I$7))+(K98*Settings!$I$11))+(ROUNDDOWN((L98/5),0)*Settings!$F$11))+(M98*Settings!$F$12)),1))</f>
        <v>65.5</v>
      </c>
      <c r="V98" s="38">
        <f>IF((N98=""),0,((((N98*Settings!$I$11)+(ROUND((O98/5),0)*Settings!$F$11))+(P98*Settings!$F$12))+(Q98*Settings!$F$15)))</f>
        <v>76.5</v>
      </c>
      <c r="W98" s="66">
        <f>ROUND((((T98*Settings!$B$21)+(U98*Settings!$B$22))+(V98*Settings!$B$23)),1)</f>
        <v>69.400000000000006</v>
      </c>
      <c r="X98" s="66">
        <f>IF(ISERROR(VLOOKUP(RANK(W98,W$4:W$182),X$4:X97,1,0)),RANK(W98,W$4:W$182),IF(ISERROR(VLOOKUP((RANK(W98,W$4:W$182)+1),X$4:X97,1,0)),(RANK(W98,W$4:W$182)+1),IF(ISERROR(VLOOKUP((RANK(W98,W$4:W$182)+2),X$4:X97,1,0)),(RANK(W98,W$4:W$182)+2),(RANK(W98,W$4:W$182)+3))))</f>
        <v>78</v>
      </c>
      <c r="Y98" t="str">
        <f t="shared" si="8"/>
        <v>Jason Avant</v>
      </c>
    </row>
    <row r="99" spans="1:25" ht="12.75" customHeight="1">
      <c r="A99" s="33" t="str">
        <f>ESPNData!AH102</f>
        <v>Miles Austin, Cle WR</v>
      </c>
      <c r="B99" s="33" t="str">
        <f t="shared" si="6"/>
        <v>Miles Austin</v>
      </c>
      <c r="C99" s="64" t="str">
        <f t="shared" si="7"/>
        <v>CLE</v>
      </c>
      <c r="D99" s="117" t="str">
        <f>IF(OR(($A99=Settings!$A$31),($A99=Settings!$A$32),ISERROR(VLOOKUP($B99,FFTodayData!$AB:$AK,8,0))),"",VLOOKUP($B99,FFTodayData!$AB:$AK,8,0))</f>
        <v/>
      </c>
      <c r="E99" s="33" t="str">
        <f>IF(OR(($A99=Settings!$A$31),($A99=Settings!$A$32),ISERROR(VLOOKUP($B99,FFTodayData!$AB:$AK,9,0))),"",VLOOKUP($B99,FFTodayData!$AB:$AK,9,0))</f>
        <v/>
      </c>
      <c r="F99" s="33" t="str">
        <f>IF(OR(($A99=Settings!$A$31),($A99=Settings!$A$32),ISERROR(VLOOKUP($B99,FFTodayData!$AB:$AK,4,0))),"",VLOOKUP($B99,FFTodayData!$AB:$AK,4,0))</f>
        <v/>
      </c>
      <c r="G99" s="33" t="str">
        <f>IF(OR(($A99=Settings!$A$31),($A99=Settings!$A$32),ISERROR(VLOOKUP($B99,FFTodayData!$AB:$AK,5,0))),"",VLOOKUP($B99,FFTodayData!$AB:$AK,5,0))</f>
        <v/>
      </c>
      <c r="H99" s="64" t="str">
        <f>IF(OR(($A99=Settings!$A$31),($A99=Settings!$A$32),ISERROR(VLOOKUP($B99,FFTodayData!$AB:$AK,6,0))),"",VLOOKUP($B99,FFTodayData!$AB:$AK,6,0))</f>
        <v/>
      </c>
      <c r="I99" s="117">
        <f>IF(ISERROR(VLOOKUP($A99,ESPNData!$AH:$AU,9,0)),"",VLOOKUP($A99,ESPNData!$AH:$AU,9,0))</f>
        <v>0</v>
      </c>
      <c r="J99" s="33">
        <f>IF(ISERROR(VLOOKUP($A99,ESPNData!$AH:$AU,10,0)),"",VLOOKUP($A99,ESPNData!$AH:$AU,10,0))</f>
        <v>0</v>
      </c>
      <c r="K99" s="33">
        <f>IF(ISERROR(VLOOKUP($A99,ESPNData!$AH:$AU,11,0)),"",VLOOKUP($A99,ESPNData!$AH:$AU,11,0))</f>
        <v>22</v>
      </c>
      <c r="L99" s="33">
        <f>IF(ISERROR(VLOOKUP($A99,ESPNData!$AH:$AU,12,0)),"",VLOOKUP($A99,ESPNData!$AH:$AU,12,0))</f>
        <v>321</v>
      </c>
      <c r="M99" s="64">
        <f>IF(ISERROR(VLOOKUP($A99,ESPNData!$AH:$AU,13,0)),"",VLOOKUP($A99,ESPNData!$AH:$AU,13,0))</f>
        <v>2</v>
      </c>
      <c r="N99" s="117">
        <f>IF(OR(($A99=Settings!$A$31),($A99=Settings!$A$32),ISERROR(VLOOKUP($B99,SportslineData!$AD:$AK,3,0))),"",ROUND(VLOOKUP($B99,SportslineData!$AD:$AK,3,0),0))</f>
        <v>47</v>
      </c>
      <c r="O99" s="33">
        <f>IF(OR(($A99=Settings!$A$31),($A99=Settings!$A$32),ISERROR(VLOOKUP($B99,SportslineData!$AD:$AK,4,0))),"",VLOOKUP($B99,SportslineData!$AD:$AK,4,0))</f>
        <v>596</v>
      </c>
      <c r="P99" s="33">
        <f>IF(OR(($A99=Settings!$A$31),($A99=Settings!$A$32),ISERROR(VLOOKUP($B99,SportslineData!$AD:$AK,6,0))),"",ROUND(VLOOKUP($B99,SportslineData!$AD:$AK,6,0),0))</f>
        <v>4</v>
      </c>
      <c r="Q99" s="64">
        <f>IF(OR(($A99=Settings!$A$31),($A99=Settings!$A$32),ISERROR(VLOOKUP($B99,SportslineData!$AD:$AK,7,0))),"",ROUND(VLOOKUP($B99,SportslineData!$AD:$AK,7,0),0))</f>
        <v>1</v>
      </c>
      <c r="R99" s="117"/>
      <c r="S99" s="33"/>
      <c r="T99" s="38">
        <f>IF(ISERROR(ROUND((((((ROUNDDOWN((D99/5),0)*Settings!$F$7)+(E99*Settings!$I$7))+(F99*Settings!$I$11))+(ROUNDDOWN((G99/5),0)*Settings!$F$11))+(H99*Settings!$F$12)),1)),0,ROUND((((((ROUNDDOWN((D99/5),0)*Settings!$F$7)+(E99*Settings!$I$7))+(F99*Settings!$I$11))+(ROUNDDOWN((G99/5),0)*Settings!$F$11))+(H99*Settings!$F$12)),1))</f>
        <v>0</v>
      </c>
      <c r="U99" s="38">
        <f>IF(ISERROR(ROUND((((((ROUNDDOWN((I99/5),0)*Settings!$F$7)+(J99*Settings!$I$7))+(K99*Settings!$I$11))+(ROUNDDOWN((L99/5),0)*Settings!$F$11))+(M99*Settings!$F$12)),1)),0,ROUND((((((ROUNDDOWN((I99/5),0)*Settings!$F$7)+(J99*Settings!$I$7))+(K99*Settings!$I$11))+(ROUNDDOWN((L99/5),0)*Settings!$F$11))+(M99*Settings!$F$12)),1))</f>
        <v>55</v>
      </c>
      <c r="V99" s="38">
        <f>IF((N99=""),0,((((N99*Settings!$I$11)+(ROUND((O99/5),0)*Settings!$F$11))+(P99*Settings!$F$12))+(Q99*Settings!$F$15)))</f>
        <v>106</v>
      </c>
      <c r="W99" s="66">
        <f>ROUND((((T99*Settings!$B$21)+(U99*Settings!$B$22))+(V99*Settings!$B$23)),1)</f>
        <v>54.2</v>
      </c>
      <c r="X99" s="66">
        <f>IF(ISERROR(VLOOKUP(RANK(W99,W$4:W$182),X$4:X98,1,0)),RANK(W99,W$4:W$182),IF(ISERROR(VLOOKUP((RANK(W99,W$4:W$182)+1),X$4:X98,1,0)),(RANK(W99,W$4:W$182)+1),IF(ISERROR(VLOOKUP((RANK(W99,W$4:W$182)+2),X$4:X98,1,0)),(RANK(W99,W$4:W$182)+2),(RANK(W99,W$4:W$182)+3))))</f>
        <v>90</v>
      </c>
      <c r="Y99" t="str">
        <f t="shared" si="8"/>
        <v>Miles Austin</v>
      </c>
    </row>
    <row r="100" spans="1:25" ht="12.75" customHeight="1">
      <c r="A100" s="33" t="str">
        <f>ESPNData!AH103</f>
        <v>Allen Robinson, Jac WR  Q</v>
      </c>
      <c r="B100" s="33" t="str">
        <f t="shared" ref="B100:B131" si="9">IF(OR((A100=""),(A100=0)),"",IF(ISERROR(FIND("*",A100)),LEFT(A100,(FIND(",",A100)-1)),LEFT(A100,(FIND("*",A100)-1))))</f>
        <v>Allen Robinson</v>
      </c>
      <c r="C100" s="64" t="str">
        <f t="shared" ref="C100:C131" si="10">IF((A100=""),"",UPPER(RIGHT(LEFT(A100,(FIND("WR",A100)-2)),(LEN(LEFT(A100,(FIND("WR",A100)-2)))-(FIND(",",LEFT(A100,(FIND("WR",A100)-2)))+1)))))</f>
        <v>JAC</v>
      </c>
      <c r="D100" s="117" t="str">
        <f>IF(OR(($A100=Settings!$A$31),($A100=Settings!$A$32),ISERROR(VLOOKUP($B100,FFTodayData!$AB:$AK,8,0))),"",VLOOKUP($B100,FFTodayData!$AB:$AK,8,0))</f>
        <v/>
      </c>
      <c r="E100" s="33" t="str">
        <f>IF(OR(($A100=Settings!$A$31),($A100=Settings!$A$32),ISERROR(VLOOKUP($B100,FFTodayData!$AB:$AK,9,0))),"",VLOOKUP($B100,FFTodayData!$AB:$AK,9,0))</f>
        <v/>
      </c>
      <c r="F100" s="33" t="str">
        <f>IF(OR(($A100=Settings!$A$31),($A100=Settings!$A$32),ISERROR(VLOOKUP($B100,FFTodayData!$AB:$AK,4,0))),"",VLOOKUP($B100,FFTodayData!$AB:$AK,4,0))</f>
        <v/>
      </c>
      <c r="G100" s="33" t="str">
        <f>IF(OR(($A100=Settings!$A$31),($A100=Settings!$A$32),ISERROR(VLOOKUP($B100,FFTodayData!$AB:$AK,5,0))),"",VLOOKUP($B100,FFTodayData!$AB:$AK,5,0))</f>
        <v/>
      </c>
      <c r="H100" s="64" t="str">
        <f>IF(OR(($A100=Settings!$A$31),($A100=Settings!$A$32),ISERROR(VLOOKUP($B100,FFTodayData!$AB:$AK,6,0))),"",VLOOKUP($B100,FFTodayData!$AB:$AK,6,0))</f>
        <v/>
      </c>
      <c r="I100" s="117">
        <f>IF(ISERROR(VLOOKUP($A100,ESPNData!$AH:$AU,9,0)),"",VLOOKUP($A100,ESPNData!$AH:$AU,9,0))</f>
        <v>0</v>
      </c>
      <c r="J100" s="33">
        <f>IF(ISERROR(VLOOKUP($A100,ESPNData!$AH:$AU,10,0)),"",VLOOKUP($A100,ESPNData!$AH:$AU,10,0))</f>
        <v>0</v>
      </c>
      <c r="K100" s="33">
        <f>IF(ISERROR(VLOOKUP($A100,ESPNData!$AH:$AU,11,0)),"",VLOOKUP($A100,ESPNData!$AH:$AU,11,0))</f>
        <v>29</v>
      </c>
      <c r="L100" s="33">
        <f>IF(ISERROR(VLOOKUP($A100,ESPNData!$AH:$AU,12,0)),"",VLOOKUP($A100,ESPNData!$AH:$AU,12,0))</f>
        <v>371</v>
      </c>
      <c r="M100" s="64">
        <f>IF(ISERROR(VLOOKUP($A100,ESPNData!$AH:$AU,13,0)),"",VLOOKUP($A100,ESPNData!$AH:$AU,13,0))</f>
        <v>2</v>
      </c>
      <c r="N100" s="117">
        <f>IF(OR(($A100=Settings!$A$31),($A100=Settings!$A$32),ISERROR(VLOOKUP($B100,SportslineData!$AD:$AK,3,0))),"",ROUND(VLOOKUP($B100,SportslineData!$AD:$AK,3,0),0))</f>
        <v>32</v>
      </c>
      <c r="O100" s="33">
        <f>IF(OR(($A100=Settings!$A$31),($A100=Settings!$A$32),ISERROR(VLOOKUP($B100,SportslineData!$AD:$AK,4,0))),"",VLOOKUP($B100,SportslineData!$AD:$AK,4,0))</f>
        <v>474.5</v>
      </c>
      <c r="P100" s="33">
        <f>IF(OR(($A100=Settings!$A$31),($A100=Settings!$A$32),ISERROR(VLOOKUP($B100,SportslineData!$AD:$AK,6,0))),"",ROUND(VLOOKUP($B100,SportslineData!$AD:$AK,6,0),0))</f>
        <v>3</v>
      </c>
      <c r="Q100" s="64">
        <f>IF(OR(($A100=Settings!$A$31),($A100=Settings!$A$32),ISERROR(VLOOKUP($B100,SportslineData!$AD:$AK,7,0))),"",ROUND(VLOOKUP($B100,SportslineData!$AD:$AK,7,0),0))</f>
        <v>1</v>
      </c>
      <c r="R100" s="117"/>
      <c r="S100" s="33"/>
      <c r="T100" s="38">
        <f>IF(ISERROR(ROUND((((((ROUNDDOWN((D100/5),0)*Settings!$F$7)+(E100*Settings!$I$7))+(F100*Settings!$I$11))+(ROUNDDOWN((G100/5),0)*Settings!$F$11))+(H100*Settings!$F$12)),1)),0,ROUND((((((ROUNDDOWN((D100/5),0)*Settings!$F$7)+(E100*Settings!$I$7))+(F100*Settings!$I$11))+(ROUNDDOWN((G100/5),0)*Settings!$F$11))+(H100*Settings!$F$12)),1))</f>
        <v>0</v>
      </c>
      <c r="U100" s="38">
        <f>IF(ISERROR(ROUND((((((ROUNDDOWN((I100/5),0)*Settings!$F$7)+(J100*Settings!$I$7))+(K100*Settings!$I$11))+(ROUNDDOWN((L100/5),0)*Settings!$F$11))+(M100*Settings!$F$12)),1)),0,ROUND((((((ROUNDDOWN((I100/5),0)*Settings!$F$7)+(J100*Settings!$I$7))+(K100*Settings!$I$11))+(ROUNDDOWN((L100/5),0)*Settings!$F$11))+(M100*Settings!$F$12)),1))</f>
        <v>63.5</v>
      </c>
      <c r="V100" s="38">
        <f>IF((N100=""),0,((((N100*Settings!$I$11)+(ROUND((O100/5),0)*Settings!$F$11))+(P100*Settings!$F$12))+(Q100*Settings!$F$15)))</f>
        <v>80.5</v>
      </c>
      <c r="W100" s="66">
        <f>ROUND((((T100*Settings!$B$21)+(U100*Settings!$B$22))+(V100*Settings!$B$23)),1)</f>
        <v>48.3</v>
      </c>
      <c r="X100" s="66">
        <f>IF(ISERROR(VLOOKUP(RANK(W100,W$4:W$182),X$4:X99,1,0)),RANK(W100,W$4:W$182),IF(ISERROR(VLOOKUP((RANK(W100,W$4:W$182)+1),X$4:X99,1,0)),(RANK(W100,W$4:W$182)+1),IF(ISERROR(VLOOKUP((RANK(W100,W$4:W$182)+2),X$4:X99,1,0)),(RANK(W100,W$4:W$182)+2),(RANK(W100,W$4:W$182)+3))))</f>
        <v>96</v>
      </c>
      <c r="Y100" t="str">
        <f t="shared" ref="Y100:Y131" si="11">B100</f>
        <v>Allen Robinson</v>
      </c>
    </row>
    <row r="101" spans="1:25" ht="12.75" customHeight="1">
      <c r="A101" s="33" t="str">
        <f>ESPNData!AH104</f>
        <v>Martavis Bryant, Pit WR</v>
      </c>
      <c r="B101" s="33" t="str">
        <f t="shared" si="9"/>
        <v>Martavis Bryant</v>
      </c>
      <c r="C101" s="64" t="str">
        <f t="shared" si="10"/>
        <v>PIT</v>
      </c>
      <c r="D101" s="117" t="str">
        <f>IF(OR(($A101=Settings!$A$31),($A101=Settings!$A$32),ISERROR(VLOOKUP($B101,FFTodayData!$AB:$AK,8,0))),"",VLOOKUP($B101,FFTodayData!$AB:$AK,8,0))</f>
        <v/>
      </c>
      <c r="E101" s="33" t="str">
        <f>IF(OR(($A101=Settings!$A$31),($A101=Settings!$A$32),ISERROR(VLOOKUP($B101,FFTodayData!$AB:$AK,9,0))),"",VLOOKUP($B101,FFTodayData!$AB:$AK,9,0))</f>
        <v/>
      </c>
      <c r="F101" s="33" t="str">
        <f>IF(OR(($A101=Settings!$A$31),($A101=Settings!$A$32),ISERROR(VLOOKUP($B101,FFTodayData!$AB:$AK,4,0))),"",VLOOKUP($B101,FFTodayData!$AB:$AK,4,0))</f>
        <v/>
      </c>
      <c r="G101" s="33" t="str">
        <f>IF(OR(($A101=Settings!$A$31),($A101=Settings!$A$32),ISERROR(VLOOKUP($B101,FFTodayData!$AB:$AK,5,0))),"",VLOOKUP($B101,FFTodayData!$AB:$AK,5,0))</f>
        <v/>
      </c>
      <c r="H101" s="64" t="str">
        <f>IF(OR(($A101=Settings!$A$31),($A101=Settings!$A$32),ISERROR(VLOOKUP($B101,FFTodayData!$AB:$AK,6,0))),"",VLOOKUP($B101,FFTodayData!$AB:$AK,6,0))</f>
        <v/>
      </c>
      <c r="I101" s="117">
        <f>IF(ISERROR(VLOOKUP($A101,ESPNData!$AH:$AU,9,0)),"",VLOOKUP($A101,ESPNData!$AH:$AU,9,0))</f>
        <v>0</v>
      </c>
      <c r="J101" s="33">
        <f>IF(ISERROR(VLOOKUP($A101,ESPNData!$AH:$AU,10,0)),"",VLOOKUP($A101,ESPNData!$AH:$AU,10,0))</f>
        <v>0</v>
      </c>
      <c r="K101" s="33">
        <f>IF(ISERROR(VLOOKUP($A101,ESPNData!$AH:$AU,11,0)),"",VLOOKUP($A101,ESPNData!$AH:$AU,11,0))</f>
        <v>27</v>
      </c>
      <c r="L101" s="33">
        <f>IF(ISERROR(VLOOKUP($A101,ESPNData!$AH:$AU,12,0)),"",VLOOKUP($A101,ESPNData!$AH:$AU,12,0))</f>
        <v>380</v>
      </c>
      <c r="M101" s="64">
        <f>IF(ISERROR(VLOOKUP($A101,ESPNData!$AH:$AU,13,0)),"",VLOOKUP($A101,ESPNData!$AH:$AU,13,0))</f>
        <v>2</v>
      </c>
      <c r="N101" s="117">
        <f>IF(OR(($A101=Settings!$A$31),($A101=Settings!$A$32),ISERROR(VLOOKUP($B101,SportslineData!$AD:$AK,3,0))),"",ROUND(VLOOKUP($B101,SportslineData!$AD:$AK,3,0),0))</f>
        <v>26</v>
      </c>
      <c r="O101" s="33">
        <f>IF(OR(($A101=Settings!$A$31),($A101=Settings!$A$32),ISERROR(VLOOKUP($B101,SportslineData!$AD:$AK,4,0))),"",VLOOKUP($B101,SportslineData!$AD:$AK,4,0))</f>
        <v>436.5</v>
      </c>
      <c r="P101" s="33">
        <f>IF(OR(($A101=Settings!$A$31),($A101=Settings!$A$32),ISERROR(VLOOKUP($B101,SportslineData!$AD:$AK,6,0))),"",ROUND(VLOOKUP($B101,SportslineData!$AD:$AK,6,0),0))</f>
        <v>3</v>
      </c>
      <c r="Q101" s="64">
        <f>IF(OR(($A101=Settings!$A$31),($A101=Settings!$A$32),ISERROR(VLOOKUP($B101,SportslineData!$AD:$AK,7,0))),"",ROUND(VLOOKUP($B101,SportslineData!$AD:$AK,7,0),0))</f>
        <v>0</v>
      </c>
      <c r="R101" s="117"/>
      <c r="S101" s="33"/>
      <c r="T101" s="38">
        <f>IF(ISERROR(ROUND((((((ROUNDDOWN((D101/5),0)*Settings!$F$7)+(E101*Settings!$I$7))+(F101*Settings!$I$11))+(ROUNDDOWN((G101/5),0)*Settings!$F$11))+(H101*Settings!$F$12)),1)),0,ROUND((((((ROUNDDOWN((D101/5),0)*Settings!$F$7)+(E101*Settings!$I$7))+(F101*Settings!$I$11))+(ROUNDDOWN((G101/5),0)*Settings!$F$11))+(H101*Settings!$F$12)),1))</f>
        <v>0</v>
      </c>
      <c r="U101" s="38">
        <f>IF(ISERROR(ROUND((((((ROUNDDOWN((I101/5),0)*Settings!$F$7)+(J101*Settings!$I$7))+(K101*Settings!$I$11))+(ROUNDDOWN((L101/5),0)*Settings!$F$11))+(M101*Settings!$F$12)),1)),0,ROUND((((((ROUNDDOWN((I101/5),0)*Settings!$F$7)+(J101*Settings!$I$7))+(K101*Settings!$I$11))+(ROUNDDOWN((L101/5),0)*Settings!$F$11))+(M101*Settings!$F$12)),1))</f>
        <v>63.5</v>
      </c>
      <c r="V101" s="38">
        <f>IF((N101=""),0,((((N101*Settings!$I$11)+(ROUND((O101/5),0)*Settings!$F$11))+(P101*Settings!$F$12))+(Q101*Settings!$F$15)))</f>
        <v>74.5</v>
      </c>
      <c r="W101" s="66">
        <f>ROUND((((T101*Settings!$B$21)+(U101*Settings!$B$22))+(V101*Settings!$B$23)),1)</f>
        <v>46.3</v>
      </c>
      <c r="X101" s="66">
        <f>IF(ISERROR(VLOOKUP(RANK(W101,W$4:W$182),X$4:X100,1,0)),RANK(W101,W$4:W$182),IF(ISERROR(VLOOKUP((RANK(W101,W$4:W$182)+1),X$4:X100,1,0)),(RANK(W101,W$4:W$182)+1),IF(ISERROR(VLOOKUP((RANK(W101,W$4:W$182)+2),X$4:X100,1,0)),(RANK(W101,W$4:W$182)+2),(RANK(W101,W$4:W$182)+3))))</f>
        <v>99</v>
      </c>
      <c r="Y101" t="str">
        <f t="shared" si="11"/>
        <v>Martavis Bryant</v>
      </c>
    </row>
    <row r="102" spans="1:25" ht="12.75" customHeight="1">
      <c r="A102" s="33" t="str">
        <f>ESPNData!AH105</f>
        <v>Mohamed Sanu, Cin WR</v>
      </c>
      <c r="B102" s="33" t="str">
        <f t="shared" si="9"/>
        <v>Mohamed Sanu</v>
      </c>
      <c r="C102" s="64" t="str">
        <f t="shared" si="10"/>
        <v>CIN</v>
      </c>
      <c r="D102" s="117">
        <f>IF(OR(($A102=Settings!$A$31),($A102=Settings!$A$32),ISERROR(VLOOKUP($B102,FFTodayData!$AB:$AK,8,0))),"",VLOOKUP($B102,FFTodayData!$AB:$AK,8,0))</f>
        <v>0</v>
      </c>
      <c r="E102" s="33">
        <f>IF(OR(($A102=Settings!$A$31),($A102=Settings!$A$32),ISERROR(VLOOKUP($B102,FFTodayData!$AB:$AK,9,0))),"",VLOOKUP($B102,FFTodayData!$AB:$AK,9,0))</f>
        <v>0</v>
      </c>
      <c r="F102" s="33">
        <f>IF(OR(($A102=Settings!$A$31),($A102=Settings!$A$32),ISERROR(VLOOKUP($B102,FFTodayData!$AB:$AK,4,0))),"",VLOOKUP($B102,FFTodayData!$AB:$AK,4,0))</f>
        <v>17</v>
      </c>
      <c r="G102" s="33">
        <f>IF(OR(($A102=Settings!$A$31),($A102=Settings!$A$32),ISERROR(VLOOKUP($B102,FFTodayData!$AB:$AK,5,0))),"",VLOOKUP($B102,FFTodayData!$AB:$AK,5,0))</f>
        <v>215</v>
      </c>
      <c r="H102" s="64">
        <f>IF(OR(($A102=Settings!$A$31),($A102=Settings!$A$32),ISERROR(VLOOKUP($B102,FFTodayData!$AB:$AK,6,0))),"",VLOOKUP($B102,FFTodayData!$AB:$AK,6,0))</f>
        <v>1</v>
      </c>
      <c r="I102" s="117">
        <f>IF(ISERROR(VLOOKUP($A102,ESPNData!$AH:$AU,9,0)),"",VLOOKUP($A102,ESPNData!$AH:$AU,9,0))</f>
        <v>29</v>
      </c>
      <c r="J102" s="33">
        <f>IF(ISERROR(VLOOKUP($A102,ESPNData!$AH:$AU,10,0)),"",VLOOKUP($A102,ESPNData!$AH:$AU,10,0))</f>
        <v>0</v>
      </c>
      <c r="K102" s="33">
        <f>IF(ISERROR(VLOOKUP($A102,ESPNData!$AH:$AU,11,0)),"",VLOOKUP($A102,ESPNData!$AH:$AU,11,0))</f>
        <v>48</v>
      </c>
      <c r="L102" s="33">
        <f>IF(ISERROR(VLOOKUP($A102,ESPNData!$AH:$AU,12,0)),"",VLOOKUP($A102,ESPNData!$AH:$AU,12,0))</f>
        <v>540</v>
      </c>
      <c r="M102" s="64">
        <f>IF(ISERROR(VLOOKUP($A102,ESPNData!$AH:$AU,13,0)),"",VLOOKUP($A102,ESPNData!$AH:$AU,13,0))</f>
        <v>2</v>
      </c>
      <c r="N102" s="117">
        <f>IF(OR(($A102=Settings!$A$31),($A102=Settings!$A$32),ISERROR(VLOOKUP($B102,SportslineData!$AD:$AK,3,0))),"",ROUND(VLOOKUP($B102,SportslineData!$AD:$AK,3,0),0))</f>
        <v>51</v>
      </c>
      <c r="O102" s="33">
        <f>IF(OR(($A102=Settings!$A$31),($A102=Settings!$A$32),ISERROR(VLOOKUP($B102,SportslineData!$AD:$AK,4,0))),"",VLOOKUP($B102,SportslineData!$AD:$AK,4,0))</f>
        <v>628.5</v>
      </c>
      <c r="P102" s="33">
        <f>IF(OR(($A102=Settings!$A$31),($A102=Settings!$A$32),ISERROR(VLOOKUP($B102,SportslineData!$AD:$AK,6,0))),"",ROUND(VLOOKUP($B102,SportslineData!$AD:$AK,6,0),0))</f>
        <v>4</v>
      </c>
      <c r="Q102" s="64">
        <f>IF(OR(($A102=Settings!$A$31),($A102=Settings!$A$32),ISERROR(VLOOKUP($B102,SportslineData!$AD:$AK,7,0))),"",ROUND(VLOOKUP($B102,SportslineData!$AD:$AK,7,0),0))</f>
        <v>0</v>
      </c>
      <c r="R102" s="117"/>
      <c r="S102" s="33"/>
      <c r="T102" s="38">
        <f>IF(ISERROR(ROUND((((((ROUNDDOWN((D102/5),0)*Settings!$F$7)+(E102*Settings!$I$7))+(F102*Settings!$I$11))+(ROUNDDOWN((G102/5),0)*Settings!$F$11))+(H102*Settings!$F$12)),1)),0,ROUND((((((ROUNDDOWN((D102/5),0)*Settings!$F$7)+(E102*Settings!$I$7))+(F102*Settings!$I$11))+(ROUNDDOWN((G102/5),0)*Settings!$F$11))+(H102*Settings!$F$12)),1))</f>
        <v>36</v>
      </c>
      <c r="U102" s="38">
        <f>IF(ISERROR(ROUND((((((ROUNDDOWN((I102/5),0)*Settings!$F$7)+(J102*Settings!$I$7))+(K102*Settings!$I$11))+(ROUNDDOWN((L102/5),0)*Settings!$F$11))+(M102*Settings!$F$12)),1)),0,ROUND((((((ROUNDDOWN((I102/5),0)*Settings!$F$7)+(J102*Settings!$I$7))+(K102*Settings!$I$11))+(ROUNDDOWN((L102/5),0)*Settings!$F$11))+(M102*Settings!$F$12)),1))</f>
        <v>92.5</v>
      </c>
      <c r="V102" s="38">
        <f>IF((N102=""),0,((((N102*Settings!$I$11)+(ROUND((O102/5),0)*Settings!$F$11))+(P102*Settings!$F$12))+(Q102*Settings!$F$15)))</f>
        <v>112.5</v>
      </c>
      <c r="W102" s="66">
        <f>ROUND((((T102*Settings!$B$21)+(U102*Settings!$B$22))+(V102*Settings!$B$23)),1)</f>
        <v>80.7</v>
      </c>
      <c r="X102" s="66">
        <f>IF(ISERROR(VLOOKUP(RANK(W102,W$4:W$182),X$4:X101,1,0)),RANK(W102,W$4:W$182),IF(ISERROR(VLOOKUP((RANK(W102,W$4:W$182)+1),X$4:X101,1,0)),(RANK(W102,W$4:W$182)+1),IF(ISERROR(VLOOKUP((RANK(W102,W$4:W$182)+2),X$4:X101,1,0)),(RANK(W102,W$4:W$182)+2),(RANK(W102,W$4:W$182)+3))))</f>
        <v>67</v>
      </c>
      <c r="Y102" t="str">
        <f t="shared" si="11"/>
        <v>Mohamed Sanu</v>
      </c>
    </row>
    <row r="103" spans="1:25" ht="12.75" customHeight="1">
      <c r="A103" s="33" t="str">
        <f>ESPNData!AH106</f>
        <v>Vincent Brown, SD WR  Q</v>
      </c>
      <c r="B103" s="33" t="str">
        <f t="shared" si="9"/>
        <v>Vincent Brown</v>
      </c>
      <c r="C103" s="64" t="str">
        <f t="shared" si="10"/>
        <v>SD</v>
      </c>
      <c r="D103" s="117">
        <f>IF(OR(($A103=Settings!$A$31),($A103=Settings!$A$32),ISERROR(VLOOKUP($B103,FFTodayData!$AB:$AK,8,0))),"",VLOOKUP($B103,FFTodayData!$AB:$AK,8,0))</f>
        <v>11</v>
      </c>
      <c r="E103" s="33">
        <f>IF(OR(($A103=Settings!$A$31),($A103=Settings!$A$32),ISERROR(VLOOKUP($B103,FFTodayData!$AB:$AK,9,0))),"",VLOOKUP($B103,FFTodayData!$AB:$AK,9,0))</f>
        <v>0</v>
      </c>
      <c r="F103" s="33">
        <f>IF(OR(($A103=Settings!$A$31),($A103=Settings!$A$32),ISERROR(VLOOKUP($B103,FFTodayData!$AB:$AK,4,0))),"",VLOOKUP($B103,FFTodayData!$AB:$AK,4,0))</f>
        <v>21</v>
      </c>
      <c r="G103" s="33">
        <f>IF(OR(($A103=Settings!$A$31),($A103=Settings!$A$32),ISERROR(VLOOKUP($B103,FFTodayData!$AB:$AK,5,0))),"",VLOOKUP($B103,FFTodayData!$AB:$AK,5,0))</f>
        <v>326</v>
      </c>
      <c r="H103" s="64">
        <f>IF(OR(($A103=Settings!$A$31),($A103=Settings!$A$32),ISERROR(VLOOKUP($B103,FFTodayData!$AB:$AK,6,0))),"",VLOOKUP($B103,FFTodayData!$AB:$AK,6,0))</f>
        <v>2</v>
      </c>
      <c r="I103" s="117">
        <f>IF(ISERROR(VLOOKUP($A103,ESPNData!$AH:$AU,9,0)),"",VLOOKUP($A103,ESPNData!$AH:$AU,9,0))</f>
        <v>0</v>
      </c>
      <c r="J103" s="33">
        <f>IF(ISERROR(VLOOKUP($A103,ESPNData!$AH:$AU,10,0)),"",VLOOKUP($A103,ESPNData!$AH:$AU,10,0))</f>
        <v>0</v>
      </c>
      <c r="K103" s="33">
        <f>IF(ISERROR(VLOOKUP($A103,ESPNData!$AH:$AU,11,0)),"",VLOOKUP($A103,ESPNData!$AH:$AU,11,0))</f>
        <v>22</v>
      </c>
      <c r="L103" s="33">
        <f>IF(ISERROR(VLOOKUP($A103,ESPNData!$AH:$AU,12,0)),"",VLOOKUP($A103,ESPNData!$AH:$AU,12,0))</f>
        <v>262</v>
      </c>
      <c r="M103" s="64">
        <f>IF(ISERROR(VLOOKUP($A103,ESPNData!$AH:$AU,13,0)),"",VLOOKUP($A103,ESPNData!$AH:$AU,13,0))</f>
        <v>1</v>
      </c>
      <c r="N103" s="117">
        <f>IF(OR(($A103=Settings!$A$31),($A103=Settings!$A$32),ISERROR(VLOOKUP($B103,SportslineData!$AD:$AK,3,0))),"",ROUND(VLOOKUP($B103,SportslineData!$AD:$AK,3,0),0))</f>
        <v>31</v>
      </c>
      <c r="O103" s="33">
        <f>IF(OR(($A103=Settings!$A$31),($A103=Settings!$A$32),ISERROR(VLOOKUP($B103,SportslineData!$AD:$AK,4,0))),"",VLOOKUP($B103,SportslineData!$AD:$AK,4,0))</f>
        <v>391.5</v>
      </c>
      <c r="P103" s="33">
        <f>IF(OR(($A103=Settings!$A$31),($A103=Settings!$A$32),ISERROR(VLOOKUP($B103,SportslineData!$AD:$AK,6,0))),"",ROUND(VLOOKUP($B103,SportslineData!$AD:$AK,6,0),0))</f>
        <v>2</v>
      </c>
      <c r="Q103" s="64">
        <f>IF(OR(($A103=Settings!$A$31),($A103=Settings!$A$32),ISERROR(VLOOKUP($B103,SportslineData!$AD:$AK,7,0))),"",ROUND(VLOOKUP($B103,SportslineData!$AD:$AK,7,0),0))</f>
        <v>0</v>
      </c>
      <c r="R103" s="117"/>
      <c r="S103" s="33"/>
      <c r="T103" s="38">
        <f>IF(ISERROR(ROUND((((((ROUNDDOWN((D103/5),0)*Settings!$F$7)+(E103*Settings!$I$7))+(F103*Settings!$I$11))+(ROUNDDOWN((G103/5),0)*Settings!$F$11))+(H103*Settings!$F$12)),1)),0,ROUND((((((ROUNDDOWN((D103/5),0)*Settings!$F$7)+(E103*Settings!$I$7))+(F103*Settings!$I$11))+(ROUNDDOWN((G103/5),0)*Settings!$F$11))+(H103*Settings!$F$12)),1))</f>
        <v>56</v>
      </c>
      <c r="U103" s="38">
        <f>IF(ISERROR(ROUND((((((ROUNDDOWN((I103/5),0)*Settings!$F$7)+(J103*Settings!$I$7))+(K103*Settings!$I$11))+(ROUNDDOWN((L103/5),0)*Settings!$F$11))+(M103*Settings!$F$12)),1)),0,ROUND((((((ROUNDDOWN((I103/5),0)*Settings!$F$7)+(J103*Settings!$I$7))+(K103*Settings!$I$11))+(ROUNDDOWN((L103/5),0)*Settings!$F$11))+(M103*Settings!$F$12)),1))</f>
        <v>43</v>
      </c>
      <c r="V103" s="38">
        <f>IF((N103=""),0,((((N103*Settings!$I$11)+(ROUND((O103/5),0)*Settings!$F$11))+(P103*Settings!$F$12))+(Q103*Settings!$F$15)))</f>
        <v>66.5</v>
      </c>
      <c r="W103" s="66">
        <f>ROUND((((T103*Settings!$B$21)+(U103*Settings!$B$22))+(V103*Settings!$B$23)),1)</f>
        <v>55.3</v>
      </c>
      <c r="X103" s="66">
        <f>IF(ISERROR(VLOOKUP(RANK(W103,W$4:W$182),X$4:X102,1,0)),RANK(W103,W$4:W$182),IF(ISERROR(VLOOKUP((RANK(W103,W$4:W$182)+1),X$4:X102,1,0)),(RANK(W103,W$4:W$182)+1),IF(ISERROR(VLOOKUP((RANK(W103,W$4:W$182)+2),X$4:X102,1,0)),(RANK(W103,W$4:W$182)+2),(RANK(W103,W$4:W$182)+3))))</f>
        <v>88</v>
      </c>
      <c r="Y103" t="str">
        <f t="shared" si="11"/>
        <v>Vincent Brown</v>
      </c>
    </row>
    <row r="104" spans="1:25" ht="12.75" customHeight="1">
      <c r="A104" s="33" t="str">
        <f>ESPNData!AH107</f>
        <v>Ace Sanders, Jac WR  SSPD</v>
      </c>
      <c r="B104" s="33" t="str">
        <f t="shared" si="9"/>
        <v>Ace Sanders</v>
      </c>
      <c r="C104" s="64" t="str">
        <f t="shared" si="10"/>
        <v>JAC</v>
      </c>
      <c r="D104" s="117" t="str">
        <f>IF(OR(($A104=Settings!$A$31),($A104=Settings!$A$32),ISERROR(VLOOKUP($B104,FFTodayData!$AB:$AK,8,0))),"",VLOOKUP($B104,FFTodayData!$AB:$AK,8,0))</f>
        <v/>
      </c>
      <c r="E104" s="33" t="str">
        <f>IF(OR(($A104=Settings!$A$31),($A104=Settings!$A$32),ISERROR(VLOOKUP($B104,FFTodayData!$AB:$AK,9,0))),"",VLOOKUP($B104,FFTodayData!$AB:$AK,9,0))</f>
        <v/>
      </c>
      <c r="F104" s="33" t="str">
        <f>IF(OR(($A104=Settings!$A$31),($A104=Settings!$A$32),ISERROR(VLOOKUP($B104,FFTodayData!$AB:$AK,4,0))),"",VLOOKUP($B104,FFTodayData!$AB:$AK,4,0))</f>
        <v/>
      </c>
      <c r="G104" s="33" t="str">
        <f>IF(OR(($A104=Settings!$A$31),($A104=Settings!$A$32),ISERROR(VLOOKUP($B104,FFTodayData!$AB:$AK,5,0))),"",VLOOKUP($B104,FFTodayData!$AB:$AK,5,0))</f>
        <v/>
      </c>
      <c r="H104" s="64" t="str">
        <f>IF(OR(($A104=Settings!$A$31),($A104=Settings!$A$32),ISERROR(VLOOKUP($B104,FFTodayData!$AB:$AK,6,0))),"",VLOOKUP($B104,FFTodayData!$AB:$AK,6,0))</f>
        <v/>
      </c>
      <c r="I104" s="117">
        <f>IF(ISERROR(VLOOKUP($A104,ESPNData!$AH:$AU,9,0)),"",VLOOKUP($A104,ESPNData!$AH:$AU,9,0))</f>
        <v>16</v>
      </c>
      <c r="J104" s="33">
        <f>IF(ISERROR(VLOOKUP($A104,ESPNData!$AH:$AU,10,0)),"",VLOOKUP($A104,ESPNData!$AH:$AU,10,0))</f>
        <v>0</v>
      </c>
      <c r="K104" s="33">
        <f>IF(ISERROR(VLOOKUP($A104,ESPNData!$AH:$AU,11,0)),"",VLOOKUP($A104,ESPNData!$AH:$AU,11,0))</f>
        <v>36</v>
      </c>
      <c r="L104" s="33">
        <f>IF(ISERROR(VLOOKUP($A104,ESPNData!$AH:$AU,12,0)),"",VLOOKUP($A104,ESPNData!$AH:$AU,12,0))</f>
        <v>338</v>
      </c>
      <c r="M104" s="64">
        <f>IF(ISERROR(VLOOKUP($A104,ESPNData!$AH:$AU,13,0)),"",VLOOKUP($A104,ESPNData!$AH:$AU,13,0))</f>
        <v>1</v>
      </c>
      <c r="N104" s="117">
        <f>IF(OR(($A104=Settings!$A$31),($A104=Settings!$A$32),ISERROR(VLOOKUP($B104,SportslineData!$AD:$AK,3,0))),"",ROUND(VLOOKUP($B104,SportslineData!$AD:$AK,3,0),0))</f>
        <v>16</v>
      </c>
      <c r="O104" s="33">
        <f>IF(OR(($A104=Settings!$A$31),($A104=Settings!$A$32),ISERROR(VLOOKUP($B104,SportslineData!$AD:$AK,4,0))),"",VLOOKUP($B104,SportslineData!$AD:$AK,4,0))</f>
        <v>178</v>
      </c>
      <c r="P104" s="33">
        <f>IF(OR(($A104=Settings!$A$31),($A104=Settings!$A$32),ISERROR(VLOOKUP($B104,SportslineData!$AD:$AK,6,0))),"",ROUND(VLOOKUP($B104,SportslineData!$AD:$AK,6,0),0))</f>
        <v>1</v>
      </c>
      <c r="Q104" s="64">
        <f>IF(OR(($A104=Settings!$A$31),($A104=Settings!$A$32),ISERROR(VLOOKUP($B104,SportslineData!$AD:$AK,7,0))),"",ROUND(VLOOKUP($B104,SportslineData!$AD:$AK,7,0),0))</f>
        <v>0</v>
      </c>
      <c r="R104" s="117"/>
      <c r="S104" s="33"/>
      <c r="T104" s="38">
        <f>IF(ISERROR(ROUND((((((ROUNDDOWN((D104/5),0)*Settings!$F$7)+(E104*Settings!$I$7))+(F104*Settings!$I$11))+(ROUNDDOWN((G104/5),0)*Settings!$F$11))+(H104*Settings!$F$12)),1)),0,ROUND((((((ROUNDDOWN((D104/5),0)*Settings!$F$7)+(E104*Settings!$I$7))+(F104*Settings!$I$11))+(ROUNDDOWN((G104/5),0)*Settings!$F$11))+(H104*Settings!$F$12)),1))</f>
        <v>0</v>
      </c>
      <c r="U104" s="38">
        <f>IF(ISERROR(ROUND((((((ROUNDDOWN((I104/5),0)*Settings!$F$7)+(J104*Settings!$I$7))+(K104*Settings!$I$11))+(ROUNDDOWN((L104/5),0)*Settings!$F$11))+(M104*Settings!$F$12)),1)),0,ROUND((((((ROUNDDOWN((I104/5),0)*Settings!$F$7)+(J104*Settings!$I$7))+(K104*Settings!$I$11))+(ROUNDDOWN((L104/5),0)*Settings!$F$11))+(M104*Settings!$F$12)),1))</f>
        <v>59</v>
      </c>
      <c r="V104" s="38">
        <f>IF((N104=""),0,((((N104*Settings!$I$11)+(ROUND((O104/5),0)*Settings!$F$11))+(P104*Settings!$F$12))+(Q104*Settings!$F$15)))</f>
        <v>32</v>
      </c>
      <c r="W104" s="66">
        <f>ROUND((((T104*Settings!$B$21)+(U104*Settings!$B$22))+(V104*Settings!$B$23)),1)</f>
        <v>30.4</v>
      </c>
      <c r="X104" s="66">
        <f>IF(ISERROR(VLOOKUP(RANK(W104,W$4:W$182),X$4:X103,1,0)),RANK(W104,W$4:W$182),IF(ISERROR(VLOOKUP((RANK(W104,W$4:W$182)+1),X$4:X103,1,0)),(RANK(W104,W$4:W$182)+1),IF(ISERROR(VLOOKUP((RANK(W104,W$4:W$182)+2),X$4:X103,1,0)),(RANK(W104,W$4:W$182)+2),(RANK(W104,W$4:W$182)+3))))</f>
        <v>114</v>
      </c>
      <c r="Y104" t="str">
        <f t="shared" si="11"/>
        <v>Ace Sanders</v>
      </c>
    </row>
    <row r="105" spans="1:25" ht="12.75" customHeight="1">
      <c r="A105" s="33" t="str">
        <f>ESPNData!AH108</f>
        <v>Cody Latimer, Den WR</v>
      </c>
      <c r="B105" s="33" t="str">
        <f t="shared" si="9"/>
        <v>Cody Latimer</v>
      </c>
      <c r="C105" s="64" t="str">
        <f t="shared" si="10"/>
        <v>DEN</v>
      </c>
      <c r="D105" s="117" t="str">
        <f>IF(OR(($A105=Settings!$A$31),($A105=Settings!$A$32),ISERROR(VLOOKUP($B105,FFTodayData!$AB:$AK,8,0))),"",VLOOKUP($B105,FFTodayData!$AB:$AK,8,0))</f>
        <v/>
      </c>
      <c r="E105" s="33" t="str">
        <f>IF(OR(($A105=Settings!$A$31),($A105=Settings!$A$32),ISERROR(VLOOKUP($B105,FFTodayData!$AB:$AK,9,0))),"",VLOOKUP($B105,FFTodayData!$AB:$AK,9,0))</f>
        <v/>
      </c>
      <c r="F105" s="33" t="str">
        <f>IF(OR(($A105=Settings!$A$31),($A105=Settings!$A$32),ISERROR(VLOOKUP($B105,FFTodayData!$AB:$AK,4,0))),"",VLOOKUP($B105,FFTodayData!$AB:$AK,4,0))</f>
        <v/>
      </c>
      <c r="G105" s="33" t="str">
        <f>IF(OR(($A105=Settings!$A$31),($A105=Settings!$A$32),ISERROR(VLOOKUP($B105,FFTodayData!$AB:$AK,5,0))),"",VLOOKUP($B105,FFTodayData!$AB:$AK,5,0))</f>
        <v/>
      </c>
      <c r="H105" s="64" t="str">
        <f>IF(OR(($A105=Settings!$A$31),($A105=Settings!$A$32),ISERROR(VLOOKUP($B105,FFTodayData!$AB:$AK,6,0))),"",VLOOKUP($B105,FFTodayData!$AB:$AK,6,0))</f>
        <v/>
      </c>
      <c r="I105" s="117">
        <f>IF(ISERROR(VLOOKUP($A105,ESPNData!$AH:$AU,9,0)),"",VLOOKUP($A105,ESPNData!$AH:$AU,9,0))</f>
        <v>0</v>
      </c>
      <c r="J105" s="33">
        <f>IF(ISERROR(VLOOKUP($A105,ESPNData!$AH:$AU,10,0)),"",VLOOKUP($A105,ESPNData!$AH:$AU,10,0))</f>
        <v>0</v>
      </c>
      <c r="K105" s="33">
        <f>IF(ISERROR(VLOOKUP($A105,ESPNData!$AH:$AU,11,0)),"",VLOOKUP($A105,ESPNData!$AH:$AU,11,0))</f>
        <v>0</v>
      </c>
      <c r="L105" s="33">
        <f>IF(ISERROR(VLOOKUP($A105,ESPNData!$AH:$AU,12,0)),"",VLOOKUP($A105,ESPNData!$AH:$AU,12,0))</f>
        <v>0</v>
      </c>
      <c r="M105" s="64">
        <f>IF(ISERROR(VLOOKUP($A105,ESPNData!$AH:$AU,13,0)),"",VLOOKUP($A105,ESPNData!$AH:$AU,13,0))</f>
        <v>0</v>
      </c>
      <c r="N105" s="117">
        <f>IF(OR(($A105=Settings!$A$31),($A105=Settings!$A$32),ISERROR(VLOOKUP($B105,SportslineData!$AD:$AK,3,0))),"",ROUND(VLOOKUP($B105,SportslineData!$AD:$AK,3,0),0))</f>
        <v>29</v>
      </c>
      <c r="O105" s="33">
        <f>IF(OR(($A105=Settings!$A$31),($A105=Settings!$A$32),ISERROR(VLOOKUP($B105,SportslineData!$AD:$AK,4,0))),"",VLOOKUP($B105,SportslineData!$AD:$AK,4,0))</f>
        <v>370.5</v>
      </c>
      <c r="P105" s="33">
        <f>IF(OR(($A105=Settings!$A$31),($A105=Settings!$A$32),ISERROR(VLOOKUP($B105,SportslineData!$AD:$AK,6,0))),"",ROUND(VLOOKUP($B105,SportslineData!$AD:$AK,6,0),0))</f>
        <v>2</v>
      </c>
      <c r="Q105" s="64">
        <f>IF(OR(($A105=Settings!$A$31),($A105=Settings!$A$32),ISERROR(VLOOKUP($B105,SportslineData!$AD:$AK,7,0))),"",ROUND(VLOOKUP($B105,SportslineData!$AD:$AK,7,0),0))</f>
        <v>0</v>
      </c>
      <c r="R105" s="117"/>
      <c r="S105" s="33"/>
      <c r="T105" s="38">
        <f>IF(ISERROR(ROUND((((((ROUNDDOWN((D105/5),0)*Settings!$F$7)+(E105*Settings!$I$7))+(F105*Settings!$I$11))+(ROUNDDOWN((G105/5),0)*Settings!$F$11))+(H105*Settings!$F$12)),1)),0,ROUND((((((ROUNDDOWN((D105/5),0)*Settings!$F$7)+(E105*Settings!$I$7))+(F105*Settings!$I$11))+(ROUNDDOWN((G105/5),0)*Settings!$F$11))+(H105*Settings!$F$12)),1))</f>
        <v>0</v>
      </c>
      <c r="U105" s="38">
        <f>IF(ISERROR(ROUND((((((ROUNDDOWN((I105/5),0)*Settings!$F$7)+(J105*Settings!$I$7))+(K105*Settings!$I$11))+(ROUNDDOWN((L105/5),0)*Settings!$F$11))+(M105*Settings!$F$12)),1)),0,ROUND((((((ROUNDDOWN((I105/5),0)*Settings!$F$7)+(J105*Settings!$I$7))+(K105*Settings!$I$11))+(ROUNDDOWN((L105/5),0)*Settings!$F$11))+(M105*Settings!$F$12)),1))</f>
        <v>0</v>
      </c>
      <c r="V105" s="38">
        <f>IF((N105=""),0,((((N105*Settings!$I$11)+(ROUND((O105/5),0)*Settings!$F$11))+(P105*Settings!$F$12))+(Q105*Settings!$F$15)))</f>
        <v>63.5</v>
      </c>
      <c r="W105" s="66">
        <f>ROUND((((T105*Settings!$B$21)+(U105*Settings!$B$22))+(V105*Settings!$B$23)),1)</f>
        <v>21.6</v>
      </c>
      <c r="X105" s="66">
        <f>IF(ISERROR(VLOOKUP(RANK(W105,W$4:W$182),X$4:X104,1,0)),RANK(W105,W$4:W$182),IF(ISERROR(VLOOKUP((RANK(W105,W$4:W$182)+1),X$4:X104,1,0)),(RANK(W105,W$4:W$182)+1),IF(ISERROR(VLOOKUP((RANK(W105,W$4:W$182)+2),X$4:X104,1,0)),(RANK(W105,W$4:W$182)+2),(RANK(W105,W$4:W$182)+3))))</f>
        <v>125</v>
      </c>
      <c r="Y105" t="str">
        <f t="shared" si="11"/>
        <v>Cody Latimer</v>
      </c>
    </row>
    <row r="106" spans="1:25" ht="12.75" customHeight="1">
      <c r="A106" s="33" t="str">
        <f>ESPNData!AH109</f>
        <v>John Brown, Ari WR</v>
      </c>
      <c r="B106" s="33" t="str">
        <f t="shared" si="9"/>
        <v>John Brown</v>
      </c>
      <c r="C106" s="64" t="str">
        <f t="shared" si="10"/>
        <v>ARI</v>
      </c>
      <c r="D106" s="117" t="str">
        <f>IF(OR(($A106=Settings!$A$31),($A106=Settings!$A$32),ISERROR(VLOOKUP($B106,FFTodayData!$AB:$AK,8,0))),"",VLOOKUP($B106,FFTodayData!$AB:$AK,8,0))</f>
        <v/>
      </c>
      <c r="E106" s="33" t="str">
        <f>IF(OR(($A106=Settings!$A$31),($A106=Settings!$A$32),ISERROR(VLOOKUP($B106,FFTodayData!$AB:$AK,9,0))),"",VLOOKUP($B106,FFTodayData!$AB:$AK,9,0))</f>
        <v/>
      </c>
      <c r="F106" s="33" t="str">
        <f>IF(OR(($A106=Settings!$A$31),($A106=Settings!$A$32),ISERROR(VLOOKUP($B106,FFTodayData!$AB:$AK,4,0))),"",VLOOKUP($B106,FFTodayData!$AB:$AK,4,0))</f>
        <v/>
      </c>
      <c r="G106" s="33" t="str">
        <f>IF(OR(($A106=Settings!$A$31),($A106=Settings!$A$32),ISERROR(VLOOKUP($B106,FFTodayData!$AB:$AK,5,0))),"",VLOOKUP($B106,FFTodayData!$AB:$AK,5,0))</f>
        <v/>
      </c>
      <c r="H106" s="64" t="str">
        <f>IF(OR(($A106=Settings!$A$31),($A106=Settings!$A$32),ISERROR(VLOOKUP($B106,FFTodayData!$AB:$AK,6,0))),"",VLOOKUP($B106,FFTodayData!$AB:$AK,6,0))</f>
        <v/>
      </c>
      <c r="I106" s="117">
        <f>IF(ISERROR(VLOOKUP($A106,ESPNData!$AH:$AU,9,0)),"",VLOOKUP($A106,ESPNData!$AH:$AU,9,0))</f>
        <v>0</v>
      </c>
      <c r="J106" s="33">
        <f>IF(ISERROR(VLOOKUP($A106,ESPNData!$AH:$AU,10,0)),"",VLOOKUP($A106,ESPNData!$AH:$AU,10,0))</f>
        <v>0</v>
      </c>
      <c r="K106" s="33">
        <f>IF(ISERROR(VLOOKUP($A106,ESPNData!$AH:$AU,11,0)),"",VLOOKUP($A106,ESPNData!$AH:$AU,11,0))</f>
        <v>0</v>
      </c>
      <c r="L106" s="33">
        <f>IF(ISERROR(VLOOKUP($A106,ESPNData!$AH:$AU,12,0)),"",VLOOKUP($A106,ESPNData!$AH:$AU,12,0))</f>
        <v>0</v>
      </c>
      <c r="M106" s="64">
        <f>IF(ISERROR(VLOOKUP($A106,ESPNData!$AH:$AU,13,0)),"",VLOOKUP($A106,ESPNData!$AH:$AU,13,0))</f>
        <v>0</v>
      </c>
      <c r="N106" s="117">
        <f>IF(OR(($A106=Settings!$A$31),($A106=Settings!$A$32),ISERROR(VLOOKUP($B106,SportslineData!$AD:$AK,3,0))),"",ROUND(VLOOKUP($B106,SportslineData!$AD:$AK,3,0),0))</f>
        <v>38</v>
      </c>
      <c r="O106" s="33">
        <f>IF(OR(($A106=Settings!$A$31),($A106=Settings!$A$32),ISERROR(VLOOKUP($B106,SportslineData!$AD:$AK,4,0))),"",VLOOKUP($B106,SportslineData!$AD:$AK,4,0))</f>
        <v>608.5</v>
      </c>
      <c r="P106" s="33">
        <f>IF(OR(($A106=Settings!$A$31),($A106=Settings!$A$32),ISERROR(VLOOKUP($B106,SportslineData!$AD:$AK,6,0))),"",ROUND(VLOOKUP($B106,SportslineData!$AD:$AK,6,0),0))</f>
        <v>3</v>
      </c>
      <c r="Q106" s="64">
        <f>IF(OR(($A106=Settings!$A$31),($A106=Settings!$A$32),ISERROR(VLOOKUP($B106,SportslineData!$AD:$AK,7,0))),"",ROUND(VLOOKUP($B106,SportslineData!$AD:$AK,7,0),0))</f>
        <v>0</v>
      </c>
      <c r="R106" s="117"/>
      <c r="S106" s="33"/>
      <c r="T106" s="38">
        <f>IF(ISERROR(ROUND((((((ROUNDDOWN((D106/5),0)*Settings!$F$7)+(E106*Settings!$I$7))+(F106*Settings!$I$11))+(ROUNDDOWN((G106/5),0)*Settings!$F$11))+(H106*Settings!$F$12)),1)),0,ROUND((((((ROUNDDOWN((D106/5),0)*Settings!$F$7)+(E106*Settings!$I$7))+(F106*Settings!$I$11))+(ROUNDDOWN((G106/5),0)*Settings!$F$11))+(H106*Settings!$F$12)),1))</f>
        <v>0</v>
      </c>
      <c r="U106" s="38">
        <f>IF(ISERROR(ROUND((((((ROUNDDOWN((I106/5),0)*Settings!$F$7)+(J106*Settings!$I$7))+(K106*Settings!$I$11))+(ROUNDDOWN((L106/5),0)*Settings!$F$11))+(M106*Settings!$F$12)),1)),0,ROUND((((((ROUNDDOWN((I106/5),0)*Settings!$F$7)+(J106*Settings!$I$7))+(K106*Settings!$I$11))+(ROUNDDOWN((L106/5),0)*Settings!$F$11))+(M106*Settings!$F$12)),1))</f>
        <v>0</v>
      </c>
      <c r="V106" s="38">
        <f>IF((N106=""),0,((((N106*Settings!$I$11)+(ROUND((O106/5),0)*Settings!$F$11))+(P106*Settings!$F$12))+(Q106*Settings!$F$15)))</f>
        <v>98</v>
      </c>
      <c r="W106" s="66">
        <f>ROUND((((T106*Settings!$B$21)+(U106*Settings!$B$22))+(V106*Settings!$B$23)),1)</f>
        <v>33.299999999999997</v>
      </c>
      <c r="X106" s="66">
        <f>IF(ISERROR(VLOOKUP(RANK(W106,W$4:W$182),X$4:X105,1,0)),RANK(W106,W$4:W$182),IF(ISERROR(VLOOKUP((RANK(W106,W$4:W$182)+1),X$4:X105,1,0)),(RANK(W106,W$4:W$182)+1),IF(ISERROR(VLOOKUP((RANK(W106,W$4:W$182)+2),X$4:X105,1,0)),(RANK(W106,W$4:W$182)+2),(RANK(W106,W$4:W$182)+3))))</f>
        <v>109</v>
      </c>
      <c r="Y106" t="str">
        <f t="shared" si="11"/>
        <v>John Brown</v>
      </c>
    </row>
    <row r="107" spans="1:25" ht="12.75" customHeight="1">
      <c r="A107" s="33" t="str">
        <f>ESPNData!AH110</f>
        <v>Jacoby Jones, Bal WR</v>
      </c>
      <c r="B107" s="33" t="str">
        <f t="shared" si="9"/>
        <v>Jacoby Jones</v>
      </c>
      <c r="C107" s="64" t="str">
        <f t="shared" si="10"/>
        <v>BAL</v>
      </c>
      <c r="D107" s="117">
        <f>IF(OR(($A107=Settings!$A$31),($A107=Settings!$A$32),ISERROR(VLOOKUP($B107,FFTodayData!$AB:$AK,8,0))),"",VLOOKUP($B107,FFTodayData!$AB:$AK,8,0))</f>
        <v>13</v>
      </c>
      <c r="E107" s="33">
        <f>IF(OR(($A107=Settings!$A$31),($A107=Settings!$A$32),ISERROR(VLOOKUP($B107,FFTodayData!$AB:$AK,9,0))),"",VLOOKUP($B107,FFTodayData!$AB:$AK,9,0))</f>
        <v>0</v>
      </c>
      <c r="F107" s="33">
        <f>IF(OR(($A107=Settings!$A$31),($A107=Settings!$A$32),ISERROR(VLOOKUP($B107,FFTodayData!$AB:$AK,4,0))),"",VLOOKUP($B107,FFTodayData!$AB:$AK,4,0))</f>
        <v>19</v>
      </c>
      <c r="G107" s="33">
        <f>IF(OR(($A107=Settings!$A$31),($A107=Settings!$A$32),ISERROR(VLOOKUP($B107,FFTodayData!$AB:$AK,5,0))),"",VLOOKUP($B107,FFTodayData!$AB:$AK,5,0))</f>
        <v>264</v>
      </c>
      <c r="H107" s="64">
        <f>IF(OR(($A107=Settings!$A$31),($A107=Settings!$A$32),ISERROR(VLOOKUP($B107,FFTodayData!$AB:$AK,6,0))),"",VLOOKUP($B107,FFTodayData!$AB:$AK,6,0))</f>
        <v>1</v>
      </c>
      <c r="I107" s="117">
        <f>IF(ISERROR(VLOOKUP($A107,ESPNData!$AH:$AU,9,0)),"",VLOOKUP($A107,ESPNData!$AH:$AU,9,0))</f>
        <v>0</v>
      </c>
      <c r="J107" s="33">
        <f>IF(ISERROR(VLOOKUP($A107,ESPNData!$AH:$AU,10,0)),"",VLOOKUP($A107,ESPNData!$AH:$AU,10,0))</f>
        <v>0</v>
      </c>
      <c r="K107" s="33">
        <f>IF(ISERROR(VLOOKUP($A107,ESPNData!$AH:$AU,11,0)),"",VLOOKUP($A107,ESPNData!$AH:$AU,11,0))</f>
        <v>0</v>
      </c>
      <c r="L107" s="33">
        <f>IF(ISERROR(VLOOKUP($A107,ESPNData!$AH:$AU,12,0)),"",VLOOKUP($A107,ESPNData!$AH:$AU,12,0))</f>
        <v>0</v>
      </c>
      <c r="M107" s="64">
        <f>IF(ISERROR(VLOOKUP($A107,ESPNData!$AH:$AU,13,0)),"",VLOOKUP($A107,ESPNData!$AH:$AU,13,0))</f>
        <v>0</v>
      </c>
      <c r="N107" s="117">
        <f>IF(OR(($A107=Settings!$A$31),($A107=Settings!$A$32),ISERROR(VLOOKUP($B107,SportslineData!$AD:$AK,3,0))),"",ROUND(VLOOKUP($B107,SportslineData!$AD:$AK,3,0),0))</f>
        <v>30</v>
      </c>
      <c r="O107" s="33">
        <f>IF(OR(($A107=Settings!$A$31),($A107=Settings!$A$32),ISERROR(VLOOKUP($B107,SportslineData!$AD:$AK,4,0))),"",VLOOKUP($B107,SportslineData!$AD:$AK,4,0))</f>
        <v>401.5</v>
      </c>
      <c r="P107" s="33">
        <f>IF(OR(($A107=Settings!$A$31),($A107=Settings!$A$32),ISERROR(VLOOKUP($B107,SportslineData!$AD:$AK,6,0))),"",ROUND(VLOOKUP($B107,SportslineData!$AD:$AK,6,0),0))</f>
        <v>2</v>
      </c>
      <c r="Q107" s="64">
        <f>IF(OR(($A107=Settings!$A$31),($A107=Settings!$A$32),ISERROR(VLOOKUP($B107,SportslineData!$AD:$AK,7,0))),"",ROUND(VLOOKUP($B107,SportslineData!$AD:$AK,7,0),0))</f>
        <v>0</v>
      </c>
      <c r="R107" s="117"/>
      <c r="S107" s="33"/>
      <c r="T107" s="38">
        <f>IF(ISERROR(ROUND((((((ROUNDDOWN((D107/5),0)*Settings!$F$7)+(E107*Settings!$I$7))+(F107*Settings!$I$11))+(ROUNDDOWN((G107/5),0)*Settings!$F$11))+(H107*Settings!$F$12)),1)),0,ROUND((((((ROUNDDOWN((D107/5),0)*Settings!$F$7)+(E107*Settings!$I$7))+(F107*Settings!$I$11))+(ROUNDDOWN((G107/5),0)*Settings!$F$11))+(H107*Settings!$F$12)),1))</f>
        <v>42.5</v>
      </c>
      <c r="U107" s="38">
        <f>IF(ISERROR(ROUND((((((ROUNDDOWN((I107/5),0)*Settings!$F$7)+(J107*Settings!$I$7))+(K107*Settings!$I$11))+(ROUNDDOWN((L107/5),0)*Settings!$F$11))+(M107*Settings!$F$12)),1)),0,ROUND((((((ROUNDDOWN((I107/5),0)*Settings!$F$7)+(J107*Settings!$I$7))+(K107*Settings!$I$11))+(ROUNDDOWN((L107/5),0)*Settings!$F$11))+(M107*Settings!$F$12)),1))</f>
        <v>0</v>
      </c>
      <c r="V107" s="38">
        <f>IF((N107=""),0,((((N107*Settings!$I$11)+(ROUND((O107/5),0)*Settings!$F$11))+(P107*Settings!$F$12))+(Q107*Settings!$F$15)))</f>
        <v>67</v>
      </c>
      <c r="W107" s="66">
        <f>ROUND((((T107*Settings!$B$21)+(U107*Settings!$B$22))+(V107*Settings!$B$23)),1)</f>
        <v>36.799999999999997</v>
      </c>
      <c r="X107" s="66">
        <f>IF(ISERROR(VLOOKUP(RANK(W107,W$4:W$182),X$4:X106,1,0)),RANK(W107,W$4:W$182),IF(ISERROR(VLOOKUP((RANK(W107,W$4:W$182)+1),X$4:X106,1,0)),(RANK(W107,W$4:W$182)+1),IF(ISERROR(VLOOKUP((RANK(W107,W$4:W$182)+2),X$4:X106,1,0)),(RANK(W107,W$4:W$182)+2),(RANK(W107,W$4:W$182)+3))))</f>
        <v>106</v>
      </c>
      <c r="Y107" t="str">
        <f t="shared" si="11"/>
        <v>Jacoby Jones</v>
      </c>
    </row>
    <row r="108" spans="1:25" ht="12.75" customHeight="1">
      <c r="A108" s="33" t="str">
        <f>ESPNData!AH111</f>
        <v>Josh Boyce, NE WR</v>
      </c>
      <c r="B108" s="33" t="str">
        <f t="shared" si="9"/>
        <v>Josh Boyce</v>
      </c>
      <c r="C108" s="64" t="str">
        <f t="shared" si="10"/>
        <v>NE</v>
      </c>
      <c r="D108" s="117" t="str">
        <f>IF(OR(($A108=Settings!$A$31),($A108=Settings!$A$32),ISERROR(VLOOKUP($B108,FFTodayData!$AB:$AK,8,0))),"",VLOOKUP($B108,FFTodayData!$AB:$AK,8,0))</f>
        <v/>
      </c>
      <c r="E108" s="33" t="str">
        <f>IF(OR(($A108=Settings!$A$31),($A108=Settings!$A$32),ISERROR(VLOOKUP($B108,FFTodayData!$AB:$AK,9,0))),"",VLOOKUP($B108,FFTodayData!$AB:$AK,9,0))</f>
        <v/>
      </c>
      <c r="F108" s="33" t="str">
        <f>IF(OR(($A108=Settings!$A$31),($A108=Settings!$A$32),ISERROR(VLOOKUP($B108,FFTodayData!$AB:$AK,4,0))),"",VLOOKUP($B108,FFTodayData!$AB:$AK,4,0))</f>
        <v/>
      </c>
      <c r="G108" s="33" t="str">
        <f>IF(OR(($A108=Settings!$A$31),($A108=Settings!$A$32),ISERROR(VLOOKUP($B108,FFTodayData!$AB:$AK,5,0))),"",VLOOKUP($B108,FFTodayData!$AB:$AK,5,0))</f>
        <v/>
      </c>
      <c r="H108" s="64" t="str">
        <f>IF(OR(($A108=Settings!$A$31),($A108=Settings!$A$32),ISERROR(VLOOKUP($B108,FFTodayData!$AB:$AK,6,0))),"",VLOOKUP($B108,FFTodayData!$AB:$AK,6,0))</f>
        <v/>
      </c>
      <c r="I108" s="117">
        <f>IF(ISERROR(VLOOKUP($A108,ESPNData!$AH:$AU,9,0)),"",VLOOKUP($A108,ESPNData!$AH:$AU,9,0))</f>
        <v>0</v>
      </c>
      <c r="J108" s="33">
        <f>IF(ISERROR(VLOOKUP($A108,ESPNData!$AH:$AU,10,0)),"",VLOOKUP($A108,ESPNData!$AH:$AU,10,0))</f>
        <v>0</v>
      </c>
      <c r="K108" s="33">
        <f>IF(ISERROR(VLOOKUP($A108,ESPNData!$AH:$AU,11,0)),"",VLOOKUP($A108,ESPNData!$AH:$AU,11,0))</f>
        <v>0</v>
      </c>
      <c r="L108" s="33">
        <f>IF(ISERROR(VLOOKUP($A108,ESPNData!$AH:$AU,12,0)),"",VLOOKUP($A108,ESPNData!$AH:$AU,12,0))</f>
        <v>0</v>
      </c>
      <c r="M108" s="64">
        <f>IF(ISERROR(VLOOKUP($A108,ESPNData!$AH:$AU,13,0)),"",VLOOKUP($A108,ESPNData!$AH:$AU,13,0))</f>
        <v>0</v>
      </c>
      <c r="N108" s="117">
        <f>IF(OR(($A108=Settings!$A$31),($A108=Settings!$A$32),ISERROR(VLOOKUP($B108,SportslineData!$AD:$AK,3,0))),"",ROUND(VLOOKUP($B108,SportslineData!$AD:$AK,3,0),0))</f>
        <v>8</v>
      </c>
      <c r="O108" s="33">
        <f>IF(OR(($A108=Settings!$A$31),($A108=Settings!$A$32),ISERROR(VLOOKUP($B108,SportslineData!$AD:$AK,4,0))),"",VLOOKUP($B108,SportslineData!$AD:$AK,4,0))</f>
        <v>88.5</v>
      </c>
      <c r="P108" s="33">
        <f>IF(OR(($A108=Settings!$A$31),($A108=Settings!$A$32),ISERROR(VLOOKUP($B108,SportslineData!$AD:$AK,6,0))),"",ROUND(VLOOKUP($B108,SportslineData!$AD:$AK,6,0),0))</f>
        <v>1</v>
      </c>
      <c r="Q108" s="64">
        <f>IF(OR(($A108=Settings!$A$31),($A108=Settings!$A$32),ISERROR(VLOOKUP($B108,SportslineData!$AD:$AK,7,0))),"",ROUND(VLOOKUP($B108,SportslineData!$AD:$AK,7,0),0))</f>
        <v>0</v>
      </c>
      <c r="R108" s="117"/>
      <c r="S108" s="33"/>
      <c r="T108" s="38">
        <f>IF(ISERROR(ROUND((((((ROUNDDOWN((D108/5),0)*Settings!$F$7)+(E108*Settings!$I$7))+(F108*Settings!$I$11))+(ROUNDDOWN((G108/5),0)*Settings!$F$11))+(H108*Settings!$F$12)),1)),0,ROUND((((((ROUNDDOWN((D108/5),0)*Settings!$F$7)+(E108*Settings!$I$7))+(F108*Settings!$I$11))+(ROUNDDOWN((G108/5),0)*Settings!$F$11))+(H108*Settings!$F$12)),1))</f>
        <v>0</v>
      </c>
      <c r="U108" s="38">
        <f>IF(ISERROR(ROUND((((((ROUNDDOWN((I108/5),0)*Settings!$F$7)+(J108*Settings!$I$7))+(K108*Settings!$I$11))+(ROUNDDOWN((L108/5),0)*Settings!$F$11))+(M108*Settings!$F$12)),1)),0,ROUND((((((ROUNDDOWN((I108/5),0)*Settings!$F$7)+(J108*Settings!$I$7))+(K108*Settings!$I$11))+(ROUNDDOWN((L108/5),0)*Settings!$F$11))+(M108*Settings!$F$12)),1))</f>
        <v>0</v>
      </c>
      <c r="V108" s="38">
        <f>IF((N108=""),0,((((N108*Settings!$I$11)+(ROUND((O108/5),0)*Settings!$F$11))+(P108*Settings!$F$12))+(Q108*Settings!$F$15)))</f>
        <v>19</v>
      </c>
      <c r="W108" s="66">
        <f>ROUND((((T108*Settings!$B$21)+(U108*Settings!$B$22))+(V108*Settings!$B$23)),1)</f>
        <v>6.5</v>
      </c>
      <c r="X108" s="66">
        <f>IF(ISERROR(VLOOKUP(RANK(W108,W$4:W$182),X$4:X107,1,0)),RANK(W108,W$4:W$182),IF(ISERROR(VLOOKUP((RANK(W108,W$4:W$182)+1),X$4:X107,1,0)),(RANK(W108,W$4:W$182)+1),IF(ISERROR(VLOOKUP((RANK(W108,W$4:W$182)+2),X$4:X107,1,0)),(RANK(W108,W$4:W$182)+2),(RANK(W108,W$4:W$182)+3))))</f>
        <v>151</v>
      </c>
      <c r="Y108" t="str">
        <f t="shared" si="11"/>
        <v>Josh Boyce</v>
      </c>
    </row>
    <row r="109" spans="1:25" ht="12.75" customHeight="1">
      <c r="A109" s="33" t="str">
        <f>ESPNData!AH112</f>
        <v>David Nelson, NYJ WR</v>
      </c>
      <c r="B109" s="33" t="str">
        <f t="shared" si="9"/>
        <v>David Nelson</v>
      </c>
      <c r="C109" s="64" t="str">
        <f t="shared" si="10"/>
        <v>NYJ</v>
      </c>
      <c r="D109" s="117">
        <f>IF(OR(($A109=Settings!$A$31),($A109=Settings!$A$32),ISERROR(VLOOKUP($B109,FFTodayData!$AB:$AK,8,0))),"",VLOOKUP($B109,FFTodayData!$AB:$AK,8,0))</f>
        <v>0</v>
      </c>
      <c r="E109" s="33">
        <f>IF(OR(($A109=Settings!$A$31),($A109=Settings!$A$32),ISERROR(VLOOKUP($B109,FFTodayData!$AB:$AK,9,0))),"",VLOOKUP($B109,FFTodayData!$AB:$AK,9,0))</f>
        <v>0</v>
      </c>
      <c r="F109" s="33">
        <f>IF(OR(($A109=Settings!$A$31),($A109=Settings!$A$32),ISERROR(VLOOKUP($B109,FFTodayData!$AB:$AK,4,0))),"",VLOOKUP($B109,FFTodayData!$AB:$AK,4,0))</f>
        <v>41</v>
      </c>
      <c r="G109" s="33">
        <f>IF(OR(($A109=Settings!$A$31),($A109=Settings!$A$32),ISERROR(VLOOKUP($B109,FFTodayData!$AB:$AK,5,0))),"",VLOOKUP($B109,FFTodayData!$AB:$AK,5,0))</f>
        <v>544</v>
      </c>
      <c r="H109" s="64">
        <f>IF(OR(($A109=Settings!$A$31),($A109=Settings!$A$32),ISERROR(VLOOKUP($B109,FFTodayData!$AB:$AK,6,0))),"",VLOOKUP($B109,FFTodayData!$AB:$AK,6,0))</f>
        <v>3</v>
      </c>
      <c r="I109" s="117">
        <f>IF(ISERROR(VLOOKUP($A109,ESPNData!$AH:$AU,9,0)),"",VLOOKUP($A109,ESPNData!$AH:$AU,9,0))</f>
        <v>0</v>
      </c>
      <c r="J109" s="33">
        <f>IF(ISERROR(VLOOKUP($A109,ESPNData!$AH:$AU,10,0)),"",VLOOKUP($A109,ESPNData!$AH:$AU,10,0))</f>
        <v>0</v>
      </c>
      <c r="K109" s="33">
        <f>IF(ISERROR(VLOOKUP($A109,ESPNData!$AH:$AU,11,0)),"",VLOOKUP($A109,ESPNData!$AH:$AU,11,0))</f>
        <v>0</v>
      </c>
      <c r="L109" s="33">
        <f>IF(ISERROR(VLOOKUP($A109,ESPNData!$AH:$AU,12,0)),"",VLOOKUP($A109,ESPNData!$AH:$AU,12,0))</f>
        <v>0</v>
      </c>
      <c r="M109" s="64">
        <f>IF(ISERROR(VLOOKUP($A109,ESPNData!$AH:$AU,13,0)),"",VLOOKUP($A109,ESPNData!$AH:$AU,13,0))</f>
        <v>0</v>
      </c>
      <c r="N109" s="117">
        <f>IF(OR(($A109=Settings!$A$31),($A109=Settings!$A$32),ISERROR(VLOOKUP($B109,SportslineData!$AD:$AK,3,0))),"",ROUND(VLOOKUP($B109,SportslineData!$AD:$AK,3,0),0))</f>
        <v>24</v>
      </c>
      <c r="O109" s="33">
        <f>IF(OR(($A109=Settings!$A$31),($A109=Settings!$A$32),ISERROR(VLOOKUP($B109,SportslineData!$AD:$AK,4,0))),"",VLOOKUP($B109,SportslineData!$AD:$AK,4,0))</f>
        <v>275.5</v>
      </c>
      <c r="P109" s="33">
        <f>IF(OR(($A109=Settings!$A$31),($A109=Settings!$A$32),ISERROR(VLOOKUP($B109,SportslineData!$AD:$AK,6,0))),"",ROUND(VLOOKUP($B109,SportslineData!$AD:$AK,6,0),0))</f>
        <v>1</v>
      </c>
      <c r="Q109" s="64">
        <f>IF(OR(($A109=Settings!$A$31),($A109=Settings!$A$32),ISERROR(VLOOKUP($B109,SportslineData!$AD:$AK,7,0))),"",ROUND(VLOOKUP($B109,SportslineData!$AD:$AK,7,0),0))</f>
        <v>0</v>
      </c>
      <c r="R109" s="117"/>
      <c r="S109" s="33"/>
      <c r="T109" s="38">
        <f>IF(ISERROR(ROUND((((((ROUNDDOWN((D109/5),0)*Settings!$F$7)+(E109*Settings!$I$7))+(F109*Settings!$I$11))+(ROUNDDOWN((G109/5),0)*Settings!$F$11))+(H109*Settings!$F$12)),1)),0,ROUND((((((ROUNDDOWN((D109/5),0)*Settings!$F$7)+(E109*Settings!$I$7))+(F109*Settings!$I$11))+(ROUNDDOWN((G109/5),0)*Settings!$F$11))+(H109*Settings!$F$12)),1))</f>
        <v>92.5</v>
      </c>
      <c r="U109" s="38">
        <f>IF(ISERROR(ROUND((((((ROUNDDOWN((I109/5),0)*Settings!$F$7)+(J109*Settings!$I$7))+(K109*Settings!$I$11))+(ROUNDDOWN((L109/5),0)*Settings!$F$11))+(M109*Settings!$F$12)),1)),0,ROUND((((((ROUNDDOWN((I109/5),0)*Settings!$F$7)+(J109*Settings!$I$7))+(K109*Settings!$I$11))+(ROUNDDOWN((L109/5),0)*Settings!$F$11))+(M109*Settings!$F$12)),1))</f>
        <v>0</v>
      </c>
      <c r="V109" s="38">
        <f>IF((N109=""),0,((((N109*Settings!$I$11)+(ROUND((O109/5),0)*Settings!$F$11))+(P109*Settings!$F$12))+(Q109*Settings!$F$15)))</f>
        <v>45.5</v>
      </c>
      <c r="W109" s="66">
        <f>ROUND((((T109*Settings!$B$21)+(U109*Settings!$B$22))+(V109*Settings!$B$23)),1)</f>
        <v>46</v>
      </c>
      <c r="X109" s="66">
        <f>IF(ISERROR(VLOOKUP(RANK(W109,W$4:W$182),X$4:X108,1,0)),RANK(W109,W$4:W$182),IF(ISERROR(VLOOKUP((RANK(W109,W$4:W$182)+1),X$4:X108,1,0)),(RANK(W109,W$4:W$182)+1),IF(ISERROR(VLOOKUP((RANK(W109,W$4:W$182)+2),X$4:X108,1,0)),(RANK(W109,W$4:W$182)+2),(RANK(W109,W$4:W$182)+3))))</f>
        <v>100</v>
      </c>
      <c r="Y109" t="str">
        <f t="shared" si="11"/>
        <v>David Nelson</v>
      </c>
    </row>
    <row r="110" spans="1:25" ht="12.75" customHeight="1">
      <c r="A110" s="33" t="str">
        <f>ESPNData!AH113</f>
        <v>Kris Durham, Det WR</v>
      </c>
      <c r="B110" s="33" t="str">
        <f t="shared" si="9"/>
        <v>Kris Durham</v>
      </c>
      <c r="C110" s="64" t="str">
        <f t="shared" si="10"/>
        <v>DET</v>
      </c>
      <c r="D110" s="117" t="str">
        <f>IF(OR(($A110=Settings!$A$31),($A110=Settings!$A$32),ISERROR(VLOOKUP($B110,FFTodayData!$AB:$AK,8,0))),"",VLOOKUP($B110,FFTodayData!$AB:$AK,8,0))</f>
        <v/>
      </c>
      <c r="E110" s="33" t="str">
        <f>IF(OR(($A110=Settings!$A$31),($A110=Settings!$A$32),ISERROR(VLOOKUP($B110,FFTodayData!$AB:$AK,9,0))),"",VLOOKUP($B110,FFTodayData!$AB:$AK,9,0))</f>
        <v/>
      </c>
      <c r="F110" s="33" t="str">
        <f>IF(OR(($A110=Settings!$A$31),($A110=Settings!$A$32),ISERROR(VLOOKUP($B110,FFTodayData!$AB:$AK,4,0))),"",VLOOKUP($B110,FFTodayData!$AB:$AK,4,0))</f>
        <v/>
      </c>
      <c r="G110" s="33" t="str">
        <f>IF(OR(($A110=Settings!$A$31),($A110=Settings!$A$32),ISERROR(VLOOKUP($B110,FFTodayData!$AB:$AK,5,0))),"",VLOOKUP($B110,FFTodayData!$AB:$AK,5,0))</f>
        <v/>
      </c>
      <c r="H110" s="64" t="str">
        <f>IF(OR(($A110=Settings!$A$31),($A110=Settings!$A$32),ISERROR(VLOOKUP($B110,FFTodayData!$AB:$AK,6,0))),"",VLOOKUP($B110,FFTodayData!$AB:$AK,6,0))</f>
        <v/>
      </c>
      <c r="I110" s="117">
        <f>IF(ISERROR(VLOOKUP($A110,ESPNData!$AH:$AU,9,0)),"",VLOOKUP($A110,ESPNData!$AH:$AU,9,0))</f>
        <v>0</v>
      </c>
      <c r="J110" s="33">
        <f>IF(ISERROR(VLOOKUP($A110,ESPNData!$AH:$AU,10,0)),"",VLOOKUP($A110,ESPNData!$AH:$AU,10,0))</f>
        <v>0</v>
      </c>
      <c r="K110" s="33">
        <f>IF(ISERROR(VLOOKUP($A110,ESPNData!$AH:$AU,11,0)),"",VLOOKUP($A110,ESPNData!$AH:$AU,11,0))</f>
        <v>0</v>
      </c>
      <c r="L110" s="33">
        <f>IF(ISERROR(VLOOKUP($A110,ESPNData!$AH:$AU,12,0)),"",VLOOKUP($A110,ESPNData!$AH:$AU,12,0))</f>
        <v>0</v>
      </c>
      <c r="M110" s="64">
        <f>IF(ISERROR(VLOOKUP($A110,ESPNData!$AH:$AU,13,0)),"",VLOOKUP($A110,ESPNData!$AH:$AU,13,0))</f>
        <v>0</v>
      </c>
      <c r="N110" s="117">
        <f>IF(OR(($A110=Settings!$A$31),($A110=Settings!$A$32),ISERROR(VLOOKUP($B110,SportslineData!$AD:$AK,3,0))),"",ROUND(VLOOKUP($B110,SportslineData!$AD:$AK,3,0),0))</f>
        <v>26</v>
      </c>
      <c r="O110" s="33">
        <f>IF(OR(($A110=Settings!$A$31),($A110=Settings!$A$32),ISERROR(VLOOKUP($B110,SportslineData!$AD:$AK,4,0))),"",VLOOKUP($B110,SportslineData!$AD:$AK,4,0))</f>
        <v>323.5</v>
      </c>
      <c r="P110" s="33">
        <f>IF(OR(($A110=Settings!$A$31),($A110=Settings!$A$32),ISERROR(VLOOKUP($B110,SportslineData!$AD:$AK,6,0))),"",ROUND(VLOOKUP($B110,SportslineData!$AD:$AK,6,0),0))</f>
        <v>2</v>
      </c>
      <c r="Q110" s="64">
        <f>IF(OR(($A110=Settings!$A$31),($A110=Settings!$A$32),ISERROR(VLOOKUP($B110,SportslineData!$AD:$AK,7,0))),"",ROUND(VLOOKUP($B110,SportslineData!$AD:$AK,7,0),0))</f>
        <v>0</v>
      </c>
      <c r="R110" s="117"/>
      <c r="S110" s="33"/>
      <c r="T110" s="38">
        <f>IF(ISERROR(ROUND((((((ROUNDDOWN((D110/5),0)*Settings!$F$7)+(E110*Settings!$I$7))+(F110*Settings!$I$11))+(ROUNDDOWN((G110/5),0)*Settings!$F$11))+(H110*Settings!$F$12)),1)),0,ROUND((((((ROUNDDOWN((D110/5),0)*Settings!$F$7)+(E110*Settings!$I$7))+(F110*Settings!$I$11))+(ROUNDDOWN((G110/5),0)*Settings!$F$11))+(H110*Settings!$F$12)),1))</f>
        <v>0</v>
      </c>
      <c r="U110" s="38">
        <f>IF(ISERROR(ROUND((((((ROUNDDOWN((I110/5),0)*Settings!$F$7)+(J110*Settings!$I$7))+(K110*Settings!$I$11))+(ROUNDDOWN((L110/5),0)*Settings!$F$11))+(M110*Settings!$F$12)),1)),0,ROUND((((((ROUNDDOWN((I110/5),0)*Settings!$F$7)+(J110*Settings!$I$7))+(K110*Settings!$I$11))+(ROUNDDOWN((L110/5),0)*Settings!$F$11))+(M110*Settings!$F$12)),1))</f>
        <v>0</v>
      </c>
      <c r="V110" s="38">
        <f>IF((N110=""),0,((((N110*Settings!$I$11)+(ROUND((O110/5),0)*Settings!$F$11))+(P110*Settings!$F$12))+(Q110*Settings!$F$15)))</f>
        <v>57.5</v>
      </c>
      <c r="W110" s="66">
        <f>ROUND((((T110*Settings!$B$21)+(U110*Settings!$B$22))+(V110*Settings!$B$23)),1)</f>
        <v>19.600000000000001</v>
      </c>
      <c r="X110" s="66">
        <f>IF(ISERROR(VLOOKUP(RANK(W110,W$4:W$182),X$4:X109,1,0)),RANK(W110,W$4:W$182),IF(ISERROR(VLOOKUP((RANK(W110,W$4:W$182)+1),X$4:X109,1,0)),(RANK(W110,W$4:W$182)+1),IF(ISERROR(VLOOKUP((RANK(W110,W$4:W$182)+2),X$4:X109,1,0)),(RANK(W110,W$4:W$182)+2),(RANK(W110,W$4:W$182)+3))))</f>
        <v>128</v>
      </c>
      <c r="Y110" t="str">
        <f t="shared" si="11"/>
        <v>Kris Durham</v>
      </c>
    </row>
    <row r="111" spans="1:25" ht="12.75" customHeight="1">
      <c r="A111" s="33" t="str">
        <f>ESPNData!AH114</f>
        <v>Ryan Broyles, Det WR</v>
      </c>
      <c r="B111" s="33" t="str">
        <f t="shared" si="9"/>
        <v>Ryan Broyles</v>
      </c>
      <c r="C111" s="64" t="str">
        <f t="shared" si="10"/>
        <v>DET</v>
      </c>
      <c r="D111" s="117">
        <f>IF(OR(($A111=Settings!$A$31),($A111=Settings!$A$32),ISERROR(VLOOKUP($B111,FFTodayData!$AB:$AK,8,0))),"",VLOOKUP($B111,FFTodayData!$AB:$AK,8,0))</f>
        <v>0</v>
      </c>
      <c r="E111" s="33">
        <f>IF(OR(($A111=Settings!$A$31),($A111=Settings!$A$32),ISERROR(VLOOKUP($B111,FFTodayData!$AB:$AK,9,0))),"",VLOOKUP($B111,FFTodayData!$AB:$AK,9,0))</f>
        <v>0</v>
      </c>
      <c r="F111" s="33">
        <f>IF(OR(($A111=Settings!$A$31),($A111=Settings!$A$32),ISERROR(VLOOKUP($B111,FFTodayData!$AB:$AK,4,0))),"",VLOOKUP($B111,FFTodayData!$AB:$AK,4,0))</f>
        <v>15</v>
      </c>
      <c r="G111" s="33">
        <f>IF(OR(($A111=Settings!$A$31),($A111=Settings!$A$32),ISERROR(VLOOKUP($B111,FFTodayData!$AB:$AK,5,0))),"",VLOOKUP($B111,FFTodayData!$AB:$AK,5,0))</f>
        <v>226</v>
      </c>
      <c r="H111" s="64">
        <f>IF(OR(($A111=Settings!$A$31),($A111=Settings!$A$32),ISERROR(VLOOKUP($B111,FFTodayData!$AB:$AK,6,0))),"",VLOOKUP($B111,FFTodayData!$AB:$AK,6,0))</f>
        <v>1</v>
      </c>
      <c r="I111" s="117">
        <f>IF(ISERROR(VLOOKUP($A111,ESPNData!$AH:$AU,9,0)),"",VLOOKUP($A111,ESPNData!$AH:$AU,9,0))</f>
        <v>0</v>
      </c>
      <c r="J111" s="33">
        <f>IF(ISERROR(VLOOKUP($A111,ESPNData!$AH:$AU,10,0)),"",VLOOKUP($A111,ESPNData!$AH:$AU,10,0))</f>
        <v>0</v>
      </c>
      <c r="K111" s="33">
        <f>IF(ISERROR(VLOOKUP($A111,ESPNData!$AH:$AU,11,0)),"",VLOOKUP($A111,ESPNData!$AH:$AU,11,0))</f>
        <v>0</v>
      </c>
      <c r="L111" s="33">
        <f>IF(ISERROR(VLOOKUP($A111,ESPNData!$AH:$AU,12,0)),"",VLOOKUP($A111,ESPNData!$AH:$AU,12,0))</f>
        <v>0</v>
      </c>
      <c r="M111" s="64">
        <f>IF(ISERROR(VLOOKUP($A111,ESPNData!$AH:$AU,13,0)),"",VLOOKUP($A111,ESPNData!$AH:$AU,13,0))</f>
        <v>0</v>
      </c>
      <c r="N111" s="117">
        <f>IF(OR(($A111=Settings!$A$31),($A111=Settings!$A$32),ISERROR(VLOOKUP($B111,SportslineData!$AD:$AK,3,0))),"",ROUND(VLOOKUP($B111,SportslineData!$AD:$AK,3,0),0))</f>
        <v>28</v>
      </c>
      <c r="O111" s="33">
        <f>IF(OR(($A111=Settings!$A$31),($A111=Settings!$A$32),ISERROR(VLOOKUP($B111,SportslineData!$AD:$AK,4,0))),"",VLOOKUP($B111,SportslineData!$AD:$AK,4,0))</f>
        <v>347.5</v>
      </c>
      <c r="P111" s="33">
        <f>IF(OR(($A111=Settings!$A$31),($A111=Settings!$A$32),ISERROR(VLOOKUP($B111,SportslineData!$AD:$AK,6,0))),"",ROUND(VLOOKUP($B111,SportslineData!$AD:$AK,6,0),0))</f>
        <v>2</v>
      </c>
      <c r="Q111" s="64">
        <f>IF(OR(($A111=Settings!$A$31),($A111=Settings!$A$32),ISERROR(VLOOKUP($B111,SportslineData!$AD:$AK,7,0))),"",ROUND(VLOOKUP($B111,SportslineData!$AD:$AK,7,0),0))</f>
        <v>0</v>
      </c>
      <c r="R111" s="117"/>
      <c r="S111" s="33"/>
      <c r="T111" s="38">
        <f>IF(ISERROR(ROUND((((((ROUNDDOWN((D111/5),0)*Settings!$F$7)+(E111*Settings!$I$7))+(F111*Settings!$I$11))+(ROUNDDOWN((G111/5),0)*Settings!$F$11))+(H111*Settings!$F$12)),1)),0,ROUND((((((ROUNDDOWN((D111/5),0)*Settings!$F$7)+(E111*Settings!$I$7))+(F111*Settings!$I$11))+(ROUNDDOWN((G111/5),0)*Settings!$F$11))+(H111*Settings!$F$12)),1))</f>
        <v>36</v>
      </c>
      <c r="U111" s="38">
        <f>IF(ISERROR(ROUND((((((ROUNDDOWN((I111/5),0)*Settings!$F$7)+(J111*Settings!$I$7))+(K111*Settings!$I$11))+(ROUNDDOWN((L111/5),0)*Settings!$F$11))+(M111*Settings!$F$12)),1)),0,ROUND((((((ROUNDDOWN((I111/5),0)*Settings!$F$7)+(J111*Settings!$I$7))+(K111*Settings!$I$11))+(ROUNDDOWN((L111/5),0)*Settings!$F$11))+(M111*Settings!$F$12)),1))</f>
        <v>0</v>
      </c>
      <c r="V111" s="38">
        <f>IF((N111=""),0,((((N111*Settings!$I$11)+(ROUND((O111/5),0)*Settings!$F$11))+(P111*Settings!$F$12))+(Q111*Settings!$F$15)))</f>
        <v>61</v>
      </c>
      <c r="W111" s="66">
        <f>ROUND((((T111*Settings!$B$21)+(U111*Settings!$B$22))+(V111*Settings!$B$23)),1)</f>
        <v>32.6</v>
      </c>
      <c r="X111" s="66">
        <f>IF(ISERROR(VLOOKUP(RANK(W111,W$4:W$182),X$4:X110,1,0)),RANK(W111,W$4:W$182),IF(ISERROR(VLOOKUP((RANK(W111,W$4:W$182)+1),X$4:X110,1,0)),(RANK(W111,W$4:W$182)+1),IF(ISERROR(VLOOKUP((RANK(W111,W$4:W$182)+2),X$4:X110,1,0)),(RANK(W111,W$4:W$182)+2),(RANK(W111,W$4:W$182)+3))))</f>
        <v>110</v>
      </c>
      <c r="Y111" t="str">
        <f t="shared" si="11"/>
        <v>Ryan Broyles</v>
      </c>
    </row>
    <row r="112" spans="1:25" ht="12.75" customHeight="1">
      <c r="A112" s="33" t="str">
        <f>ESPNData!AH115</f>
        <v>A.J. Jenkins, KC WR</v>
      </c>
      <c r="B112" s="33" t="str">
        <f t="shared" si="9"/>
        <v>A.J. Jenkins</v>
      </c>
      <c r="C112" s="64" t="str">
        <f t="shared" si="10"/>
        <v>KC</v>
      </c>
      <c r="D112" s="117">
        <f>IF(OR(($A112=Settings!$A$31),($A112=Settings!$A$32),ISERROR(VLOOKUP($B112,FFTodayData!$AB:$AK,8,0))),"",VLOOKUP($B112,FFTodayData!$AB:$AK,8,0))</f>
        <v>0</v>
      </c>
      <c r="E112" s="33">
        <f>IF(OR(($A112=Settings!$A$31),($A112=Settings!$A$32),ISERROR(VLOOKUP($B112,FFTodayData!$AB:$AK,9,0))),"",VLOOKUP($B112,FFTodayData!$AB:$AK,9,0))</f>
        <v>0</v>
      </c>
      <c r="F112" s="33">
        <f>IF(OR(($A112=Settings!$A$31),($A112=Settings!$A$32),ISERROR(VLOOKUP($B112,FFTodayData!$AB:$AK,4,0))),"",VLOOKUP($B112,FFTodayData!$AB:$AK,4,0))</f>
        <v>7</v>
      </c>
      <c r="G112" s="33">
        <f>IF(OR(($A112=Settings!$A$31),($A112=Settings!$A$32),ISERROR(VLOOKUP($B112,FFTodayData!$AB:$AK,5,0))),"",VLOOKUP($B112,FFTodayData!$AB:$AK,5,0))</f>
        <v>96</v>
      </c>
      <c r="H112" s="64">
        <f>IF(OR(($A112=Settings!$A$31),($A112=Settings!$A$32),ISERROR(VLOOKUP($B112,FFTodayData!$AB:$AK,6,0))),"",VLOOKUP($B112,FFTodayData!$AB:$AK,6,0))</f>
        <v>0</v>
      </c>
      <c r="I112" s="117">
        <f>IF(ISERROR(VLOOKUP($A112,ESPNData!$AH:$AU,9,0)),"",VLOOKUP($A112,ESPNData!$AH:$AU,9,0))</f>
        <v>6</v>
      </c>
      <c r="J112" s="33">
        <f>IF(ISERROR(VLOOKUP($A112,ESPNData!$AH:$AU,10,0)),"",VLOOKUP($A112,ESPNData!$AH:$AU,10,0))</f>
        <v>0</v>
      </c>
      <c r="K112" s="33">
        <f>IF(ISERROR(VLOOKUP($A112,ESPNData!$AH:$AU,11,0)),"",VLOOKUP($A112,ESPNData!$AH:$AU,11,0))</f>
        <v>24</v>
      </c>
      <c r="L112" s="33">
        <f>IF(ISERROR(VLOOKUP($A112,ESPNData!$AH:$AU,12,0)),"",VLOOKUP($A112,ESPNData!$AH:$AU,12,0))</f>
        <v>376</v>
      </c>
      <c r="M112" s="64">
        <f>IF(ISERROR(VLOOKUP($A112,ESPNData!$AH:$AU,13,0)),"",VLOOKUP($A112,ESPNData!$AH:$AU,13,0))</f>
        <v>1</v>
      </c>
      <c r="N112" s="117">
        <f>IF(OR(($A112=Settings!$A$31),($A112=Settings!$A$32),ISERROR(VLOOKUP($B112,SportslineData!$AD:$AK,3,0))),"",ROUND(VLOOKUP($B112,SportslineData!$AD:$AK,3,0),0))</f>
        <v>28</v>
      </c>
      <c r="O112" s="33">
        <f>IF(OR(($A112=Settings!$A$31),($A112=Settings!$A$32),ISERROR(VLOOKUP($B112,SportslineData!$AD:$AK,4,0))),"",VLOOKUP($B112,SportslineData!$AD:$AK,4,0))</f>
        <v>363.5</v>
      </c>
      <c r="P112" s="33">
        <f>IF(OR(($A112=Settings!$A$31),($A112=Settings!$A$32),ISERROR(VLOOKUP($B112,SportslineData!$AD:$AK,6,0))),"",ROUND(VLOOKUP($B112,SportslineData!$AD:$AK,6,0),0))</f>
        <v>2</v>
      </c>
      <c r="Q112" s="64">
        <f>IF(OR(($A112=Settings!$A$31),($A112=Settings!$A$32),ISERROR(VLOOKUP($B112,SportslineData!$AD:$AK,7,0))),"",ROUND(VLOOKUP($B112,SportslineData!$AD:$AK,7,0),0))</f>
        <v>0</v>
      </c>
      <c r="R112" s="117"/>
      <c r="S112" s="33"/>
      <c r="T112" s="38">
        <f>IF(ISERROR(ROUND((((((ROUNDDOWN((D112/5),0)*Settings!$F$7)+(E112*Settings!$I$7))+(F112*Settings!$I$11))+(ROUNDDOWN((G112/5),0)*Settings!$F$11))+(H112*Settings!$F$12)),1)),0,ROUND((((((ROUNDDOWN((D112/5),0)*Settings!$F$7)+(E112*Settings!$I$7))+(F112*Settings!$I$11))+(ROUNDDOWN((G112/5),0)*Settings!$F$11))+(H112*Settings!$F$12)),1))</f>
        <v>13</v>
      </c>
      <c r="U112" s="38">
        <f>IF(ISERROR(ROUND((((((ROUNDDOWN((I112/5),0)*Settings!$F$7)+(J112*Settings!$I$7))+(K112*Settings!$I$11))+(ROUNDDOWN((L112/5),0)*Settings!$F$11))+(M112*Settings!$F$12)),1)),0,ROUND((((((ROUNDDOWN((I112/5),0)*Settings!$F$7)+(J112*Settings!$I$7))+(K112*Settings!$I$11))+(ROUNDDOWN((L112/5),0)*Settings!$F$11))+(M112*Settings!$F$12)),1))</f>
        <v>56</v>
      </c>
      <c r="V112" s="38">
        <f>IF((N112=""),0,((((N112*Settings!$I$11)+(ROUND((O112/5),0)*Settings!$F$11))+(P112*Settings!$F$12))+(Q112*Settings!$F$15)))</f>
        <v>62.5</v>
      </c>
      <c r="W112" s="66">
        <f>ROUND((((T112*Settings!$B$21)+(U112*Settings!$B$22))+(V112*Settings!$B$23)),1)</f>
        <v>44</v>
      </c>
      <c r="X112" s="66">
        <f>IF(ISERROR(VLOOKUP(RANK(W112,W$4:W$182),X$4:X111,1,0)),RANK(W112,W$4:W$182),IF(ISERROR(VLOOKUP((RANK(W112,W$4:W$182)+1),X$4:X111,1,0)),(RANK(W112,W$4:W$182)+1),IF(ISERROR(VLOOKUP((RANK(W112,W$4:W$182)+2),X$4:X111,1,0)),(RANK(W112,W$4:W$182)+2),(RANK(W112,W$4:W$182)+3))))</f>
        <v>102</v>
      </c>
      <c r="Y112" t="str">
        <f t="shared" si="11"/>
        <v>A.J. Jenkins</v>
      </c>
    </row>
    <row r="113" spans="1:25" ht="12.75" customHeight="1">
      <c r="A113" s="33" t="str">
        <f>ESPNData!AH116</f>
        <v>Josh Morgan, Chi WR</v>
      </c>
      <c r="B113" s="33" t="str">
        <f t="shared" si="9"/>
        <v>Josh Morgan</v>
      </c>
      <c r="C113" s="64" t="str">
        <f t="shared" si="10"/>
        <v>CHI</v>
      </c>
      <c r="D113" s="117">
        <f>IF(OR(($A113=Settings!$A$31),($A113=Settings!$A$32),ISERROR(VLOOKUP($B113,FFTodayData!$AB:$AK,8,0))),"",VLOOKUP($B113,FFTodayData!$AB:$AK,8,0))</f>
        <v>0</v>
      </c>
      <c r="E113" s="33">
        <f>IF(OR(($A113=Settings!$A$31),($A113=Settings!$A$32),ISERROR(VLOOKUP($B113,FFTodayData!$AB:$AK,9,0))),"",VLOOKUP($B113,FFTodayData!$AB:$AK,9,0))</f>
        <v>0</v>
      </c>
      <c r="F113" s="33">
        <f>IF(OR(($A113=Settings!$A$31),($A113=Settings!$A$32),ISERROR(VLOOKUP($B113,FFTodayData!$AB:$AK,4,0))),"",VLOOKUP($B113,FFTodayData!$AB:$AK,4,0))</f>
        <v>15</v>
      </c>
      <c r="G113" s="33">
        <f>IF(OR(($A113=Settings!$A$31),($A113=Settings!$A$32),ISERROR(VLOOKUP($B113,FFTodayData!$AB:$AK,5,0))),"",VLOOKUP($B113,FFTodayData!$AB:$AK,5,0))</f>
        <v>189</v>
      </c>
      <c r="H113" s="64">
        <f>IF(OR(($A113=Settings!$A$31),($A113=Settings!$A$32),ISERROR(VLOOKUP($B113,FFTodayData!$AB:$AK,6,0))),"",VLOOKUP($B113,FFTodayData!$AB:$AK,6,0))</f>
        <v>0</v>
      </c>
      <c r="I113" s="117">
        <f>IF(ISERROR(VLOOKUP($A113,ESPNData!$AH:$AU,9,0)),"",VLOOKUP($A113,ESPNData!$AH:$AU,9,0))</f>
        <v>0</v>
      </c>
      <c r="J113" s="33">
        <f>IF(ISERROR(VLOOKUP($A113,ESPNData!$AH:$AU,10,0)),"",VLOOKUP($A113,ESPNData!$AH:$AU,10,0))</f>
        <v>0</v>
      </c>
      <c r="K113" s="33">
        <f>IF(ISERROR(VLOOKUP($A113,ESPNData!$AH:$AU,11,0)),"",VLOOKUP($A113,ESPNData!$AH:$AU,11,0))</f>
        <v>0</v>
      </c>
      <c r="L113" s="33">
        <f>IF(ISERROR(VLOOKUP($A113,ESPNData!$AH:$AU,12,0)),"",VLOOKUP($A113,ESPNData!$AH:$AU,12,0))</f>
        <v>0</v>
      </c>
      <c r="M113" s="64">
        <f>IF(ISERROR(VLOOKUP($A113,ESPNData!$AH:$AU,13,0)),"",VLOOKUP($A113,ESPNData!$AH:$AU,13,0))</f>
        <v>0</v>
      </c>
      <c r="N113" s="117">
        <f>IF(OR(($A113=Settings!$A$31),($A113=Settings!$A$32),ISERROR(VLOOKUP($B113,SportslineData!$AD:$AK,3,0))),"",ROUND(VLOOKUP($B113,SportslineData!$AD:$AK,3,0),0))</f>
        <v>17</v>
      </c>
      <c r="O113" s="33">
        <f>IF(OR(($A113=Settings!$A$31),($A113=Settings!$A$32),ISERROR(VLOOKUP($B113,SportslineData!$AD:$AK,4,0))),"",VLOOKUP($B113,SportslineData!$AD:$AK,4,0))</f>
        <v>206.5</v>
      </c>
      <c r="P113" s="33">
        <f>IF(OR(($A113=Settings!$A$31),($A113=Settings!$A$32),ISERROR(VLOOKUP($B113,SportslineData!$AD:$AK,6,0))),"",ROUND(VLOOKUP($B113,SportslineData!$AD:$AK,6,0),0))</f>
        <v>1</v>
      </c>
      <c r="Q113" s="64">
        <f>IF(OR(($A113=Settings!$A$31),($A113=Settings!$A$32),ISERROR(VLOOKUP($B113,SportslineData!$AD:$AK,7,0))),"",ROUND(VLOOKUP($B113,SportslineData!$AD:$AK,7,0),0))</f>
        <v>0</v>
      </c>
      <c r="R113" s="117"/>
      <c r="S113" s="33"/>
      <c r="T113" s="38">
        <f>IF(ISERROR(ROUND((((((ROUNDDOWN((D113/5),0)*Settings!$F$7)+(E113*Settings!$I$7))+(F113*Settings!$I$11))+(ROUNDDOWN((G113/5),0)*Settings!$F$11))+(H113*Settings!$F$12)),1)),0,ROUND((((((ROUNDDOWN((D113/5),0)*Settings!$F$7)+(E113*Settings!$I$7))+(F113*Settings!$I$11))+(ROUNDDOWN((G113/5),0)*Settings!$F$11))+(H113*Settings!$F$12)),1))</f>
        <v>26</v>
      </c>
      <c r="U113" s="38">
        <f>IF(ISERROR(ROUND((((((ROUNDDOWN((I113/5),0)*Settings!$F$7)+(J113*Settings!$I$7))+(K113*Settings!$I$11))+(ROUNDDOWN((L113/5),0)*Settings!$F$11))+(M113*Settings!$F$12)),1)),0,ROUND((((((ROUNDDOWN((I113/5),0)*Settings!$F$7)+(J113*Settings!$I$7))+(K113*Settings!$I$11))+(ROUNDDOWN((L113/5),0)*Settings!$F$11))+(M113*Settings!$F$12)),1))</f>
        <v>0</v>
      </c>
      <c r="V113" s="38">
        <f>IF((N113=""),0,((((N113*Settings!$I$11)+(ROUND((O113/5),0)*Settings!$F$11))+(P113*Settings!$F$12))+(Q113*Settings!$F$15)))</f>
        <v>35</v>
      </c>
      <c r="W113" s="66">
        <f>ROUND((((T113*Settings!$B$21)+(U113*Settings!$B$22))+(V113*Settings!$B$23)),1)</f>
        <v>20.5</v>
      </c>
      <c r="X113" s="66">
        <f>IF(ISERROR(VLOOKUP(RANK(W113,W$4:W$182),X$4:X112,1,0)),RANK(W113,W$4:W$182),IF(ISERROR(VLOOKUP((RANK(W113,W$4:W$182)+1),X$4:X112,1,0)),(RANK(W113,W$4:W$182)+1),IF(ISERROR(VLOOKUP((RANK(W113,W$4:W$182)+2),X$4:X112,1,0)),(RANK(W113,W$4:W$182)+2),(RANK(W113,W$4:W$182)+3))))</f>
        <v>126</v>
      </c>
      <c r="Y113" t="str">
        <f t="shared" si="11"/>
        <v>Josh Morgan</v>
      </c>
    </row>
    <row r="114" spans="1:25" ht="12.75" customHeight="1">
      <c r="A114" s="33" t="str">
        <f>ESPNData!AH117</f>
        <v>Chris Owusu, TB WR</v>
      </c>
      <c r="B114" s="33" t="str">
        <f t="shared" si="9"/>
        <v>Chris Owusu</v>
      </c>
      <c r="C114" s="64" t="str">
        <f t="shared" si="10"/>
        <v>TB</v>
      </c>
      <c r="D114" s="117" t="str">
        <f>IF(OR(($A114=Settings!$A$31),($A114=Settings!$A$32),ISERROR(VLOOKUP($B114,FFTodayData!$AB:$AK,8,0))),"",VLOOKUP($B114,FFTodayData!$AB:$AK,8,0))</f>
        <v/>
      </c>
      <c r="E114" s="33" t="str">
        <f>IF(OR(($A114=Settings!$A$31),($A114=Settings!$A$32),ISERROR(VLOOKUP($B114,FFTodayData!$AB:$AK,9,0))),"",VLOOKUP($B114,FFTodayData!$AB:$AK,9,0))</f>
        <v/>
      </c>
      <c r="F114" s="33" t="str">
        <f>IF(OR(($A114=Settings!$A$31),($A114=Settings!$A$32),ISERROR(VLOOKUP($B114,FFTodayData!$AB:$AK,4,0))),"",VLOOKUP($B114,FFTodayData!$AB:$AK,4,0))</f>
        <v/>
      </c>
      <c r="G114" s="33" t="str">
        <f>IF(OR(($A114=Settings!$A$31),($A114=Settings!$A$32),ISERROR(VLOOKUP($B114,FFTodayData!$AB:$AK,5,0))),"",VLOOKUP($B114,FFTodayData!$AB:$AK,5,0))</f>
        <v/>
      </c>
      <c r="H114" s="64" t="str">
        <f>IF(OR(($A114=Settings!$A$31),($A114=Settings!$A$32),ISERROR(VLOOKUP($B114,FFTodayData!$AB:$AK,6,0))),"",VLOOKUP($B114,FFTodayData!$AB:$AK,6,0))</f>
        <v/>
      </c>
      <c r="I114" s="117">
        <f>IF(ISERROR(VLOOKUP($A114,ESPNData!$AH:$AU,9,0)),"",VLOOKUP($A114,ESPNData!$AH:$AU,9,0))</f>
        <v>0</v>
      </c>
      <c r="J114" s="33">
        <f>IF(ISERROR(VLOOKUP($A114,ESPNData!$AH:$AU,10,0)),"",VLOOKUP($A114,ESPNData!$AH:$AU,10,0))</f>
        <v>0</v>
      </c>
      <c r="K114" s="33">
        <f>IF(ISERROR(VLOOKUP($A114,ESPNData!$AH:$AU,11,0)),"",VLOOKUP($A114,ESPNData!$AH:$AU,11,0))</f>
        <v>0</v>
      </c>
      <c r="L114" s="33">
        <f>IF(ISERROR(VLOOKUP($A114,ESPNData!$AH:$AU,12,0)),"",VLOOKUP($A114,ESPNData!$AH:$AU,12,0))</f>
        <v>0</v>
      </c>
      <c r="M114" s="64">
        <f>IF(ISERROR(VLOOKUP($A114,ESPNData!$AH:$AU,13,0)),"",VLOOKUP($A114,ESPNData!$AH:$AU,13,0))</f>
        <v>0</v>
      </c>
      <c r="N114" s="117">
        <f>IF(OR(($A114=Settings!$A$31),($A114=Settings!$A$32),ISERROR(VLOOKUP($B114,SportslineData!$AD:$AK,3,0))),"",ROUND(VLOOKUP($B114,SportslineData!$AD:$AK,3,0),0))</f>
        <v>18</v>
      </c>
      <c r="O114" s="33">
        <f>IF(OR(($A114=Settings!$A$31),($A114=Settings!$A$32),ISERROR(VLOOKUP($B114,SportslineData!$AD:$AK,4,0))),"",VLOOKUP($B114,SportslineData!$AD:$AK,4,0))</f>
        <v>193</v>
      </c>
      <c r="P114" s="33">
        <f>IF(OR(($A114=Settings!$A$31),($A114=Settings!$A$32),ISERROR(VLOOKUP($B114,SportslineData!$AD:$AK,6,0))),"",ROUND(VLOOKUP($B114,SportslineData!$AD:$AK,6,0),0))</f>
        <v>1</v>
      </c>
      <c r="Q114" s="64">
        <f>IF(OR(($A114=Settings!$A$31),($A114=Settings!$A$32),ISERROR(VLOOKUP($B114,SportslineData!$AD:$AK,7,0))),"",ROUND(VLOOKUP($B114,SportslineData!$AD:$AK,7,0),0))</f>
        <v>0</v>
      </c>
      <c r="R114" s="117"/>
      <c r="S114" s="33"/>
      <c r="T114" s="38">
        <f>IF(ISERROR(ROUND((((((ROUNDDOWN((D114/5),0)*Settings!$F$7)+(E114*Settings!$I$7))+(F114*Settings!$I$11))+(ROUNDDOWN((G114/5),0)*Settings!$F$11))+(H114*Settings!$F$12)),1)),0,ROUND((((((ROUNDDOWN((D114/5),0)*Settings!$F$7)+(E114*Settings!$I$7))+(F114*Settings!$I$11))+(ROUNDDOWN((G114/5),0)*Settings!$F$11))+(H114*Settings!$F$12)),1))</f>
        <v>0</v>
      </c>
      <c r="U114" s="38">
        <f>IF(ISERROR(ROUND((((((ROUNDDOWN((I114/5),0)*Settings!$F$7)+(J114*Settings!$I$7))+(K114*Settings!$I$11))+(ROUNDDOWN((L114/5),0)*Settings!$F$11))+(M114*Settings!$F$12)),1)),0,ROUND((((((ROUNDDOWN((I114/5),0)*Settings!$F$7)+(J114*Settings!$I$7))+(K114*Settings!$I$11))+(ROUNDDOWN((L114/5),0)*Settings!$F$11))+(M114*Settings!$F$12)),1))</f>
        <v>0</v>
      </c>
      <c r="V114" s="38">
        <f>IF((N114=""),0,((((N114*Settings!$I$11)+(ROUND((O114/5),0)*Settings!$F$11))+(P114*Settings!$F$12))+(Q114*Settings!$F$15)))</f>
        <v>34.5</v>
      </c>
      <c r="W114" s="66">
        <f>ROUND((((T114*Settings!$B$21)+(U114*Settings!$B$22))+(V114*Settings!$B$23)),1)</f>
        <v>11.7</v>
      </c>
      <c r="X114" s="66">
        <f>IF(ISERROR(VLOOKUP(RANK(W114,W$4:W$182),X$4:X113,1,0)),RANK(W114,W$4:W$182),IF(ISERROR(VLOOKUP((RANK(W114,W$4:W$182)+1),X$4:X113,1,0)),(RANK(W114,W$4:W$182)+1),IF(ISERROR(VLOOKUP((RANK(W114,W$4:W$182)+2),X$4:X113,1,0)),(RANK(W114,W$4:W$182)+2),(RANK(W114,W$4:W$182)+3))))</f>
        <v>144</v>
      </c>
      <c r="Y114" t="str">
        <f t="shared" si="11"/>
        <v>Chris Owusu</v>
      </c>
    </row>
    <row r="115" spans="1:25" ht="12.75" customHeight="1">
      <c r="A115" s="33" t="str">
        <f>ESPNData!AH118</f>
        <v>Stephen Hill, NYJ WR</v>
      </c>
      <c r="B115" s="33" t="str">
        <f t="shared" si="9"/>
        <v>Stephen Hill</v>
      </c>
      <c r="C115" s="64" t="str">
        <f t="shared" si="10"/>
        <v>NYJ</v>
      </c>
      <c r="D115" s="117">
        <f>IF(OR(($A115=Settings!$A$31),($A115=Settings!$A$32),ISERROR(VLOOKUP($B115,FFTodayData!$AB:$AK,8,0))),"",VLOOKUP($B115,FFTodayData!$AB:$AK,8,0))</f>
        <v>25</v>
      </c>
      <c r="E115" s="33">
        <f>IF(OR(($A115=Settings!$A$31),($A115=Settings!$A$32),ISERROR(VLOOKUP($B115,FFTodayData!$AB:$AK,9,0))),"",VLOOKUP($B115,FFTodayData!$AB:$AK,9,0))</f>
        <v>0</v>
      </c>
      <c r="F115" s="33">
        <f>IF(OR(($A115=Settings!$A$31),($A115=Settings!$A$32),ISERROR(VLOOKUP($B115,FFTodayData!$AB:$AK,4,0))),"",VLOOKUP($B115,FFTodayData!$AB:$AK,4,0))</f>
        <v>39</v>
      </c>
      <c r="G115" s="33">
        <f>IF(OR(($A115=Settings!$A$31),($A115=Settings!$A$32),ISERROR(VLOOKUP($B115,FFTodayData!$AB:$AK,5,0))),"",VLOOKUP($B115,FFTodayData!$AB:$AK,5,0))</f>
        <v>545</v>
      </c>
      <c r="H115" s="64">
        <f>IF(OR(($A115=Settings!$A$31),($A115=Settings!$A$32),ISERROR(VLOOKUP($B115,FFTodayData!$AB:$AK,6,0))),"",VLOOKUP($B115,FFTodayData!$AB:$AK,6,0))</f>
        <v>4</v>
      </c>
      <c r="I115" s="117">
        <f>IF(ISERROR(VLOOKUP($A115,ESPNData!$AH:$AU,9,0)),"",VLOOKUP($A115,ESPNData!$AH:$AU,9,0))</f>
        <v>0</v>
      </c>
      <c r="J115" s="33">
        <f>IF(ISERROR(VLOOKUP($A115,ESPNData!$AH:$AU,10,0)),"",VLOOKUP($A115,ESPNData!$AH:$AU,10,0))</f>
        <v>0</v>
      </c>
      <c r="K115" s="33">
        <f>IF(ISERROR(VLOOKUP($A115,ESPNData!$AH:$AU,11,0)),"",VLOOKUP($A115,ESPNData!$AH:$AU,11,0))</f>
        <v>0</v>
      </c>
      <c r="L115" s="33">
        <f>IF(ISERROR(VLOOKUP($A115,ESPNData!$AH:$AU,12,0)),"",VLOOKUP($A115,ESPNData!$AH:$AU,12,0))</f>
        <v>0</v>
      </c>
      <c r="M115" s="64">
        <f>IF(ISERROR(VLOOKUP($A115,ESPNData!$AH:$AU,13,0)),"",VLOOKUP($A115,ESPNData!$AH:$AU,13,0))</f>
        <v>0</v>
      </c>
      <c r="N115" s="117">
        <f>IF(OR(($A115=Settings!$A$31),($A115=Settings!$A$32),ISERROR(VLOOKUP($B115,SportslineData!$AD:$AK,3,0))),"",ROUND(VLOOKUP($B115,SportslineData!$AD:$AK,3,0),0))</f>
        <v>26</v>
      </c>
      <c r="O115" s="33">
        <f>IF(OR(($A115=Settings!$A$31),($A115=Settings!$A$32),ISERROR(VLOOKUP($B115,SportslineData!$AD:$AK,4,0))),"",VLOOKUP($B115,SportslineData!$AD:$AK,4,0))</f>
        <v>351.5</v>
      </c>
      <c r="P115" s="33">
        <f>IF(OR(($A115=Settings!$A$31),($A115=Settings!$A$32),ISERROR(VLOOKUP($B115,SportslineData!$AD:$AK,6,0))),"",ROUND(VLOOKUP($B115,SportslineData!$AD:$AK,6,0),0))</f>
        <v>2</v>
      </c>
      <c r="Q115" s="64">
        <f>IF(OR(($A115=Settings!$A$31),($A115=Settings!$A$32),ISERROR(VLOOKUP($B115,SportslineData!$AD:$AK,7,0))),"",ROUND(VLOOKUP($B115,SportslineData!$AD:$AK,7,0),0))</f>
        <v>0</v>
      </c>
      <c r="R115" s="117"/>
      <c r="S115" s="33"/>
      <c r="T115" s="38">
        <f>IF(ISERROR(ROUND((((((ROUNDDOWN((D115/5),0)*Settings!$F$7)+(E115*Settings!$I$7))+(F115*Settings!$I$11))+(ROUNDDOWN((G115/5),0)*Settings!$F$11))+(H115*Settings!$F$12)),1)),0,ROUND((((((ROUNDDOWN((D115/5),0)*Settings!$F$7)+(E115*Settings!$I$7))+(F115*Settings!$I$11))+(ROUNDDOWN((G115/5),0)*Settings!$F$11))+(H115*Settings!$F$12)),1))</f>
        <v>100.5</v>
      </c>
      <c r="U115" s="38">
        <f>IF(ISERROR(ROUND((((((ROUNDDOWN((I115/5),0)*Settings!$F$7)+(J115*Settings!$I$7))+(K115*Settings!$I$11))+(ROUNDDOWN((L115/5),0)*Settings!$F$11))+(M115*Settings!$F$12)),1)),0,ROUND((((((ROUNDDOWN((I115/5),0)*Settings!$F$7)+(J115*Settings!$I$7))+(K115*Settings!$I$11))+(ROUNDDOWN((L115/5),0)*Settings!$F$11))+(M115*Settings!$F$12)),1))</f>
        <v>0</v>
      </c>
      <c r="V115" s="38">
        <f>IF((N115=""),0,((((N115*Settings!$I$11)+(ROUND((O115/5),0)*Settings!$F$11))+(P115*Settings!$F$12))+(Q115*Settings!$F$15)))</f>
        <v>60</v>
      </c>
      <c r="W115" s="66">
        <f>ROUND((((T115*Settings!$B$21)+(U115*Settings!$B$22))+(V115*Settings!$B$23)),1)</f>
        <v>53.6</v>
      </c>
      <c r="X115" s="66">
        <f>IF(ISERROR(VLOOKUP(RANK(W115,W$4:W$182),X$4:X114,1,0)),RANK(W115,W$4:W$182),IF(ISERROR(VLOOKUP((RANK(W115,W$4:W$182)+1),X$4:X114,1,0)),(RANK(W115,W$4:W$182)+1),IF(ISERROR(VLOOKUP((RANK(W115,W$4:W$182)+2),X$4:X114,1,0)),(RANK(W115,W$4:W$182)+2),(RANK(W115,W$4:W$182)+3))))</f>
        <v>91</v>
      </c>
      <c r="Y115" t="str">
        <f t="shared" si="11"/>
        <v>Stephen Hill</v>
      </c>
    </row>
    <row r="116" spans="1:25" ht="12.75" customHeight="1">
      <c r="A116" s="33" t="str">
        <f>ESPNData!AH119</f>
        <v>DeVier Posey, Hou WR</v>
      </c>
      <c r="B116" s="33" t="str">
        <f t="shared" si="9"/>
        <v>DeVier Posey</v>
      </c>
      <c r="C116" s="64" t="str">
        <f t="shared" si="10"/>
        <v>HOU</v>
      </c>
      <c r="D116" s="117" t="str">
        <f>IF(OR(($A116=Settings!$A$31),($A116=Settings!$A$32),ISERROR(VLOOKUP($B116,FFTodayData!$AB:$AK,8,0))),"",VLOOKUP($B116,FFTodayData!$AB:$AK,8,0))</f>
        <v/>
      </c>
      <c r="E116" s="33" t="str">
        <f>IF(OR(($A116=Settings!$A$31),($A116=Settings!$A$32),ISERROR(VLOOKUP($B116,FFTodayData!$AB:$AK,9,0))),"",VLOOKUP($B116,FFTodayData!$AB:$AK,9,0))</f>
        <v/>
      </c>
      <c r="F116" s="33" t="str">
        <f>IF(OR(($A116=Settings!$A$31),($A116=Settings!$A$32),ISERROR(VLOOKUP($B116,FFTodayData!$AB:$AK,4,0))),"",VLOOKUP($B116,FFTodayData!$AB:$AK,4,0))</f>
        <v/>
      </c>
      <c r="G116" s="33" t="str">
        <f>IF(OR(($A116=Settings!$A$31),($A116=Settings!$A$32),ISERROR(VLOOKUP($B116,FFTodayData!$AB:$AK,5,0))),"",VLOOKUP($B116,FFTodayData!$AB:$AK,5,0))</f>
        <v/>
      </c>
      <c r="H116" s="64" t="str">
        <f>IF(OR(($A116=Settings!$A$31),($A116=Settings!$A$32),ISERROR(VLOOKUP($B116,FFTodayData!$AB:$AK,6,0))),"",VLOOKUP($B116,FFTodayData!$AB:$AK,6,0))</f>
        <v/>
      </c>
      <c r="I116" s="117">
        <f>IF(ISERROR(VLOOKUP($A116,ESPNData!$AH:$AU,9,0)),"",VLOOKUP($A116,ESPNData!$AH:$AU,9,0))</f>
        <v>0</v>
      </c>
      <c r="J116" s="33">
        <f>IF(ISERROR(VLOOKUP($A116,ESPNData!$AH:$AU,10,0)),"",VLOOKUP($A116,ESPNData!$AH:$AU,10,0))</f>
        <v>0</v>
      </c>
      <c r="K116" s="33">
        <f>IF(ISERROR(VLOOKUP($A116,ESPNData!$AH:$AU,11,0)),"",VLOOKUP($A116,ESPNData!$AH:$AU,11,0))</f>
        <v>0</v>
      </c>
      <c r="L116" s="33">
        <f>IF(ISERROR(VLOOKUP($A116,ESPNData!$AH:$AU,12,0)),"",VLOOKUP($A116,ESPNData!$AH:$AU,12,0))</f>
        <v>0</v>
      </c>
      <c r="M116" s="64">
        <f>IF(ISERROR(VLOOKUP($A116,ESPNData!$AH:$AU,13,0)),"",VLOOKUP($A116,ESPNData!$AH:$AU,13,0))</f>
        <v>0</v>
      </c>
      <c r="N116" s="117">
        <f>IF(OR(($A116=Settings!$A$31),($A116=Settings!$A$32),ISERROR(VLOOKUP($B116,SportslineData!$AD:$AK,3,0))),"",ROUND(VLOOKUP($B116,SportslineData!$AD:$AK,3,0),0))</f>
        <v>31</v>
      </c>
      <c r="O116" s="33">
        <f>IF(OR(($A116=Settings!$A$31),($A116=Settings!$A$32),ISERROR(VLOOKUP($B116,SportslineData!$AD:$AK,4,0))),"",VLOOKUP($B116,SportslineData!$AD:$AK,4,0))</f>
        <v>376</v>
      </c>
      <c r="P116" s="33">
        <f>IF(OR(($A116=Settings!$A$31),($A116=Settings!$A$32),ISERROR(VLOOKUP($B116,SportslineData!$AD:$AK,6,0))),"",ROUND(VLOOKUP($B116,SportslineData!$AD:$AK,6,0),0))</f>
        <v>2</v>
      </c>
      <c r="Q116" s="64">
        <f>IF(OR(($A116=Settings!$A$31),($A116=Settings!$A$32),ISERROR(VLOOKUP($B116,SportslineData!$AD:$AK,7,0))),"",ROUND(VLOOKUP($B116,SportslineData!$AD:$AK,7,0),0))</f>
        <v>0</v>
      </c>
      <c r="R116" s="117"/>
      <c r="S116" s="33"/>
      <c r="T116" s="38">
        <f>IF(ISERROR(ROUND((((((ROUNDDOWN((D116/5),0)*Settings!$F$7)+(E116*Settings!$I$7))+(F116*Settings!$I$11))+(ROUNDDOWN((G116/5),0)*Settings!$F$11))+(H116*Settings!$F$12)),1)),0,ROUND((((((ROUNDDOWN((D116/5),0)*Settings!$F$7)+(E116*Settings!$I$7))+(F116*Settings!$I$11))+(ROUNDDOWN((G116/5),0)*Settings!$F$11))+(H116*Settings!$F$12)),1))</f>
        <v>0</v>
      </c>
      <c r="U116" s="38">
        <f>IF(ISERROR(ROUND((((((ROUNDDOWN((I116/5),0)*Settings!$F$7)+(J116*Settings!$I$7))+(K116*Settings!$I$11))+(ROUNDDOWN((L116/5),0)*Settings!$F$11))+(M116*Settings!$F$12)),1)),0,ROUND((((((ROUNDDOWN((I116/5),0)*Settings!$F$7)+(J116*Settings!$I$7))+(K116*Settings!$I$11))+(ROUNDDOWN((L116/5),0)*Settings!$F$11))+(M116*Settings!$F$12)),1))</f>
        <v>0</v>
      </c>
      <c r="V116" s="38">
        <f>IF((N116=""),0,((((N116*Settings!$I$11)+(ROUND((O116/5),0)*Settings!$F$11))+(P116*Settings!$F$12))+(Q116*Settings!$F$15)))</f>
        <v>65</v>
      </c>
      <c r="W116" s="66">
        <f>ROUND((((T116*Settings!$B$21)+(U116*Settings!$B$22))+(V116*Settings!$B$23)),1)</f>
        <v>22.1</v>
      </c>
      <c r="X116" s="66">
        <f>IF(ISERROR(VLOOKUP(RANK(W116,W$4:W$182),X$4:X115,1,0)),RANK(W116,W$4:W$182),IF(ISERROR(VLOOKUP((RANK(W116,W$4:W$182)+1),X$4:X115,1,0)),(RANK(W116,W$4:W$182)+1),IF(ISERROR(VLOOKUP((RANK(W116,W$4:W$182)+2),X$4:X115,1,0)),(RANK(W116,W$4:W$182)+2),(RANK(W116,W$4:W$182)+3))))</f>
        <v>124</v>
      </c>
      <c r="Y116" t="str">
        <f t="shared" si="11"/>
        <v>DeVier Posey</v>
      </c>
    </row>
    <row r="117" spans="1:25" ht="12.75" customHeight="1">
      <c r="A117" s="33" t="str">
        <f>ESPNData!AH120</f>
        <v>Marquise Goodwin, Buf WR  P</v>
      </c>
      <c r="B117" s="33" t="str">
        <f t="shared" si="9"/>
        <v>Marquise Goodwin</v>
      </c>
      <c r="C117" s="64" t="str">
        <f t="shared" si="10"/>
        <v>BUF</v>
      </c>
      <c r="D117" s="117" t="str">
        <f>IF(OR(($A117=Settings!$A$31),($A117=Settings!$A$32),ISERROR(VLOOKUP($B117,FFTodayData!$AB:$AK,8,0))),"",VLOOKUP($B117,FFTodayData!$AB:$AK,8,0))</f>
        <v/>
      </c>
      <c r="E117" s="33" t="str">
        <f>IF(OR(($A117=Settings!$A$31),($A117=Settings!$A$32),ISERROR(VLOOKUP($B117,FFTodayData!$AB:$AK,9,0))),"",VLOOKUP($B117,FFTodayData!$AB:$AK,9,0))</f>
        <v/>
      </c>
      <c r="F117" s="33" t="str">
        <f>IF(OR(($A117=Settings!$A$31),($A117=Settings!$A$32),ISERROR(VLOOKUP($B117,FFTodayData!$AB:$AK,4,0))),"",VLOOKUP($B117,FFTodayData!$AB:$AK,4,0))</f>
        <v/>
      </c>
      <c r="G117" s="33" t="str">
        <f>IF(OR(($A117=Settings!$A$31),($A117=Settings!$A$32),ISERROR(VLOOKUP($B117,FFTodayData!$AB:$AK,5,0))),"",VLOOKUP($B117,FFTodayData!$AB:$AK,5,0))</f>
        <v/>
      </c>
      <c r="H117" s="64" t="str">
        <f>IF(OR(($A117=Settings!$A$31),($A117=Settings!$A$32),ISERROR(VLOOKUP($B117,FFTodayData!$AB:$AK,6,0))),"",VLOOKUP($B117,FFTodayData!$AB:$AK,6,0))</f>
        <v/>
      </c>
      <c r="I117" s="117">
        <f>IF(ISERROR(VLOOKUP($A117,ESPNData!$AH:$AU,9,0)),"",VLOOKUP($A117,ESPNData!$AH:$AU,9,0))</f>
        <v>0</v>
      </c>
      <c r="J117" s="33">
        <f>IF(ISERROR(VLOOKUP($A117,ESPNData!$AH:$AU,10,0)),"",VLOOKUP($A117,ESPNData!$AH:$AU,10,0))</f>
        <v>0</v>
      </c>
      <c r="K117" s="33">
        <f>IF(ISERROR(VLOOKUP($A117,ESPNData!$AH:$AU,11,0)),"",VLOOKUP($A117,ESPNData!$AH:$AU,11,0))</f>
        <v>0</v>
      </c>
      <c r="L117" s="33">
        <f>IF(ISERROR(VLOOKUP($A117,ESPNData!$AH:$AU,12,0)),"",VLOOKUP($A117,ESPNData!$AH:$AU,12,0))</f>
        <v>0</v>
      </c>
      <c r="M117" s="64">
        <f>IF(ISERROR(VLOOKUP($A117,ESPNData!$AH:$AU,13,0)),"",VLOOKUP($A117,ESPNData!$AH:$AU,13,0))</f>
        <v>0</v>
      </c>
      <c r="N117" s="117">
        <f>IF(OR(($A117=Settings!$A$31),($A117=Settings!$A$32),ISERROR(VLOOKUP($B117,SportslineData!$AD:$AK,3,0))),"",ROUND(VLOOKUP($B117,SportslineData!$AD:$AK,3,0),0))</f>
        <v>23</v>
      </c>
      <c r="O117" s="33">
        <f>IF(OR(($A117=Settings!$A$31),($A117=Settings!$A$32),ISERROR(VLOOKUP($B117,SportslineData!$AD:$AK,4,0))),"",VLOOKUP($B117,SportslineData!$AD:$AK,4,0))</f>
        <v>373.5</v>
      </c>
      <c r="P117" s="33">
        <f>IF(OR(($A117=Settings!$A$31),($A117=Settings!$A$32),ISERROR(VLOOKUP($B117,SportslineData!$AD:$AK,6,0))),"",ROUND(VLOOKUP($B117,SportslineData!$AD:$AK,6,0),0))</f>
        <v>3</v>
      </c>
      <c r="Q117" s="64">
        <f>IF(OR(($A117=Settings!$A$31),($A117=Settings!$A$32),ISERROR(VLOOKUP($B117,SportslineData!$AD:$AK,7,0))),"",ROUND(VLOOKUP($B117,SportslineData!$AD:$AK,7,0),0))</f>
        <v>1</v>
      </c>
      <c r="R117" s="117"/>
      <c r="S117" s="33"/>
      <c r="T117" s="38">
        <f>IF(ISERROR(ROUND((((((ROUNDDOWN((D117/5),0)*Settings!$F$7)+(E117*Settings!$I$7))+(F117*Settings!$I$11))+(ROUNDDOWN((G117/5),0)*Settings!$F$11))+(H117*Settings!$F$12)),1)),0,ROUND((((((ROUNDDOWN((D117/5),0)*Settings!$F$7)+(E117*Settings!$I$7))+(F117*Settings!$I$11))+(ROUNDDOWN((G117/5),0)*Settings!$F$11))+(H117*Settings!$F$12)),1))</f>
        <v>0</v>
      </c>
      <c r="U117" s="38">
        <f>IF(ISERROR(ROUND((((((ROUNDDOWN((I117/5),0)*Settings!$F$7)+(J117*Settings!$I$7))+(K117*Settings!$I$11))+(ROUNDDOWN((L117/5),0)*Settings!$F$11))+(M117*Settings!$F$12)),1)),0,ROUND((((((ROUNDDOWN((I117/5),0)*Settings!$F$7)+(J117*Settings!$I$7))+(K117*Settings!$I$11))+(ROUNDDOWN((L117/5),0)*Settings!$F$11))+(M117*Settings!$F$12)),1))</f>
        <v>0</v>
      </c>
      <c r="V117" s="38">
        <f>IF((N117=""),0,((((N117*Settings!$I$11)+(ROUND((O117/5),0)*Settings!$F$11))+(P117*Settings!$F$12))+(Q117*Settings!$F$15)))</f>
        <v>66</v>
      </c>
      <c r="W117" s="66">
        <f>ROUND((((T117*Settings!$B$21)+(U117*Settings!$B$22))+(V117*Settings!$B$23)),1)</f>
        <v>22.4</v>
      </c>
      <c r="X117" s="66">
        <f>IF(ISERROR(VLOOKUP(RANK(W117,W$4:W$182),X$4:X116,1,0)),RANK(W117,W$4:W$182),IF(ISERROR(VLOOKUP((RANK(W117,W$4:W$182)+1),X$4:X116,1,0)),(RANK(W117,W$4:W$182)+1),IF(ISERROR(VLOOKUP((RANK(W117,W$4:W$182)+2),X$4:X116,1,0)),(RANK(W117,W$4:W$182)+2),(RANK(W117,W$4:W$182)+3))))</f>
        <v>123</v>
      </c>
      <c r="Y117" t="str">
        <f t="shared" si="11"/>
        <v>Marquise Goodwin</v>
      </c>
    </row>
    <row r="118" spans="1:25" ht="12.75" customHeight="1">
      <c r="A118" s="33" t="str">
        <f>ESPNData!AH121</f>
        <v>Dwayne Harris, Dal WR</v>
      </c>
      <c r="B118" s="33" t="str">
        <f t="shared" si="9"/>
        <v>Dwayne Harris</v>
      </c>
      <c r="C118" s="64" t="str">
        <f t="shared" si="10"/>
        <v>DAL</v>
      </c>
      <c r="D118" s="117" t="str">
        <f>IF(OR(($A118=Settings!$A$31),($A118=Settings!$A$32),ISERROR(VLOOKUP($B118,FFTodayData!$AB:$AK,8,0))),"",VLOOKUP($B118,FFTodayData!$AB:$AK,8,0))</f>
        <v/>
      </c>
      <c r="E118" s="33" t="str">
        <f>IF(OR(($A118=Settings!$A$31),($A118=Settings!$A$32),ISERROR(VLOOKUP($B118,FFTodayData!$AB:$AK,9,0))),"",VLOOKUP($B118,FFTodayData!$AB:$AK,9,0))</f>
        <v/>
      </c>
      <c r="F118" s="33" t="str">
        <f>IF(OR(($A118=Settings!$A$31),($A118=Settings!$A$32),ISERROR(VLOOKUP($B118,FFTodayData!$AB:$AK,4,0))),"",VLOOKUP($B118,FFTodayData!$AB:$AK,4,0))</f>
        <v/>
      </c>
      <c r="G118" s="33" t="str">
        <f>IF(OR(($A118=Settings!$A$31),($A118=Settings!$A$32),ISERROR(VLOOKUP($B118,FFTodayData!$AB:$AK,5,0))),"",VLOOKUP($B118,FFTodayData!$AB:$AK,5,0))</f>
        <v/>
      </c>
      <c r="H118" s="64" t="str">
        <f>IF(OR(($A118=Settings!$A$31),($A118=Settings!$A$32),ISERROR(VLOOKUP($B118,FFTodayData!$AB:$AK,6,0))),"",VLOOKUP($B118,FFTodayData!$AB:$AK,6,0))</f>
        <v/>
      </c>
      <c r="I118" s="117">
        <f>IF(ISERROR(VLOOKUP($A118,ESPNData!$AH:$AU,9,0)),"",VLOOKUP($A118,ESPNData!$AH:$AU,9,0))</f>
        <v>0</v>
      </c>
      <c r="J118" s="33">
        <f>IF(ISERROR(VLOOKUP($A118,ESPNData!$AH:$AU,10,0)),"",VLOOKUP($A118,ESPNData!$AH:$AU,10,0))</f>
        <v>0</v>
      </c>
      <c r="K118" s="33">
        <f>IF(ISERROR(VLOOKUP($A118,ESPNData!$AH:$AU,11,0)),"",VLOOKUP($A118,ESPNData!$AH:$AU,11,0))</f>
        <v>0</v>
      </c>
      <c r="L118" s="33">
        <f>IF(ISERROR(VLOOKUP($A118,ESPNData!$AH:$AU,12,0)),"",VLOOKUP($A118,ESPNData!$AH:$AU,12,0))</f>
        <v>0</v>
      </c>
      <c r="M118" s="64">
        <f>IF(ISERROR(VLOOKUP($A118,ESPNData!$AH:$AU,13,0)),"",VLOOKUP($A118,ESPNData!$AH:$AU,13,0))</f>
        <v>0</v>
      </c>
      <c r="N118" s="117">
        <f>IF(OR(($A118=Settings!$A$31),($A118=Settings!$A$32),ISERROR(VLOOKUP($B118,SportslineData!$AD:$AK,3,0))),"",ROUND(VLOOKUP($B118,SportslineData!$AD:$AK,3,0),0))</f>
        <v>11</v>
      </c>
      <c r="O118" s="33">
        <f>IF(OR(($A118=Settings!$A$31),($A118=Settings!$A$32),ISERROR(VLOOKUP($B118,SportslineData!$AD:$AK,4,0))),"",VLOOKUP($B118,SportslineData!$AD:$AK,4,0))</f>
        <v>113</v>
      </c>
      <c r="P118" s="33">
        <f>IF(OR(($A118=Settings!$A$31),($A118=Settings!$A$32),ISERROR(VLOOKUP($B118,SportslineData!$AD:$AK,6,0))),"",ROUND(VLOOKUP($B118,SportslineData!$AD:$AK,6,0),0))</f>
        <v>1</v>
      </c>
      <c r="Q118" s="64">
        <f>IF(OR(($A118=Settings!$A$31),($A118=Settings!$A$32),ISERROR(VLOOKUP($B118,SportslineData!$AD:$AK,7,0))),"",ROUND(VLOOKUP($B118,SportslineData!$AD:$AK,7,0),0))</f>
        <v>0</v>
      </c>
      <c r="R118" s="117"/>
      <c r="S118" s="33"/>
      <c r="T118" s="38">
        <f>IF(ISERROR(ROUND((((((ROUNDDOWN((D118/5),0)*Settings!$F$7)+(E118*Settings!$I$7))+(F118*Settings!$I$11))+(ROUNDDOWN((G118/5),0)*Settings!$F$11))+(H118*Settings!$F$12)),1)),0,ROUND((((((ROUNDDOWN((D118/5),0)*Settings!$F$7)+(E118*Settings!$I$7))+(F118*Settings!$I$11))+(ROUNDDOWN((G118/5),0)*Settings!$F$11))+(H118*Settings!$F$12)),1))</f>
        <v>0</v>
      </c>
      <c r="U118" s="38">
        <f>IF(ISERROR(ROUND((((((ROUNDDOWN((I118/5),0)*Settings!$F$7)+(J118*Settings!$I$7))+(K118*Settings!$I$11))+(ROUNDDOWN((L118/5),0)*Settings!$F$11))+(M118*Settings!$F$12)),1)),0,ROUND((((((ROUNDDOWN((I118/5),0)*Settings!$F$7)+(J118*Settings!$I$7))+(K118*Settings!$I$11))+(ROUNDDOWN((L118/5),0)*Settings!$F$11))+(M118*Settings!$F$12)),1))</f>
        <v>0</v>
      </c>
      <c r="V118" s="38">
        <f>IF((N118=""),0,((((N118*Settings!$I$11)+(ROUND((O118/5),0)*Settings!$F$11))+(P118*Settings!$F$12))+(Q118*Settings!$F$15)))</f>
        <v>23</v>
      </c>
      <c r="W118" s="66">
        <f>ROUND((((T118*Settings!$B$21)+(U118*Settings!$B$22))+(V118*Settings!$B$23)),1)</f>
        <v>7.8</v>
      </c>
      <c r="X118" s="66">
        <f>IF(ISERROR(VLOOKUP(RANK(W118,W$4:W$182),X$4:X117,1,0)),RANK(W118,W$4:W$182),IF(ISERROR(VLOOKUP((RANK(W118,W$4:W$182)+1),X$4:X117,1,0)),(RANK(W118,W$4:W$182)+1),IF(ISERROR(VLOOKUP((RANK(W118,W$4:W$182)+2),X$4:X117,1,0)),(RANK(W118,W$4:W$182)+2),(RANK(W118,W$4:W$182)+3))))</f>
        <v>148</v>
      </c>
      <c r="Y118" t="str">
        <f t="shared" si="11"/>
        <v>Dwayne Harris</v>
      </c>
    </row>
    <row r="119" spans="1:25" ht="12.75" customHeight="1">
      <c r="A119" s="33" t="str">
        <f>ESPNData!AH122</f>
        <v>Austin Pettis, StL WR</v>
      </c>
      <c r="B119" s="33" t="str">
        <f t="shared" si="9"/>
        <v>Austin Pettis</v>
      </c>
      <c r="C119" s="64" t="str">
        <f t="shared" si="10"/>
        <v>STL</v>
      </c>
      <c r="D119" s="117" t="str">
        <f>IF(OR(($A119=Settings!$A$31),($A119=Settings!$A$32),ISERROR(VLOOKUP($B119,FFTodayData!$AB:$AK,8,0))),"",VLOOKUP($B119,FFTodayData!$AB:$AK,8,0))</f>
        <v/>
      </c>
      <c r="E119" s="33" t="str">
        <f>IF(OR(($A119=Settings!$A$31),($A119=Settings!$A$32),ISERROR(VLOOKUP($B119,FFTodayData!$AB:$AK,9,0))),"",VLOOKUP($B119,FFTodayData!$AB:$AK,9,0))</f>
        <v/>
      </c>
      <c r="F119" s="33" t="str">
        <f>IF(OR(($A119=Settings!$A$31),($A119=Settings!$A$32),ISERROR(VLOOKUP($B119,FFTodayData!$AB:$AK,4,0))),"",VLOOKUP($B119,FFTodayData!$AB:$AK,4,0))</f>
        <v/>
      </c>
      <c r="G119" s="33" t="str">
        <f>IF(OR(($A119=Settings!$A$31),($A119=Settings!$A$32),ISERROR(VLOOKUP($B119,FFTodayData!$AB:$AK,5,0))),"",VLOOKUP($B119,FFTodayData!$AB:$AK,5,0))</f>
        <v/>
      </c>
      <c r="H119" s="64" t="str">
        <f>IF(OR(($A119=Settings!$A$31),($A119=Settings!$A$32),ISERROR(VLOOKUP($B119,FFTodayData!$AB:$AK,6,0))),"",VLOOKUP($B119,FFTodayData!$AB:$AK,6,0))</f>
        <v/>
      </c>
      <c r="I119" s="117">
        <f>IF(ISERROR(VLOOKUP($A119,ESPNData!$AH:$AU,9,0)),"",VLOOKUP($A119,ESPNData!$AH:$AU,9,0))</f>
        <v>0</v>
      </c>
      <c r="J119" s="33">
        <f>IF(ISERROR(VLOOKUP($A119,ESPNData!$AH:$AU,10,0)),"",VLOOKUP($A119,ESPNData!$AH:$AU,10,0))</f>
        <v>0</v>
      </c>
      <c r="K119" s="33">
        <f>IF(ISERROR(VLOOKUP($A119,ESPNData!$AH:$AU,11,0)),"",VLOOKUP($A119,ESPNData!$AH:$AU,11,0))</f>
        <v>0</v>
      </c>
      <c r="L119" s="33">
        <f>IF(ISERROR(VLOOKUP($A119,ESPNData!$AH:$AU,12,0)),"",VLOOKUP($A119,ESPNData!$AH:$AU,12,0))</f>
        <v>0</v>
      </c>
      <c r="M119" s="64">
        <f>IF(ISERROR(VLOOKUP($A119,ESPNData!$AH:$AU,13,0)),"",VLOOKUP($A119,ESPNData!$AH:$AU,13,0))</f>
        <v>0</v>
      </c>
      <c r="N119" s="117">
        <f>IF(OR(($A119=Settings!$A$31),($A119=Settings!$A$32),ISERROR(VLOOKUP($B119,SportslineData!$AD:$AK,3,0))),"",ROUND(VLOOKUP($B119,SportslineData!$AD:$AK,3,0),0))</f>
        <v>36</v>
      </c>
      <c r="O119" s="33">
        <f>IF(OR(($A119=Settings!$A$31),($A119=Settings!$A$32),ISERROR(VLOOKUP($B119,SportslineData!$AD:$AK,4,0))),"",VLOOKUP($B119,SportslineData!$AD:$AK,4,0))</f>
        <v>389.5</v>
      </c>
      <c r="P119" s="33">
        <f>IF(OR(($A119=Settings!$A$31),($A119=Settings!$A$32),ISERROR(VLOOKUP($B119,SportslineData!$AD:$AK,6,0))),"",ROUND(VLOOKUP($B119,SportslineData!$AD:$AK,6,0),0))</f>
        <v>4</v>
      </c>
      <c r="Q119" s="64">
        <f>IF(OR(($A119=Settings!$A$31),($A119=Settings!$A$32),ISERROR(VLOOKUP($B119,SportslineData!$AD:$AK,7,0))),"",ROUND(VLOOKUP($B119,SportslineData!$AD:$AK,7,0),0))</f>
        <v>0</v>
      </c>
      <c r="R119" s="117"/>
      <c r="S119" s="33"/>
      <c r="T119" s="38">
        <f>IF(ISERROR(ROUND((((((ROUNDDOWN((D119/5),0)*Settings!$F$7)+(E119*Settings!$I$7))+(F119*Settings!$I$11))+(ROUNDDOWN((G119/5),0)*Settings!$F$11))+(H119*Settings!$F$12)),1)),0,ROUND((((((ROUNDDOWN((D119/5),0)*Settings!$F$7)+(E119*Settings!$I$7))+(F119*Settings!$I$11))+(ROUNDDOWN((G119/5),0)*Settings!$F$11))+(H119*Settings!$F$12)),1))</f>
        <v>0</v>
      </c>
      <c r="U119" s="38">
        <f>IF(ISERROR(ROUND((((((ROUNDDOWN((I119/5),0)*Settings!$F$7)+(J119*Settings!$I$7))+(K119*Settings!$I$11))+(ROUNDDOWN((L119/5),0)*Settings!$F$11))+(M119*Settings!$F$12)),1)),0,ROUND((((((ROUNDDOWN((I119/5),0)*Settings!$F$7)+(J119*Settings!$I$7))+(K119*Settings!$I$11))+(ROUNDDOWN((L119/5),0)*Settings!$F$11))+(M119*Settings!$F$12)),1))</f>
        <v>0</v>
      </c>
      <c r="V119" s="38">
        <f>IF((N119=""),0,((((N119*Settings!$I$11)+(ROUND((O119/5),0)*Settings!$F$11))+(P119*Settings!$F$12))+(Q119*Settings!$F$15)))</f>
        <v>81</v>
      </c>
      <c r="W119" s="66">
        <f>ROUND((((T119*Settings!$B$21)+(U119*Settings!$B$22))+(V119*Settings!$B$23)),1)</f>
        <v>27.5</v>
      </c>
      <c r="X119" s="66">
        <f>IF(ISERROR(VLOOKUP(RANK(W119,W$4:W$182),X$4:X118,1,0)),RANK(W119,W$4:W$182),IF(ISERROR(VLOOKUP((RANK(W119,W$4:W$182)+1),X$4:X118,1,0)),(RANK(W119,W$4:W$182)+1),IF(ISERROR(VLOOKUP((RANK(W119,W$4:W$182)+2),X$4:X118,1,0)),(RANK(W119,W$4:W$182)+2),(RANK(W119,W$4:W$182)+3))))</f>
        <v>116</v>
      </c>
      <c r="Y119" t="str">
        <f t="shared" si="11"/>
        <v>Austin Pettis</v>
      </c>
    </row>
    <row r="120" spans="1:25" ht="12.75" customHeight="1">
      <c r="A120" s="33" t="str">
        <f>ESPNData!AH123</f>
        <v>Andre Caldwell, Den WR</v>
      </c>
      <c r="B120" s="33" t="str">
        <f t="shared" si="9"/>
        <v>Andre Caldwell</v>
      </c>
      <c r="C120" s="64" t="str">
        <f t="shared" si="10"/>
        <v>DEN</v>
      </c>
      <c r="D120" s="117">
        <f>IF(OR(($A120=Settings!$A$31),($A120=Settings!$A$32),ISERROR(VLOOKUP($B120,FFTodayData!$AB:$AK,8,0))),"",VLOOKUP($B120,FFTodayData!$AB:$AK,8,0))</f>
        <v>0</v>
      </c>
      <c r="E120" s="33">
        <f>IF(OR(($A120=Settings!$A$31),($A120=Settings!$A$32),ISERROR(VLOOKUP($B120,FFTodayData!$AB:$AK,9,0))),"",VLOOKUP($B120,FFTodayData!$AB:$AK,9,0))</f>
        <v>0</v>
      </c>
      <c r="F120" s="33">
        <f>IF(OR(($A120=Settings!$A$31),($A120=Settings!$A$32),ISERROR(VLOOKUP($B120,FFTodayData!$AB:$AK,4,0))),"",VLOOKUP($B120,FFTodayData!$AB:$AK,4,0))</f>
        <v>20</v>
      </c>
      <c r="G120" s="33">
        <f>IF(OR(($A120=Settings!$A$31),($A120=Settings!$A$32),ISERROR(VLOOKUP($B120,FFTodayData!$AB:$AK,5,0))),"",VLOOKUP($B120,FFTodayData!$AB:$AK,5,0))</f>
        <v>256</v>
      </c>
      <c r="H120" s="64">
        <f>IF(OR(($A120=Settings!$A$31),($A120=Settings!$A$32),ISERROR(VLOOKUP($B120,FFTodayData!$AB:$AK,6,0))),"",VLOOKUP($B120,FFTodayData!$AB:$AK,6,0))</f>
        <v>0</v>
      </c>
      <c r="I120" s="117">
        <f>IF(ISERROR(VLOOKUP($A120,ESPNData!$AH:$AU,9,0)),"",VLOOKUP($A120,ESPNData!$AH:$AU,9,0))</f>
        <v>0</v>
      </c>
      <c r="J120" s="33">
        <f>IF(ISERROR(VLOOKUP($A120,ESPNData!$AH:$AU,10,0)),"",VLOOKUP($A120,ESPNData!$AH:$AU,10,0))</f>
        <v>0</v>
      </c>
      <c r="K120" s="33">
        <f>IF(ISERROR(VLOOKUP($A120,ESPNData!$AH:$AU,11,0)),"",VLOOKUP($A120,ESPNData!$AH:$AU,11,0))</f>
        <v>0</v>
      </c>
      <c r="L120" s="33">
        <f>IF(ISERROR(VLOOKUP($A120,ESPNData!$AH:$AU,12,0)),"",VLOOKUP($A120,ESPNData!$AH:$AU,12,0))</f>
        <v>0</v>
      </c>
      <c r="M120" s="64">
        <f>IF(ISERROR(VLOOKUP($A120,ESPNData!$AH:$AU,13,0)),"",VLOOKUP($A120,ESPNData!$AH:$AU,13,0))</f>
        <v>0</v>
      </c>
      <c r="N120" s="117">
        <f>IF(OR(($A120=Settings!$A$31),($A120=Settings!$A$32),ISERROR(VLOOKUP($B120,SportslineData!$AD:$AK,3,0))),"",ROUND(VLOOKUP($B120,SportslineData!$AD:$AK,3,0),0))</f>
        <v>24</v>
      </c>
      <c r="O120" s="33">
        <f>IF(OR(($A120=Settings!$A$31),($A120=Settings!$A$32),ISERROR(VLOOKUP($B120,SportslineData!$AD:$AK,4,0))),"",VLOOKUP($B120,SportslineData!$AD:$AK,4,0))</f>
        <v>286</v>
      </c>
      <c r="P120" s="33">
        <f>IF(OR(($A120=Settings!$A$31),($A120=Settings!$A$32),ISERROR(VLOOKUP($B120,SportslineData!$AD:$AK,6,0))),"",ROUND(VLOOKUP($B120,SportslineData!$AD:$AK,6,0),0))</f>
        <v>1</v>
      </c>
      <c r="Q120" s="64">
        <f>IF(OR(($A120=Settings!$A$31),($A120=Settings!$A$32),ISERROR(VLOOKUP($B120,SportslineData!$AD:$AK,7,0))),"",ROUND(VLOOKUP($B120,SportslineData!$AD:$AK,7,0),0))</f>
        <v>0</v>
      </c>
      <c r="R120" s="117"/>
      <c r="S120" s="33"/>
      <c r="T120" s="38">
        <f>IF(ISERROR(ROUND((((((ROUNDDOWN((D120/5),0)*Settings!$F$7)+(E120*Settings!$I$7))+(F120*Settings!$I$11))+(ROUNDDOWN((G120/5),0)*Settings!$F$11))+(H120*Settings!$F$12)),1)),0,ROUND((((((ROUNDDOWN((D120/5),0)*Settings!$F$7)+(E120*Settings!$I$7))+(F120*Settings!$I$11))+(ROUNDDOWN((G120/5),0)*Settings!$F$11))+(H120*Settings!$F$12)),1))</f>
        <v>35.5</v>
      </c>
      <c r="U120" s="38">
        <f>IF(ISERROR(ROUND((((((ROUNDDOWN((I120/5),0)*Settings!$F$7)+(J120*Settings!$I$7))+(K120*Settings!$I$11))+(ROUNDDOWN((L120/5),0)*Settings!$F$11))+(M120*Settings!$F$12)),1)),0,ROUND((((((ROUNDDOWN((I120/5),0)*Settings!$F$7)+(J120*Settings!$I$7))+(K120*Settings!$I$11))+(ROUNDDOWN((L120/5),0)*Settings!$F$11))+(M120*Settings!$F$12)),1))</f>
        <v>0</v>
      </c>
      <c r="V120" s="38">
        <f>IF((N120=""),0,((((N120*Settings!$I$11)+(ROUND((O120/5),0)*Settings!$F$11))+(P120*Settings!$F$12))+(Q120*Settings!$F$15)))</f>
        <v>46.5</v>
      </c>
      <c r="W120" s="66">
        <f>ROUND((((T120*Settings!$B$21)+(U120*Settings!$B$22))+(V120*Settings!$B$23)),1)</f>
        <v>27.5</v>
      </c>
      <c r="X120" s="66">
        <f>IF(ISERROR(VLOOKUP(RANK(W120,W$4:W$182),X$4:X119,1,0)),RANK(W120,W$4:W$182),IF(ISERROR(VLOOKUP((RANK(W120,W$4:W$182)+1),X$4:X119,1,0)),(RANK(W120,W$4:W$182)+1),IF(ISERROR(VLOOKUP((RANK(W120,W$4:W$182)+2),X$4:X119,1,0)),(RANK(W120,W$4:W$182)+2),(RANK(W120,W$4:W$182)+3))))</f>
        <v>117</v>
      </c>
      <c r="Y120" t="str">
        <f t="shared" si="11"/>
        <v>Andre Caldwell</v>
      </c>
    </row>
    <row r="121" spans="1:25" ht="12.75" customHeight="1">
      <c r="A121" s="33" t="str">
        <f>ESPNData!AH124</f>
        <v>Travis Benjamin, Cle WR  P</v>
      </c>
      <c r="B121" s="33" t="str">
        <f t="shared" si="9"/>
        <v>Travis Benjamin</v>
      </c>
      <c r="C121" s="64" t="str">
        <f t="shared" si="10"/>
        <v>CLE</v>
      </c>
      <c r="D121" s="117" t="str">
        <f>IF(OR(($A121=Settings!$A$31),($A121=Settings!$A$32),ISERROR(VLOOKUP($B121,FFTodayData!$AB:$AK,8,0))),"",VLOOKUP($B121,FFTodayData!$AB:$AK,8,0))</f>
        <v/>
      </c>
      <c r="E121" s="33" t="str">
        <f>IF(OR(($A121=Settings!$A$31),($A121=Settings!$A$32),ISERROR(VLOOKUP($B121,FFTodayData!$AB:$AK,9,0))),"",VLOOKUP($B121,FFTodayData!$AB:$AK,9,0))</f>
        <v/>
      </c>
      <c r="F121" s="33" t="str">
        <f>IF(OR(($A121=Settings!$A$31),($A121=Settings!$A$32),ISERROR(VLOOKUP($B121,FFTodayData!$AB:$AK,4,0))),"",VLOOKUP($B121,FFTodayData!$AB:$AK,4,0))</f>
        <v/>
      </c>
      <c r="G121" s="33" t="str">
        <f>IF(OR(($A121=Settings!$A$31),($A121=Settings!$A$32),ISERROR(VLOOKUP($B121,FFTodayData!$AB:$AK,5,0))),"",VLOOKUP($B121,FFTodayData!$AB:$AK,5,0))</f>
        <v/>
      </c>
      <c r="H121" s="64" t="str">
        <f>IF(OR(($A121=Settings!$A$31),($A121=Settings!$A$32),ISERROR(VLOOKUP($B121,FFTodayData!$AB:$AK,6,0))),"",VLOOKUP($B121,FFTodayData!$AB:$AK,6,0))</f>
        <v/>
      </c>
      <c r="I121" s="117">
        <f>IF(ISERROR(VLOOKUP($A121,ESPNData!$AH:$AU,9,0)),"",VLOOKUP($A121,ESPNData!$AH:$AU,9,0))</f>
        <v>0</v>
      </c>
      <c r="J121" s="33">
        <f>IF(ISERROR(VLOOKUP($A121,ESPNData!$AH:$AU,10,0)),"",VLOOKUP($A121,ESPNData!$AH:$AU,10,0))</f>
        <v>0</v>
      </c>
      <c r="K121" s="33">
        <f>IF(ISERROR(VLOOKUP($A121,ESPNData!$AH:$AU,11,0)),"",VLOOKUP($A121,ESPNData!$AH:$AU,11,0))</f>
        <v>0</v>
      </c>
      <c r="L121" s="33">
        <f>IF(ISERROR(VLOOKUP($A121,ESPNData!$AH:$AU,12,0)),"",VLOOKUP($A121,ESPNData!$AH:$AU,12,0))</f>
        <v>0</v>
      </c>
      <c r="M121" s="64">
        <f>IF(ISERROR(VLOOKUP($A121,ESPNData!$AH:$AU,13,0)),"",VLOOKUP($A121,ESPNData!$AH:$AU,13,0))</f>
        <v>0</v>
      </c>
      <c r="N121" s="117">
        <f>IF(OR(($A121=Settings!$A$31),($A121=Settings!$A$32),ISERROR(VLOOKUP($B121,SportslineData!$AD:$AK,3,0))),"",ROUND(VLOOKUP($B121,SportslineData!$AD:$AK,3,0),0))</f>
        <v>16</v>
      </c>
      <c r="O121" s="33">
        <f>IF(OR(($A121=Settings!$A$31),($A121=Settings!$A$32),ISERROR(VLOOKUP($B121,SportslineData!$AD:$AK,4,0))),"",VLOOKUP($B121,SportslineData!$AD:$AK,4,0))</f>
        <v>230.5</v>
      </c>
      <c r="P121" s="33">
        <f>IF(OR(($A121=Settings!$A$31),($A121=Settings!$A$32),ISERROR(VLOOKUP($B121,SportslineData!$AD:$AK,6,0))),"",ROUND(VLOOKUP($B121,SportslineData!$AD:$AK,6,0),0))</f>
        <v>2</v>
      </c>
      <c r="Q121" s="64">
        <f>IF(OR(($A121=Settings!$A$31),($A121=Settings!$A$32),ISERROR(VLOOKUP($B121,SportslineData!$AD:$AK,7,0))),"",ROUND(VLOOKUP($B121,SportslineData!$AD:$AK,7,0),0))</f>
        <v>1</v>
      </c>
      <c r="R121" s="117"/>
      <c r="S121" s="33"/>
      <c r="T121" s="38">
        <f>IF(ISERROR(ROUND((((((ROUNDDOWN((D121/5),0)*Settings!$F$7)+(E121*Settings!$I$7))+(F121*Settings!$I$11))+(ROUNDDOWN((G121/5),0)*Settings!$F$11))+(H121*Settings!$F$12)),1)),0,ROUND((((((ROUNDDOWN((D121/5),0)*Settings!$F$7)+(E121*Settings!$I$7))+(F121*Settings!$I$11))+(ROUNDDOWN((G121/5),0)*Settings!$F$11))+(H121*Settings!$F$12)),1))</f>
        <v>0</v>
      </c>
      <c r="U121" s="38">
        <f>IF(ISERROR(ROUND((((((ROUNDDOWN((I121/5),0)*Settings!$F$7)+(J121*Settings!$I$7))+(K121*Settings!$I$11))+(ROUNDDOWN((L121/5),0)*Settings!$F$11))+(M121*Settings!$F$12)),1)),0,ROUND((((((ROUNDDOWN((I121/5),0)*Settings!$F$7)+(J121*Settings!$I$7))+(K121*Settings!$I$11))+(ROUNDDOWN((L121/5),0)*Settings!$F$11))+(M121*Settings!$F$12)),1))</f>
        <v>0</v>
      </c>
      <c r="V121" s="38">
        <f>IF((N121=""),0,((((N121*Settings!$I$11)+(ROUND((O121/5),0)*Settings!$F$11))+(P121*Settings!$F$12))+(Q121*Settings!$F$15)))</f>
        <v>42</v>
      </c>
      <c r="W121" s="66">
        <f>ROUND((((T121*Settings!$B$21)+(U121*Settings!$B$22))+(V121*Settings!$B$23)),1)</f>
        <v>14.3</v>
      </c>
      <c r="X121" s="66">
        <f>IF(ISERROR(VLOOKUP(RANK(W121,W$4:W$182),X$4:X120,1,0)),RANK(W121,W$4:W$182),IF(ISERROR(VLOOKUP((RANK(W121,W$4:W$182)+1),X$4:X120,1,0)),(RANK(W121,W$4:W$182)+1),IF(ISERROR(VLOOKUP((RANK(W121,W$4:W$182)+2),X$4:X120,1,0)),(RANK(W121,W$4:W$182)+2),(RANK(W121,W$4:W$182)+3))))</f>
        <v>140</v>
      </c>
      <c r="Y121" t="str">
        <f t="shared" si="11"/>
        <v>Travis Benjamin</v>
      </c>
    </row>
    <row r="122" spans="1:25" ht="12.75" customHeight="1">
      <c r="A122" s="33" t="str">
        <f>ESPNData!AH125</f>
        <v>Robert Meachem, NO WR</v>
      </c>
      <c r="B122" s="33" t="str">
        <f t="shared" si="9"/>
        <v>Robert Meachem</v>
      </c>
      <c r="C122" s="64" t="str">
        <f t="shared" si="10"/>
        <v>NO</v>
      </c>
      <c r="D122" s="117" t="str">
        <f>IF(OR(($A122=Settings!$A$31),($A122=Settings!$A$32),ISERROR(VLOOKUP($B122,FFTodayData!$AB:$AK,8,0))),"",VLOOKUP($B122,FFTodayData!$AB:$AK,8,0))</f>
        <v/>
      </c>
      <c r="E122" s="33" t="str">
        <f>IF(OR(($A122=Settings!$A$31),($A122=Settings!$A$32),ISERROR(VLOOKUP($B122,FFTodayData!$AB:$AK,9,0))),"",VLOOKUP($B122,FFTodayData!$AB:$AK,9,0))</f>
        <v/>
      </c>
      <c r="F122" s="33" t="str">
        <f>IF(OR(($A122=Settings!$A$31),($A122=Settings!$A$32),ISERROR(VLOOKUP($B122,FFTodayData!$AB:$AK,4,0))),"",VLOOKUP($B122,FFTodayData!$AB:$AK,4,0))</f>
        <v/>
      </c>
      <c r="G122" s="33" t="str">
        <f>IF(OR(($A122=Settings!$A$31),($A122=Settings!$A$32),ISERROR(VLOOKUP($B122,FFTodayData!$AB:$AK,5,0))),"",VLOOKUP($B122,FFTodayData!$AB:$AK,5,0))</f>
        <v/>
      </c>
      <c r="H122" s="64" t="str">
        <f>IF(OR(($A122=Settings!$A$31),($A122=Settings!$A$32),ISERROR(VLOOKUP($B122,FFTodayData!$AB:$AK,6,0))),"",VLOOKUP($B122,FFTodayData!$AB:$AK,6,0))</f>
        <v/>
      </c>
      <c r="I122" s="117">
        <f>IF(ISERROR(VLOOKUP($A122,ESPNData!$AH:$AU,9,0)),"",VLOOKUP($A122,ESPNData!$AH:$AU,9,0))</f>
        <v>0</v>
      </c>
      <c r="J122" s="33">
        <f>IF(ISERROR(VLOOKUP($A122,ESPNData!$AH:$AU,10,0)),"",VLOOKUP($A122,ESPNData!$AH:$AU,10,0))</f>
        <v>0</v>
      </c>
      <c r="K122" s="33">
        <f>IF(ISERROR(VLOOKUP($A122,ESPNData!$AH:$AU,11,0)),"",VLOOKUP($A122,ESPNData!$AH:$AU,11,0))</f>
        <v>0</v>
      </c>
      <c r="L122" s="33">
        <f>IF(ISERROR(VLOOKUP($A122,ESPNData!$AH:$AU,12,0)),"",VLOOKUP($A122,ESPNData!$AH:$AU,12,0))</f>
        <v>0</v>
      </c>
      <c r="M122" s="64">
        <f>IF(ISERROR(VLOOKUP($A122,ESPNData!$AH:$AU,13,0)),"",VLOOKUP($A122,ESPNData!$AH:$AU,13,0))</f>
        <v>0</v>
      </c>
      <c r="N122" s="117">
        <f>IF(OR(($A122=Settings!$A$31),($A122=Settings!$A$32),ISERROR(VLOOKUP($B122,SportslineData!$AD:$AK,3,0))),"",ROUND(VLOOKUP($B122,SportslineData!$AD:$AK,3,0),0))</f>
        <v>18</v>
      </c>
      <c r="O122" s="33">
        <f>IF(OR(($A122=Settings!$A$31),($A122=Settings!$A$32),ISERROR(VLOOKUP($B122,SportslineData!$AD:$AK,4,0))),"",VLOOKUP($B122,SportslineData!$AD:$AK,4,0))</f>
        <v>340</v>
      </c>
      <c r="P122" s="33">
        <f>IF(OR(($A122=Settings!$A$31),($A122=Settings!$A$32),ISERROR(VLOOKUP($B122,SportslineData!$AD:$AK,6,0))),"",ROUND(VLOOKUP($B122,SportslineData!$AD:$AK,6,0),0))</f>
        <v>2</v>
      </c>
      <c r="Q122" s="64">
        <f>IF(OR(($A122=Settings!$A$31),($A122=Settings!$A$32),ISERROR(VLOOKUP($B122,SportslineData!$AD:$AK,7,0))),"",ROUND(VLOOKUP($B122,SportslineData!$AD:$AK,7,0),0))</f>
        <v>0</v>
      </c>
      <c r="R122" s="117"/>
      <c r="S122" s="33"/>
      <c r="T122" s="38">
        <f>IF(ISERROR(ROUND((((((ROUNDDOWN((D122/5),0)*Settings!$F$7)+(E122*Settings!$I$7))+(F122*Settings!$I$11))+(ROUNDDOWN((G122/5),0)*Settings!$F$11))+(H122*Settings!$F$12)),1)),0,ROUND((((((ROUNDDOWN((D122/5),0)*Settings!$F$7)+(E122*Settings!$I$7))+(F122*Settings!$I$11))+(ROUNDDOWN((G122/5),0)*Settings!$F$11))+(H122*Settings!$F$12)),1))</f>
        <v>0</v>
      </c>
      <c r="U122" s="38">
        <f>IF(ISERROR(ROUND((((((ROUNDDOWN((I122/5),0)*Settings!$F$7)+(J122*Settings!$I$7))+(K122*Settings!$I$11))+(ROUNDDOWN((L122/5),0)*Settings!$F$11))+(M122*Settings!$F$12)),1)),0,ROUND((((((ROUNDDOWN((I122/5),0)*Settings!$F$7)+(J122*Settings!$I$7))+(K122*Settings!$I$11))+(ROUNDDOWN((L122/5),0)*Settings!$F$11))+(M122*Settings!$F$12)),1))</f>
        <v>0</v>
      </c>
      <c r="V122" s="38">
        <f>IF((N122=""),0,((((N122*Settings!$I$11)+(ROUND((O122/5),0)*Settings!$F$11))+(P122*Settings!$F$12))+(Q122*Settings!$F$15)))</f>
        <v>55</v>
      </c>
      <c r="W122" s="66">
        <f>ROUND((((T122*Settings!$B$21)+(U122*Settings!$B$22))+(V122*Settings!$B$23)),1)</f>
        <v>18.7</v>
      </c>
      <c r="X122" s="66">
        <f>IF(ISERROR(VLOOKUP(RANK(W122,W$4:W$182),X$4:X121,1,0)),RANK(W122,W$4:W$182),IF(ISERROR(VLOOKUP((RANK(W122,W$4:W$182)+1),X$4:X121,1,0)),(RANK(W122,W$4:W$182)+1),IF(ISERROR(VLOOKUP((RANK(W122,W$4:W$182)+2),X$4:X121,1,0)),(RANK(W122,W$4:W$182)+2),(RANK(W122,W$4:W$182)+3))))</f>
        <v>129</v>
      </c>
      <c r="Y122" t="str">
        <f t="shared" si="11"/>
        <v>Robert Meachem</v>
      </c>
    </row>
    <row r="123" spans="1:25" ht="12.75" customHeight="1">
      <c r="A123" s="33" t="str">
        <f>ESPNData!AH126</f>
        <v>Mike Brown, Jac WR</v>
      </c>
      <c r="B123" s="33" t="str">
        <f t="shared" si="9"/>
        <v>Mike Brown</v>
      </c>
      <c r="C123" s="64" t="str">
        <f t="shared" si="10"/>
        <v>JAC</v>
      </c>
      <c r="D123" s="117" t="str">
        <f>IF(OR(($A123=Settings!$A$31),($A123=Settings!$A$32),ISERROR(VLOOKUP($B123,FFTodayData!$AB:$AK,8,0))),"",VLOOKUP($B123,FFTodayData!$AB:$AK,8,0))</f>
        <v/>
      </c>
      <c r="E123" s="33" t="str">
        <f>IF(OR(($A123=Settings!$A$31),($A123=Settings!$A$32),ISERROR(VLOOKUP($B123,FFTodayData!$AB:$AK,9,0))),"",VLOOKUP($B123,FFTodayData!$AB:$AK,9,0))</f>
        <v/>
      </c>
      <c r="F123" s="33" t="str">
        <f>IF(OR(($A123=Settings!$A$31),($A123=Settings!$A$32),ISERROR(VLOOKUP($B123,FFTodayData!$AB:$AK,4,0))),"",VLOOKUP($B123,FFTodayData!$AB:$AK,4,0))</f>
        <v/>
      </c>
      <c r="G123" s="33" t="str">
        <f>IF(OR(($A123=Settings!$A$31),($A123=Settings!$A$32),ISERROR(VLOOKUP($B123,FFTodayData!$AB:$AK,5,0))),"",VLOOKUP($B123,FFTodayData!$AB:$AK,5,0))</f>
        <v/>
      </c>
      <c r="H123" s="64" t="str">
        <f>IF(OR(($A123=Settings!$A$31),($A123=Settings!$A$32),ISERROR(VLOOKUP($B123,FFTodayData!$AB:$AK,6,0))),"",VLOOKUP($B123,FFTodayData!$AB:$AK,6,0))</f>
        <v/>
      </c>
      <c r="I123" s="117">
        <f>IF(ISERROR(VLOOKUP($A123,ESPNData!$AH:$AU,9,0)),"",VLOOKUP($A123,ESPNData!$AH:$AU,9,0))</f>
        <v>0</v>
      </c>
      <c r="J123" s="33">
        <f>IF(ISERROR(VLOOKUP($A123,ESPNData!$AH:$AU,10,0)),"",VLOOKUP($A123,ESPNData!$AH:$AU,10,0))</f>
        <v>0</v>
      </c>
      <c r="K123" s="33">
        <f>IF(ISERROR(VLOOKUP($A123,ESPNData!$AH:$AU,11,0)),"",VLOOKUP($A123,ESPNData!$AH:$AU,11,0))</f>
        <v>0</v>
      </c>
      <c r="L123" s="33">
        <f>IF(ISERROR(VLOOKUP($A123,ESPNData!$AH:$AU,12,0)),"",VLOOKUP($A123,ESPNData!$AH:$AU,12,0))</f>
        <v>0</v>
      </c>
      <c r="M123" s="64">
        <f>IF(ISERROR(VLOOKUP($A123,ESPNData!$AH:$AU,13,0)),"",VLOOKUP($A123,ESPNData!$AH:$AU,13,0))</f>
        <v>0</v>
      </c>
      <c r="N123" s="117">
        <f>IF(OR(($A123=Settings!$A$31),($A123=Settings!$A$32),ISERROR(VLOOKUP($B123,SportslineData!$AD:$AK,3,0))),"",ROUND(VLOOKUP($B123,SportslineData!$AD:$AK,3,0),0))</f>
        <v>24</v>
      </c>
      <c r="O123" s="33">
        <f>IF(OR(($A123=Settings!$A$31),($A123=Settings!$A$32),ISERROR(VLOOKUP($B123,SportslineData!$AD:$AK,4,0))),"",VLOOKUP($B123,SportslineData!$AD:$AK,4,0))</f>
        <v>330</v>
      </c>
      <c r="P123" s="33">
        <f>IF(OR(($A123=Settings!$A$31),($A123=Settings!$A$32),ISERROR(VLOOKUP($B123,SportslineData!$AD:$AK,6,0))),"",ROUND(VLOOKUP($B123,SportslineData!$AD:$AK,6,0),0))</f>
        <v>1</v>
      </c>
      <c r="Q123" s="64">
        <f>IF(OR(($A123=Settings!$A$31),($A123=Settings!$A$32),ISERROR(VLOOKUP($B123,SportslineData!$AD:$AK,7,0))),"",ROUND(VLOOKUP($B123,SportslineData!$AD:$AK,7,0),0))</f>
        <v>0</v>
      </c>
      <c r="R123" s="117"/>
      <c r="S123" s="33"/>
      <c r="T123" s="38">
        <f>IF(ISERROR(ROUND((((((ROUNDDOWN((D123/5),0)*Settings!$F$7)+(E123*Settings!$I$7))+(F123*Settings!$I$11))+(ROUNDDOWN((G123/5),0)*Settings!$F$11))+(H123*Settings!$F$12)),1)),0,ROUND((((((ROUNDDOWN((D123/5),0)*Settings!$F$7)+(E123*Settings!$I$7))+(F123*Settings!$I$11))+(ROUNDDOWN((G123/5),0)*Settings!$F$11))+(H123*Settings!$F$12)),1))</f>
        <v>0</v>
      </c>
      <c r="U123" s="38">
        <f>IF(ISERROR(ROUND((((((ROUNDDOWN((I123/5),0)*Settings!$F$7)+(J123*Settings!$I$7))+(K123*Settings!$I$11))+(ROUNDDOWN((L123/5),0)*Settings!$F$11))+(M123*Settings!$F$12)),1)),0,ROUND((((((ROUNDDOWN((I123/5),0)*Settings!$F$7)+(J123*Settings!$I$7))+(K123*Settings!$I$11))+(ROUNDDOWN((L123/5),0)*Settings!$F$11))+(M123*Settings!$F$12)),1))</f>
        <v>0</v>
      </c>
      <c r="V123" s="38">
        <f>IF((N123=""),0,((((N123*Settings!$I$11)+(ROUND((O123/5),0)*Settings!$F$11))+(P123*Settings!$F$12))+(Q123*Settings!$F$15)))</f>
        <v>51</v>
      </c>
      <c r="W123" s="66">
        <f>ROUND((((T123*Settings!$B$21)+(U123*Settings!$B$22))+(V123*Settings!$B$23)),1)</f>
        <v>17.3</v>
      </c>
      <c r="X123" s="66">
        <f>IF(ISERROR(VLOOKUP(RANK(W123,W$4:W$182),X$4:X122,1,0)),RANK(W123,W$4:W$182),IF(ISERROR(VLOOKUP((RANK(W123,W$4:W$182)+1),X$4:X122,1,0)),(RANK(W123,W$4:W$182)+1),IF(ISERROR(VLOOKUP((RANK(W123,W$4:W$182)+2),X$4:X122,1,0)),(RANK(W123,W$4:W$182)+2),(RANK(W123,W$4:W$182)+3))))</f>
        <v>134</v>
      </c>
      <c r="Y123" t="str">
        <f t="shared" si="11"/>
        <v>Mike Brown</v>
      </c>
    </row>
    <row r="124" spans="1:25" ht="12.75" customHeight="1">
      <c r="A124" s="33" t="str">
        <f>ESPNData!AH129</f>
        <v>Joe Morgan, NO WR</v>
      </c>
      <c r="B124" s="33" t="str">
        <f t="shared" si="9"/>
        <v>Joe Morgan</v>
      </c>
      <c r="C124" s="64" t="str">
        <f t="shared" si="10"/>
        <v>NO</v>
      </c>
      <c r="D124" s="117" t="str">
        <f>IF(OR(($A124=Settings!$A$31),($A124=Settings!$A$32),ISERROR(VLOOKUP($B124,FFTodayData!$AB:$AK,8,0))),"",VLOOKUP($B124,FFTodayData!$AB:$AK,8,0))</f>
        <v/>
      </c>
      <c r="E124" s="33" t="str">
        <f>IF(OR(($A124=Settings!$A$31),($A124=Settings!$A$32),ISERROR(VLOOKUP($B124,FFTodayData!$AB:$AK,9,0))),"",VLOOKUP($B124,FFTodayData!$AB:$AK,9,0))</f>
        <v/>
      </c>
      <c r="F124" s="33" t="str">
        <f>IF(OR(($A124=Settings!$A$31),($A124=Settings!$A$32),ISERROR(VLOOKUP($B124,FFTodayData!$AB:$AK,4,0))),"",VLOOKUP($B124,FFTodayData!$AB:$AK,4,0))</f>
        <v/>
      </c>
      <c r="G124" s="33" t="str">
        <f>IF(OR(($A124=Settings!$A$31),($A124=Settings!$A$32),ISERROR(VLOOKUP($B124,FFTodayData!$AB:$AK,5,0))),"",VLOOKUP($B124,FFTodayData!$AB:$AK,5,0))</f>
        <v/>
      </c>
      <c r="H124" s="64" t="str">
        <f>IF(OR(($A124=Settings!$A$31),($A124=Settings!$A$32),ISERROR(VLOOKUP($B124,FFTodayData!$AB:$AK,6,0))),"",VLOOKUP($B124,FFTodayData!$AB:$AK,6,0))</f>
        <v/>
      </c>
      <c r="I124" s="117">
        <f>IF(ISERROR(VLOOKUP($A124,ESPNData!$AH:$AU,9,0)),"",VLOOKUP($A124,ESPNData!$AH:$AU,9,0))</f>
        <v>0</v>
      </c>
      <c r="J124" s="33">
        <f>IF(ISERROR(VLOOKUP($A124,ESPNData!$AH:$AU,10,0)),"",VLOOKUP($A124,ESPNData!$AH:$AU,10,0))</f>
        <v>0</v>
      </c>
      <c r="K124" s="33">
        <f>IF(ISERROR(VLOOKUP($A124,ESPNData!$AH:$AU,11,0)),"",VLOOKUP($A124,ESPNData!$AH:$AU,11,0))</f>
        <v>0</v>
      </c>
      <c r="L124" s="33">
        <f>IF(ISERROR(VLOOKUP($A124,ESPNData!$AH:$AU,12,0)),"",VLOOKUP($A124,ESPNData!$AH:$AU,12,0))</f>
        <v>0</v>
      </c>
      <c r="M124" s="64">
        <f>IF(ISERROR(VLOOKUP($A124,ESPNData!$AH:$AU,13,0)),"",VLOOKUP($A124,ESPNData!$AH:$AU,13,0))</f>
        <v>0</v>
      </c>
      <c r="N124" s="117">
        <f>IF(OR(($A124=Settings!$A$31),($A124=Settings!$A$32),ISERROR(VLOOKUP($B124,SportslineData!$AD:$AK,3,0))),"",ROUND(VLOOKUP($B124,SportslineData!$AD:$AK,3,0),0))</f>
        <v>14</v>
      </c>
      <c r="O124" s="33">
        <f>IF(OR(($A124=Settings!$A$31),($A124=Settings!$A$32),ISERROR(VLOOKUP($B124,SportslineData!$AD:$AK,4,0))),"",VLOOKUP($B124,SportslineData!$AD:$AK,4,0))</f>
        <v>241</v>
      </c>
      <c r="P124" s="33">
        <f>IF(OR(($A124=Settings!$A$31),($A124=Settings!$A$32),ISERROR(VLOOKUP($B124,SportslineData!$AD:$AK,6,0))),"",ROUND(VLOOKUP($B124,SportslineData!$AD:$AK,6,0),0))</f>
        <v>2</v>
      </c>
      <c r="Q124" s="64">
        <f>IF(OR(($A124=Settings!$A$31),($A124=Settings!$A$32),ISERROR(VLOOKUP($B124,SportslineData!$AD:$AK,7,0))),"",ROUND(VLOOKUP($B124,SportslineData!$AD:$AK,7,0),0))</f>
        <v>0</v>
      </c>
      <c r="R124" s="117"/>
      <c r="S124" s="33"/>
      <c r="T124" s="38">
        <f>IF(ISERROR(ROUND((((((ROUNDDOWN((D124/5),0)*Settings!$F$7)+(E124*Settings!$I$7))+(F124*Settings!$I$11))+(ROUNDDOWN((G124/5),0)*Settings!$F$11))+(H124*Settings!$F$12)),1)),0,ROUND((((((ROUNDDOWN((D124/5),0)*Settings!$F$7)+(E124*Settings!$I$7))+(F124*Settings!$I$11))+(ROUNDDOWN((G124/5),0)*Settings!$F$11))+(H124*Settings!$F$12)),1))</f>
        <v>0</v>
      </c>
      <c r="U124" s="38">
        <f>IF(ISERROR(ROUND((((((ROUNDDOWN((I124/5),0)*Settings!$F$7)+(J124*Settings!$I$7))+(K124*Settings!$I$11))+(ROUNDDOWN((L124/5),0)*Settings!$F$11))+(M124*Settings!$F$12)),1)),0,ROUND((((((ROUNDDOWN((I124/5),0)*Settings!$F$7)+(J124*Settings!$I$7))+(K124*Settings!$I$11))+(ROUNDDOWN((L124/5),0)*Settings!$F$11))+(M124*Settings!$F$12)),1))</f>
        <v>0</v>
      </c>
      <c r="V124" s="38">
        <f>IF((N124=""),0,((((N124*Settings!$I$11)+(ROUND((O124/5),0)*Settings!$F$11))+(P124*Settings!$F$12))+(Q124*Settings!$F$15)))</f>
        <v>43</v>
      </c>
      <c r="W124" s="66">
        <f>ROUND((((T124*Settings!$B$21)+(U124*Settings!$B$22))+(V124*Settings!$B$23)),1)</f>
        <v>14.6</v>
      </c>
      <c r="X124" s="66">
        <f>IF(ISERROR(VLOOKUP(RANK(W124,W$4:W$182),X$4:X123,1,0)),RANK(W124,W$4:W$182),IF(ISERROR(VLOOKUP((RANK(W124,W$4:W$182)+1),X$4:X123,1,0)),(RANK(W124,W$4:W$182)+1),IF(ISERROR(VLOOKUP((RANK(W124,W$4:W$182)+2),X$4:X123,1,0)),(RANK(W124,W$4:W$182)+2),(RANK(W124,W$4:W$182)+3))))</f>
        <v>138</v>
      </c>
      <c r="Y124" t="str">
        <f t="shared" si="11"/>
        <v>Joe Morgan</v>
      </c>
    </row>
    <row r="125" spans="1:25" ht="12.75" customHeight="1">
      <c r="A125" s="33" t="str">
        <f>ESPNData!AH130</f>
        <v>Quinton Patton, SF WR</v>
      </c>
      <c r="B125" s="33" t="str">
        <f t="shared" si="9"/>
        <v>Quinton Patton</v>
      </c>
      <c r="C125" s="64" t="str">
        <f t="shared" si="10"/>
        <v>SF</v>
      </c>
      <c r="D125" s="117" t="str">
        <f>IF(OR(($A125=Settings!$A$31),($A125=Settings!$A$32),ISERROR(VLOOKUP($B125,FFTodayData!$AB:$AK,8,0))),"",VLOOKUP($B125,FFTodayData!$AB:$AK,8,0))</f>
        <v/>
      </c>
      <c r="E125" s="33" t="str">
        <f>IF(OR(($A125=Settings!$A$31),($A125=Settings!$A$32),ISERROR(VLOOKUP($B125,FFTodayData!$AB:$AK,9,0))),"",VLOOKUP($B125,FFTodayData!$AB:$AK,9,0))</f>
        <v/>
      </c>
      <c r="F125" s="33" t="str">
        <f>IF(OR(($A125=Settings!$A$31),($A125=Settings!$A$32),ISERROR(VLOOKUP($B125,FFTodayData!$AB:$AK,4,0))),"",VLOOKUP($B125,FFTodayData!$AB:$AK,4,0))</f>
        <v/>
      </c>
      <c r="G125" s="33" t="str">
        <f>IF(OR(($A125=Settings!$A$31),($A125=Settings!$A$32),ISERROR(VLOOKUP($B125,FFTodayData!$AB:$AK,5,0))),"",VLOOKUP($B125,FFTodayData!$AB:$AK,5,0))</f>
        <v/>
      </c>
      <c r="H125" s="64" t="str">
        <f>IF(OR(($A125=Settings!$A$31),($A125=Settings!$A$32),ISERROR(VLOOKUP($B125,FFTodayData!$AB:$AK,6,0))),"",VLOOKUP($B125,FFTodayData!$AB:$AK,6,0))</f>
        <v/>
      </c>
      <c r="I125" s="117">
        <f>IF(ISERROR(VLOOKUP($A125,ESPNData!$AH:$AU,9,0)),"",VLOOKUP($A125,ESPNData!$AH:$AU,9,0))</f>
        <v>0</v>
      </c>
      <c r="J125" s="33">
        <f>IF(ISERROR(VLOOKUP($A125,ESPNData!$AH:$AU,10,0)),"",VLOOKUP($A125,ESPNData!$AH:$AU,10,0))</f>
        <v>0</v>
      </c>
      <c r="K125" s="33">
        <f>IF(ISERROR(VLOOKUP($A125,ESPNData!$AH:$AU,11,0)),"",VLOOKUP($A125,ESPNData!$AH:$AU,11,0))</f>
        <v>0</v>
      </c>
      <c r="L125" s="33">
        <f>IF(ISERROR(VLOOKUP($A125,ESPNData!$AH:$AU,12,0)),"",VLOOKUP($A125,ESPNData!$AH:$AU,12,0))</f>
        <v>0</v>
      </c>
      <c r="M125" s="64">
        <f>IF(ISERROR(VLOOKUP($A125,ESPNData!$AH:$AU,13,0)),"",VLOOKUP($A125,ESPNData!$AH:$AU,13,0))</f>
        <v>0</v>
      </c>
      <c r="N125" s="117">
        <f>IF(OR(($A125=Settings!$A$31),($A125=Settings!$A$32),ISERROR(VLOOKUP($B125,SportslineData!$AD:$AK,3,0))),"",ROUND(VLOOKUP($B125,SportslineData!$AD:$AK,3,0),0))</f>
        <v>18</v>
      </c>
      <c r="O125" s="33">
        <f>IF(OR(($A125=Settings!$A$31),($A125=Settings!$A$32),ISERROR(VLOOKUP($B125,SportslineData!$AD:$AK,4,0))),"",VLOOKUP($B125,SportslineData!$AD:$AK,4,0))</f>
        <v>232</v>
      </c>
      <c r="P125" s="33">
        <f>IF(OR(($A125=Settings!$A$31),($A125=Settings!$A$32),ISERROR(VLOOKUP($B125,SportslineData!$AD:$AK,6,0))),"",ROUND(VLOOKUP($B125,SportslineData!$AD:$AK,6,0),0))</f>
        <v>1</v>
      </c>
      <c r="Q125" s="64">
        <f>IF(OR(($A125=Settings!$A$31),($A125=Settings!$A$32),ISERROR(VLOOKUP($B125,SportslineData!$AD:$AK,7,0))),"",ROUND(VLOOKUP($B125,SportslineData!$AD:$AK,7,0),0))</f>
        <v>1</v>
      </c>
      <c r="R125" s="117"/>
      <c r="S125" s="33"/>
      <c r="T125" s="38">
        <f>IF(ISERROR(ROUND((((((ROUNDDOWN((D125/5),0)*Settings!$F$7)+(E125*Settings!$I$7))+(F125*Settings!$I$11))+(ROUNDDOWN((G125/5),0)*Settings!$F$11))+(H125*Settings!$F$12)),1)),0,ROUND((((((ROUNDDOWN((D125/5),0)*Settings!$F$7)+(E125*Settings!$I$7))+(F125*Settings!$I$11))+(ROUNDDOWN((G125/5),0)*Settings!$F$11))+(H125*Settings!$F$12)),1))</f>
        <v>0</v>
      </c>
      <c r="U125" s="38">
        <f>IF(ISERROR(ROUND((((((ROUNDDOWN((I125/5),0)*Settings!$F$7)+(J125*Settings!$I$7))+(K125*Settings!$I$11))+(ROUNDDOWN((L125/5),0)*Settings!$F$11))+(M125*Settings!$F$12)),1)),0,ROUND((((((ROUNDDOWN((I125/5),0)*Settings!$F$7)+(J125*Settings!$I$7))+(K125*Settings!$I$11))+(ROUNDDOWN((L125/5),0)*Settings!$F$11))+(M125*Settings!$F$12)),1))</f>
        <v>0</v>
      </c>
      <c r="V125" s="38">
        <f>IF((N125=""),0,((((N125*Settings!$I$11)+(ROUND((O125/5),0)*Settings!$F$11))+(P125*Settings!$F$12))+(Q125*Settings!$F$15)))</f>
        <v>37</v>
      </c>
      <c r="W125" s="66">
        <f>ROUND((((T125*Settings!$B$21)+(U125*Settings!$B$22))+(V125*Settings!$B$23)),1)</f>
        <v>12.6</v>
      </c>
      <c r="X125" s="66">
        <f>IF(ISERROR(VLOOKUP(RANK(W125,W$4:W$182),X$4:X124,1,0)),RANK(W125,W$4:W$182),IF(ISERROR(VLOOKUP((RANK(W125,W$4:W$182)+1),X$4:X124,1,0)),(RANK(W125,W$4:W$182)+1),IF(ISERROR(VLOOKUP((RANK(W125,W$4:W$182)+2),X$4:X124,1,0)),(RANK(W125,W$4:W$182)+2),(RANK(W125,W$4:W$182)+3))))</f>
        <v>142</v>
      </c>
      <c r="Y125" t="str">
        <f t="shared" si="11"/>
        <v>Quinton Patton</v>
      </c>
    </row>
    <row r="126" spans="1:25" ht="12.75" customHeight="1">
      <c r="A126" s="33" t="str">
        <f>ESPNData!AH131</f>
        <v>Louis Murphy, TB WR</v>
      </c>
      <c r="B126" s="33" t="str">
        <f t="shared" si="9"/>
        <v>Louis Murphy</v>
      </c>
      <c r="C126" s="64" t="str">
        <f t="shared" si="10"/>
        <v>TB</v>
      </c>
      <c r="D126" s="117">
        <f>IF(OR(($A126=Settings!$A$31),($A126=Settings!$A$32),ISERROR(VLOOKUP($B126,FFTodayData!$AB:$AK,8,0))),"",VLOOKUP($B126,FFTodayData!$AB:$AK,8,0))</f>
        <v>33</v>
      </c>
      <c r="E126" s="33">
        <f>IF(OR(($A126=Settings!$A$31),($A126=Settings!$A$32),ISERROR(VLOOKUP($B126,FFTodayData!$AB:$AK,9,0))),"",VLOOKUP($B126,FFTodayData!$AB:$AK,9,0))</f>
        <v>0</v>
      </c>
      <c r="F126" s="33">
        <f>IF(OR(($A126=Settings!$A$31),($A126=Settings!$A$32),ISERROR(VLOOKUP($B126,FFTodayData!$AB:$AK,4,0))),"",VLOOKUP($B126,FFTodayData!$AB:$AK,4,0))</f>
        <v>23</v>
      </c>
      <c r="G126" s="33">
        <f>IF(OR(($A126=Settings!$A$31),($A126=Settings!$A$32),ISERROR(VLOOKUP($B126,FFTodayData!$AB:$AK,5,0))),"",VLOOKUP($B126,FFTodayData!$AB:$AK,5,0))</f>
        <v>305</v>
      </c>
      <c r="H126" s="64">
        <f>IF(OR(($A126=Settings!$A$31),($A126=Settings!$A$32),ISERROR(VLOOKUP($B126,FFTodayData!$AB:$AK,6,0))),"",VLOOKUP($B126,FFTodayData!$AB:$AK,6,0))</f>
        <v>1</v>
      </c>
      <c r="I126" s="117">
        <f>IF(ISERROR(VLOOKUP($A126,ESPNData!$AH:$AU,9,0)),"",VLOOKUP($A126,ESPNData!$AH:$AU,9,0))</f>
        <v>0</v>
      </c>
      <c r="J126" s="33">
        <f>IF(ISERROR(VLOOKUP($A126,ESPNData!$AH:$AU,10,0)),"",VLOOKUP($A126,ESPNData!$AH:$AU,10,0))</f>
        <v>0</v>
      </c>
      <c r="K126" s="33">
        <f>IF(ISERROR(VLOOKUP($A126,ESPNData!$AH:$AU,11,0)),"",VLOOKUP($A126,ESPNData!$AH:$AU,11,0))</f>
        <v>0</v>
      </c>
      <c r="L126" s="33">
        <f>IF(ISERROR(VLOOKUP($A126,ESPNData!$AH:$AU,12,0)),"",VLOOKUP($A126,ESPNData!$AH:$AU,12,0))</f>
        <v>0</v>
      </c>
      <c r="M126" s="64">
        <f>IF(ISERROR(VLOOKUP($A126,ESPNData!$AH:$AU,13,0)),"",VLOOKUP($A126,ESPNData!$AH:$AU,13,0))</f>
        <v>0</v>
      </c>
      <c r="N126" s="117">
        <f>IF(OR(($A126=Settings!$A$31),($A126=Settings!$A$32),ISERROR(VLOOKUP($B126,SportslineData!$AD:$AK,3,0))),"",ROUND(VLOOKUP($B126,SportslineData!$AD:$AK,3,0),0))</f>
        <v>19</v>
      </c>
      <c r="O126" s="33">
        <f>IF(OR(($A126=Settings!$A$31),($A126=Settings!$A$32),ISERROR(VLOOKUP($B126,SportslineData!$AD:$AK,4,0))),"",VLOOKUP($B126,SportslineData!$AD:$AK,4,0))</f>
        <v>264</v>
      </c>
      <c r="P126" s="33">
        <f>IF(OR(($A126=Settings!$A$31),($A126=Settings!$A$32),ISERROR(VLOOKUP($B126,SportslineData!$AD:$AK,6,0))),"",ROUND(VLOOKUP($B126,SportslineData!$AD:$AK,6,0),0))</f>
        <v>1</v>
      </c>
      <c r="Q126" s="64">
        <f>IF(OR(($A126=Settings!$A$31),($A126=Settings!$A$32),ISERROR(VLOOKUP($B126,SportslineData!$AD:$AK,7,0))),"",ROUND(VLOOKUP($B126,SportslineData!$AD:$AK,7,0),0))</f>
        <v>0</v>
      </c>
      <c r="R126" s="117"/>
      <c r="S126" s="33"/>
      <c r="T126" s="38">
        <f>IF(ISERROR(ROUND((((((ROUNDDOWN((D126/5),0)*Settings!$F$7)+(E126*Settings!$I$7))+(F126*Settings!$I$11))+(ROUNDDOWN((G126/5),0)*Settings!$F$11))+(H126*Settings!$F$12)),1)),0,ROUND((((((ROUNDDOWN((D126/5),0)*Settings!$F$7)+(E126*Settings!$I$7))+(F126*Settings!$I$11))+(ROUNDDOWN((G126/5),0)*Settings!$F$11))+(H126*Settings!$F$12)),1))</f>
        <v>51</v>
      </c>
      <c r="U126" s="38">
        <f>IF(ISERROR(ROUND((((((ROUNDDOWN((I126/5),0)*Settings!$F$7)+(J126*Settings!$I$7))+(K126*Settings!$I$11))+(ROUNDDOWN((L126/5),0)*Settings!$F$11))+(M126*Settings!$F$12)),1)),0,ROUND((((((ROUNDDOWN((I126/5),0)*Settings!$F$7)+(J126*Settings!$I$7))+(K126*Settings!$I$11))+(ROUNDDOWN((L126/5),0)*Settings!$F$11))+(M126*Settings!$F$12)),1))</f>
        <v>0</v>
      </c>
      <c r="V126" s="38">
        <f>IF((N126=""),0,((((N126*Settings!$I$11)+(ROUND((O126/5),0)*Settings!$F$11))+(P126*Settings!$F$12))+(Q126*Settings!$F$15)))</f>
        <v>42</v>
      </c>
      <c r="W126" s="66">
        <f>ROUND((((T126*Settings!$B$21)+(U126*Settings!$B$22))+(V126*Settings!$B$23)),1)</f>
        <v>31.1</v>
      </c>
      <c r="X126" s="66">
        <f>IF(ISERROR(VLOOKUP(RANK(W126,W$4:W$182),X$4:X125,1,0)),RANK(W126,W$4:W$182),IF(ISERROR(VLOOKUP((RANK(W126,W$4:W$182)+1),X$4:X125,1,0)),(RANK(W126,W$4:W$182)+1),IF(ISERROR(VLOOKUP((RANK(W126,W$4:W$182)+2),X$4:X125,1,0)),(RANK(W126,W$4:W$182)+2),(RANK(W126,W$4:W$182)+3))))</f>
        <v>112</v>
      </c>
      <c r="Y126" t="str">
        <f t="shared" si="11"/>
        <v>Louis Murphy</v>
      </c>
    </row>
    <row r="127" spans="1:25" ht="12.75" customHeight="1">
      <c r="A127" s="33" t="str">
        <f>ESPNData!AH132</f>
        <v>Paul Richardson, Sea WR</v>
      </c>
      <c r="B127" s="33" t="str">
        <f t="shared" si="9"/>
        <v>Paul Richardson</v>
      </c>
      <c r="C127" s="64" t="str">
        <f t="shared" si="10"/>
        <v>SEA</v>
      </c>
      <c r="D127" s="117" t="str">
        <f>IF(OR(($A127=Settings!$A$31),($A127=Settings!$A$32),ISERROR(VLOOKUP($B127,FFTodayData!$AB:$AK,8,0))),"",VLOOKUP($B127,FFTodayData!$AB:$AK,8,0))</f>
        <v/>
      </c>
      <c r="E127" s="33" t="str">
        <f>IF(OR(($A127=Settings!$A$31),($A127=Settings!$A$32),ISERROR(VLOOKUP($B127,FFTodayData!$AB:$AK,9,0))),"",VLOOKUP($B127,FFTodayData!$AB:$AK,9,0))</f>
        <v/>
      </c>
      <c r="F127" s="33" t="str">
        <f>IF(OR(($A127=Settings!$A$31),($A127=Settings!$A$32),ISERROR(VLOOKUP($B127,FFTodayData!$AB:$AK,4,0))),"",VLOOKUP($B127,FFTodayData!$AB:$AK,4,0))</f>
        <v/>
      </c>
      <c r="G127" s="33" t="str">
        <f>IF(OR(($A127=Settings!$A$31),($A127=Settings!$A$32),ISERROR(VLOOKUP($B127,FFTodayData!$AB:$AK,5,0))),"",VLOOKUP($B127,FFTodayData!$AB:$AK,5,0))</f>
        <v/>
      </c>
      <c r="H127" s="64" t="str">
        <f>IF(OR(($A127=Settings!$A$31),($A127=Settings!$A$32),ISERROR(VLOOKUP($B127,FFTodayData!$AB:$AK,6,0))),"",VLOOKUP($B127,FFTodayData!$AB:$AK,6,0))</f>
        <v/>
      </c>
      <c r="I127" s="117">
        <f>IF(ISERROR(VLOOKUP($A127,ESPNData!$AH:$AU,9,0)),"",VLOOKUP($A127,ESPNData!$AH:$AU,9,0))</f>
        <v>0</v>
      </c>
      <c r="J127" s="33">
        <f>IF(ISERROR(VLOOKUP($A127,ESPNData!$AH:$AU,10,0)),"",VLOOKUP($A127,ESPNData!$AH:$AU,10,0))</f>
        <v>0</v>
      </c>
      <c r="K127" s="33">
        <f>IF(ISERROR(VLOOKUP($A127,ESPNData!$AH:$AU,11,0)),"",VLOOKUP($A127,ESPNData!$AH:$AU,11,0))</f>
        <v>0</v>
      </c>
      <c r="L127" s="33">
        <f>IF(ISERROR(VLOOKUP($A127,ESPNData!$AH:$AU,12,0)),"",VLOOKUP($A127,ESPNData!$AH:$AU,12,0))</f>
        <v>0</v>
      </c>
      <c r="M127" s="64">
        <f>IF(ISERROR(VLOOKUP($A127,ESPNData!$AH:$AU,13,0)),"",VLOOKUP($A127,ESPNData!$AH:$AU,13,0))</f>
        <v>0</v>
      </c>
      <c r="N127" s="117">
        <f>IF(OR(($A127=Settings!$A$31),($A127=Settings!$A$32),ISERROR(VLOOKUP($B127,SportslineData!$AD:$AK,3,0))),"",ROUND(VLOOKUP($B127,SportslineData!$AD:$AK,3,0),0))</f>
        <v>23</v>
      </c>
      <c r="O127" s="33">
        <f>IF(OR(($A127=Settings!$A$31),($A127=Settings!$A$32),ISERROR(VLOOKUP($B127,SportslineData!$AD:$AK,4,0))),"",VLOOKUP($B127,SportslineData!$AD:$AK,4,0))</f>
        <v>441.5</v>
      </c>
      <c r="P127" s="33">
        <f>IF(OR(($A127=Settings!$A$31),($A127=Settings!$A$32),ISERROR(VLOOKUP($B127,SportslineData!$AD:$AK,6,0))),"",ROUND(VLOOKUP($B127,SportslineData!$AD:$AK,6,0),0))</f>
        <v>3</v>
      </c>
      <c r="Q127" s="64">
        <f>IF(OR(($A127=Settings!$A$31),($A127=Settings!$A$32),ISERROR(VLOOKUP($B127,SportslineData!$AD:$AK,7,0))),"",ROUND(VLOOKUP($B127,SportslineData!$AD:$AK,7,0),0))</f>
        <v>0</v>
      </c>
      <c r="R127" s="117"/>
      <c r="S127" s="33"/>
      <c r="T127" s="38">
        <f>IF(ISERROR(ROUND((((((ROUNDDOWN((D127/5),0)*Settings!$F$7)+(E127*Settings!$I$7))+(F127*Settings!$I$11))+(ROUNDDOWN((G127/5),0)*Settings!$F$11))+(H127*Settings!$F$12)),1)),0,ROUND((((((ROUNDDOWN((D127/5),0)*Settings!$F$7)+(E127*Settings!$I$7))+(F127*Settings!$I$11))+(ROUNDDOWN((G127/5),0)*Settings!$F$11))+(H127*Settings!$F$12)),1))</f>
        <v>0</v>
      </c>
      <c r="U127" s="38">
        <f>IF(ISERROR(ROUND((((((ROUNDDOWN((I127/5),0)*Settings!$F$7)+(J127*Settings!$I$7))+(K127*Settings!$I$11))+(ROUNDDOWN((L127/5),0)*Settings!$F$11))+(M127*Settings!$F$12)),1)),0,ROUND((((((ROUNDDOWN((I127/5),0)*Settings!$F$7)+(J127*Settings!$I$7))+(K127*Settings!$I$11))+(ROUNDDOWN((L127/5),0)*Settings!$F$11))+(M127*Settings!$F$12)),1))</f>
        <v>0</v>
      </c>
      <c r="V127" s="38">
        <f>IF((N127=""),0,((((N127*Settings!$I$11)+(ROUND((O127/5),0)*Settings!$F$11))+(P127*Settings!$F$12))+(Q127*Settings!$F$15)))</f>
        <v>73.5</v>
      </c>
      <c r="W127" s="66">
        <f>ROUND((((T127*Settings!$B$21)+(U127*Settings!$B$22))+(V127*Settings!$B$23)),1)</f>
        <v>25</v>
      </c>
      <c r="X127" s="66">
        <f>IF(ISERROR(VLOOKUP(RANK(W127,W$4:W$182),X$4:X126,1,0)),RANK(W127,W$4:W$182),IF(ISERROR(VLOOKUP((RANK(W127,W$4:W$182)+1),X$4:X126,1,0)),(RANK(W127,W$4:W$182)+1),IF(ISERROR(VLOOKUP((RANK(W127,W$4:W$182)+2),X$4:X126,1,0)),(RANK(W127,W$4:W$182)+2),(RANK(W127,W$4:W$182)+3))))</f>
        <v>120</v>
      </c>
      <c r="Y127" t="str">
        <f t="shared" si="11"/>
        <v>Paul Richardson</v>
      </c>
    </row>
    <row r="128" spans="1:25" ht="12.75" customHeight="1">
      <c r="A128" s="33" t="str">
        <f>ESPNData!AH133</f>
        <v>Donte Moncrief, Ind WR</v>
      </c>
      <c r="B128" s="33" t="str">
        <f t="shared" si="9"/>
        <v>Donte Moncrief</v>
      </c>
      <c r="C128" s="64" t="str">
        <f t="shared" si="10"/>
        <v>IND</v>
      </c>
      <c r="D128" s="117" t="str">
        <f>IF(OR(($A128=Settings!$A$31),($A128=Settings!$A$32),ISERROR(VLOOKUP($B128,FFTodayData!$AB:$AK,8,0))),"",VLOOKUP($B128,FFTodayData!$AB:$AK,8,0))</f>
        <v/>
      </c>
      <c r="E128" s="33" t="str">
        <f>IF(OR(($A128=Settings!$A$31),($A128=Settings!$A$32),ISERROR(VLOOKUP($B128,FFTodayData!$AB:$AK,9,0))),"",VLOOKUP($B128,FFTodayData!$AB:$AK,9,0))</f>
        <v/>
      </c>
      <c r="F128" s="33" t="str">
        <f>IF(OR(($A128=Settings!$A$31),($A128=Settings!$A$32),ISERROR(VLOOKUP($B128,FFTodayData!$AB:$AK,4,0))),"",VLOOKUP($B128,FFTodayData!$AB:$AK,4,0))</f>
        <v/>
      </c>
      <c r="G128" s="33" t="str">
        <f>IF(OR(($A128=Settings!$A$31),($A128=Settings!$A$32),ISERROR(VLOOKUP($B128,FFTodayData!$AB:$AK,5,0))),"",VLOOKUP($B128,FFTodayData!$AB:$AK,5,0))</f>
        <v/>
      </c>
      <c r="H128" s="64" t="str">
        <f>IF(OR(($A128=Settings!$A$31),($A128=Settings!$A$32),ISERROR(VLOOKUP($B128,FFTodayData!$AB:$AK,6,0))),"",VLOOKUP($B128,FFTodayData!$AB:$AK,6,0))</f>
        <v/>
      </c>
      <c r="I128" s="117">
        <f>IF(ISERROR(VLOOKUP($A128,ESPNData!$AH:$AU,9,0)),"",VLOOKUP($A128,ESPNData!$AH:$AU,9,0))</f>
        <v>0</v>
      </c>
      <c r="J128" s="33">
        <f>IF(ISERROR(VLOOKUP($A128,ESPNData!$AH:$AU,10,0)),"",VLOOKUP($A128,ESPNData!$AH:$AU,10,0))</f>
        <v>0</v>
      </c>
      <c r="K128" s="33">
        <f>IF(ISERROR(VLOOKUP($A128,ESPNData!$AH:$AU,11,0)),"",VLOOKUP($A128,ESPNData!$AH:$AU,11,0))</f>
        <v>0</v>
      </c>
      <c r="L128" s="33">
        <f>IF(ISERROR(VLOOKUP($A128,ESPNData!$AH:$AU,12,0)),"",VLOOKUP($A128,ESPNData!$AH:$AU,12,0))</f>
        <v>0</v>
      </c>
      <c r="M128" s="64">
        <f>IF(ISERROR(VLOOKUP($A128,ESPNData!$AH:$AU,13,0)),"",VLOOKUP($A128,ESPNData!$AH:$AU,13,0))</f>
        <v>0</v>
      </c>
      <c r="N128" s="117">
        <f>IF(OR(($A128=Settings!$A$31),($A128=Settings!$A$32),ISERROR(VLOOKUP($B128,SportslineData!$AD:$AK,3,0))),"",ROUND(VLOOKUP($B128,SportslineData!$AD:$AK,3,0),0))</f>
        <v>19</v>
      </c>
      <c r="O128" s="33">
        <f>IF(OR(($A128=Settings!$A$31),($A128=Settings!$A$32),ISERROR(VLOOKUP($B128,SportslineData!$AD:$AK,4,0))),"",VLOOKUP($B128,SportslineData!$AD:$AK,4,0))</f>
        <v>304</v>
      </c>
      <c r="P128" s="33">
        <f>IF(OR(($A128=Settings!$A$31),($A128=Settings!$A$32),ISERROR(VLOOKUP($B128,SportslineData!$AD:$AK,6,0))),"",ROUND(VLOOKUP($B128,SportslineData!$AD:$AK,6,0),0))</f>
        <v>2</v>
      </c>
      <c r="Q128" s="64">
        <f>IF(OR(($A128=Settings!$A$31),($A128=Settings!$A$32),ISERROR(VLOOKUP($B128,SportslineData!$AD:$AK,7,0))),"",ROUND(VLOOKUP($B128,SportslineData!$AD:$AK,7,0),0))</f>
        <v>0</v>
      </c>
      <c r="R128" s="117"/>
      <c r="S128" s="33"/>
      <c r="T128" s="38">
        <f>IF(ISERROR(ROUND((((((ROUNDDOWN((D128/5),0)*Settings!$F$7)+(E128*Settings!$I$7))+(F128*Settings!$I$11))+(ROUNDDOWN((G128/5),0)*Settings!$F$11))+(H128*Settings!$F$12)),1)),0,ROUND((((((ROUNDDOWN((D128/5),0)*Settings!$F$7)+(E128*Settings!$I$7))+(F128*Settings!$I$11))+(ROUNDDOWN((G128/5),0)*Settings!$F$11))+(H128*Settings!$F$12)),1))</f>
        <v>0</v>
      </c>
      <c r="U128" s="38">
        <f>IF(ISERROR(ROUND((((((ROUNDDOWN((I128/5),0)*Settings!$F$7)+(J128*Settings!$I$7))+(K128*Settings!$I$11))+(ROUNDDOWN((L128/5),0)*Settings!$F$11))+(M128*Settings!$F$12)),1)),0,ROUND((((((ROUNDDOWN((I128/5),0)*Settings!$F$7)+(J128*Settings!$I$7))+(K128*Settings!$I$11))+(ROUNDDOWN((L128/5),0)*Settings!$F$11))+(M128*Settings!$F$12)),1))</f>
        <v>0</v>
      </c>
      <c r="V128" s="38">
        <f>IF((N128=""),0,((((N128*Settings!$I$11)+(ROUND((O128/5),0)*Settings!$F$11))+(P128*Settings!$F$12))+(Q128*Settings!$F$15)))</f>
        <v>52</v>
      </c>
      <c r="W128" s="66">
        <f>ROUND((((T128*Settings!$B$21)+(U128*Settings!$B$22))+(V128*Settings!$B$23)),1)</f>
        <v>17.7</v>
      </c>
      <c r="X128" s="66">
        <f>IF(ISERROR(VLOOKUP(RANK(W128,W$4:W$182),X$4:X127,1,0)),RANK(W128,W$4:W$182),IF(ISERROR(VLOOKUP((RANK(W128,W$4:W$182)+1),X$4:X127,1,0)),(RANK(W128,W$4:W$182)+1),IF(ISERROR(VLOOKUP((RANK(W128,W$4:W$182)+2),X$4:X127,1,0)),(RANK(W128,W$4:W$182)+2),(RANK(W128,W$4:W$182)+3))))</f>
        <v>133</v>
      </c>
      <c r="Y128" t="str">
        <f t="shared" si="11"/>
        <v>Donte Moncrief</v>
      </c>
    </row>
    <row r="129" spans="1:25" ht="12.75" customHeight="1">
      <c r="A129" s="33" t="str">
        <f>ESPNData!AH134</f>
        <v>Da'Rick Rogers, Ind WR</v>
      </c>
      <c r="B129" s="33" t="str">
        <f t="shared" si="9"/>
        <v>Da'Rick Rogers</v>
      </c>
      <c r="C129" s="64" t="str">
        <f t="shared" si="10"/>
        <v>IND</v>
      </c>
      <c r="D129" s="117" t="str">
        <f>IF(OR(($A129=Settings!$A$31),($A129=Settings!$A$32),ISERROR(VLOOKUP($B129,FFTodayData!$AB:$AK,8,0))),"",VLOOKUP($B129,FFTodayData!$AB:$AK,8,0))</f>
        <v/>
      </c>
      <c r="E129" s="33" t="str">
        <f>IF(OR(($A129=Settings!$A$31),($A129=Settings!$A$32),ISERROR(VLOOKUP($B129,FFTodayData!$AB:$AK,9,0))),"",VLOOKUP($B129,FFTodayData!$AB:$AK,9,0))</f>
        <v/>
      </c>
      <c r="F129" s="33" t="str">
        <f>IF(OR(($A129=Settings!$A$31),($A129=Settings!$A$32),ISERROR(VLOOKUP($B129,FFTodayData!$AB:$AK,4,0))),"",VLOOKUP($B129,FFTodayData!$AB:$AK,4,0))</f>
        <v/>
      </c>
      <c r="G129" s="33" t="str">
        <f>IF(OR(($A129=Settings!$A$31),($A129=Settings!$A$32),ISERROR(VLOOKUP($B129,FFTodayData!$AB:$AK,5,0))),"",VLOOKUP($B129,FFTodayData!$AB:$AK,5,0))</f>
        <v/>
      </c>
      <c r="H129" s="64" t="str">
        <f>IF(OR(($A129=Settings!$A$31),($A129=Settings!$A$32),ISERROR(VLOOKUP($B129,FFTodayData!$AB:$AK,6,0))),"",VLOOKUP($B129,FFTodayData!$AB:$AK,6,0))</f>
        <v/>
      </c>
      <c r="I129" s="117">
        <f>IF(ISERROR(VLOOKUP($A129,ESPNData!$AH:$AU,9,0)),"",VLOOKUP($A129,ESPNData!$AH:$AU,9,0))</f>
        <v>0</v>
      </c>
      <c r="J129" s="33">
        <f>IF(ISERROR(VLOOKUP($A129,ESPNData!$AH:$AU,10,0)),"",VLOOKUP($A129,ESPNData!$AH:$AU,10,0))</f>
        <v>0</v>
      </c>
      <c r="K129" s="33">
        <f>IF(ISERROR(VLOOKUP($A129,ESPNData!$AH:$AU,11,0)),"",VLOOKUP($A129,ESPNData!$AH:$AU,11,0))</f>
        <v>0</v>
      </c>
      <c r="L129" s="33">
        <f>IF(ISERROR(VLOOKUP($A129,ESPNData!$AH:$AU,12,0)),"",VLOOKUP($A129,ESPNData!$AH:$AU,12,0))</f>
        <v>0</v>
      </c>
      <c r="M129" s="64">
        <f>IF(ISERROR(VLOOKUP($A129,ESPNData!$AH:$AU,13,0)),"",VLOOKUP($A129,ESPNData!$AH:$AU,13,0))</f>
        <v>0</v>
      </c>
      <c r="N129" s="117">
        <f>IF(OR(($A129=Settings!$A$31),($A129=Settings!$A$32),ISERROR(VLOOKUP($B129,SportslineData!$AD:$AK,3,0))),"",ROUND(VLOOKUP($B129,SportslineData!$AD:$AK,3,0),0))</f>
        <v>9</v>
      </c>
      <c r="O129" s="33">
        <f>IF(OR(($A129=Settings!$A$31),($A129=Settings!$A$32),ISERROR(VLOOKUP($B129,SportslineData!$AD:$AK,4,0))),"",VLOOKUP($B129,SportslineData!$AD:$AK,4,0))</f>
        <v>106</v>
      </c>
      <c r="P129" s="33">
        <f>IF(OR(($A129=Settings!$A$31),($A129=Settings!$A$32),ISERROR(VLOOKUP($B129,SportslineData!$AD:$AK,6,0))),"",ROUND(VLOOKUP($B129,SportslineData!$AD:$AK,6,0),0))</f>
        <v>1</v>
      </c>
      <c r="Q129" s="64">
        <f>IF(OR(($A129=Settings!$A$31),($A129=Settings!$A$32),ISERROR(VLOOKUP($B129,SportslineData!$AD:$AK,7,0))),"",ROUND(VLOOKUP($B129,SportslineData!$AD:$AK,7,0),0))</f>
        <v>0</v>
      </c>
      <c r="R129" s="117"/>
      <c r="S129" s="33"/>
      <c r="T129" s="38">
        <f>IF(ISERROR(ROUND((((((ROUNDDOWN((D129/5),0)*Settings!$F$7)+(E129*Settings!$I$7))+(F129*Settings!$I$11))+(ROUNDDOWN((G129/5),0)*Settings!$F$11))+(H129*Settings!$F$12)),1)),0,ROUND((((((ROUNDDOWN((D129/5),0)*Settings!$F$7)+(E129*Settings!$I$7))+(F129*Settings!$I$11))+(ROUNDDOWN((G129/5),0)*Settings!$F$11))+(H129*Settings!$F$12)),1))</f>
        <v>0</v>
      </c>
      <c r="U129" s="38">
        <f>IF(ISERROR(ROUND((((((ROUNDDOWN((I129/5),0)*Settings!$F$7)+(J129*Settings!$I$7))+(K129*Settings!$I$11))+(ROUNDDOWN((L129/5),0)*Settings!$F$11))+(M129*Settings!$F$12)),1)),0,ROUND((((((ROUNDDOWN((I129/5),0)*Settings!$F$7)+(J129*Settings!$I$7))+(K129*Settings!$I$11))+(ROUNDDOWN((L129/5),0)*Settings!$F$11))+(M129*Settings!$F$12)),1))</f>
        <v>0</v>
      </c>
      <c r="V129" s="38">
        <f>IF((N129=""),0,((((N129*Settings!$I$11)+(ROUND((O129/5),0)*Settings!$F$11))+(P129*Settings!$F$12))+(Q129*Settings!$F$15)))</f>
        <v>21</v>
      </c>
      <c r="W129" s="66">
        <f>ROUND((((T129*Settings!$B$21)+(U129*Settings!$B$22))+(V129*Settings!$B$23)),1)</f>
        <v>7.1</v>
      </c>
      <c r="X129" s="66">
        <f>IF(ISERROR(VLOOKUP(RANK(W129,W$4:W$182),X$4:X128,1,0)),RANK(W129,W$4:W$182),IF(ISERROR(VLOOKUP((RANK(W129,W$4:W$182)+1),X$4:X128,1,0)),(RANK(W129,W$4:W$182)+1),IF(ISERROR(VLOOKUP((RANK(W129,W$4:W$182)+2),X$4:X128,1,0)),(RANK(W129,W$4:W$182)+2),(RANK(W129,W$4:W$182)+3))))</f>
        <v>150</v>
      </c>
      <c r="Y129" t="str">
        <f t="shared" si="11"/>
        <v>Da'Rick Rogers</v>
      </c>
    </row>
    <row r="130" spans="1:25" ht="12.75" customHeight="1">
      <c r="A130" s="33" t="str">
        <f>ESPNData!AH135</f>
        <v>Jarius Wright, Min WR  P</v>
      </c>
      <c r="B130" s="33" t="str">
        <f t="shared" si="9"/>
        <v>Jarius Wright</v>
      </c>
      <c r="C130" s="64" t="str">
        <f t="shared" si="10"/>
        <v>MIN</v>
      </c>
      <c r="D130" s="117" t="str">
        <f>IF(OR(($A130=Settings!$A$31),($A130=Settings!$A$32),ISERROR(VLOOKUP($B130,FFTodayData!$AB:$AK,8,0))),"",VLOOKUP($B130,FFTodayData!$AB:$AK,8,0))</f>
        <v/>
      </c>
      <c r="E130" s="33" t="str">
        <f>IF(OR(($A130=Settings!$A$31),($A130=Settings!$A$32),ISERROR(VLOOKUP($B130,FFTodayData!$AB:$AK,9,0))),"",VLOOKUP($B130,FFTodayData!$AB:$AK,9,0))</f>
        <v/>
      </c>
      <c r="F130" s="33" t="str">
        <f>IF(OR(($A130=Settings!$A$31),($A130=Settings!$A$32),ISERROR(VLOOKUP($B130,FFTodayData!$AB:$AK,4,0))),"",VLOOKUP($B130,FFTodayData!$AB:$AK,4,0))</f>
        <v/>
      </c>
      <c r="G130" s="33" t="str">
        <f>IF(OR(($A130=Settings!$A$31),($A130=Settings!$A$32),ISERROR(VLOOKUP($B130,FFTodayData!$AB:$AK,5,0))),"",VLOOKUP($B130,FFTodayData!$AB:$AK,5,0))</f>
        <v/>
      </c>
      <c r="H130" s="64" t="str">
        <f>IF(OR(($A130=Settings!$A$31),($A130=Settings!$A$32),ISERROR(VLOOKUP($B130,FFTodayData!$AB:$AK,6,0))),"",VLOOKUP($B130,FFTodayData!$AB:$AK,6,0))</f>
        <v/>
      </c>
      <c r="I130" s="117">
        <f>IF(ISERROR(VLOOKUP($A130,ESPNData!$AH:$AU,9,0)),"",VLOOKUP($A130,ESPNData!$AH:$AU,9,0))</f>
        <v>0</v>
      </c>
      <c r="J130" s="33">
        <f>IF(ISERROR(VLOOKUP($A130,ESPNData!$AH:$AU,10,0)),"",VLOOKUP($A130,ESPNData!$AH:$AU,10,0))</f>
        <v>0</v>
      </c>
      <c r="K130" s="33">
        <f>IF(ISERROR(VLOOKUP($A130,ESPNData!$AH:$AU,11,0)),"",VLOOKUP($A130,ESPNData!$AH:$AU,11,0))</f>
        <v>0</v>
      </c>
      <c r="L130" s="33">
        <f>IF(ISERROR(VLOOKUP($A130,ESPNData!$AH:$AU,12,0)),"",VLOOKUP($A130,ESPNData!$AH:$AU,12,0))</f>
        <v>0</v>
      </c>
      <c r="M130" s="64">
        <f>IF(ISERROR(VLOOKUP($A130,ESPNData!$AH:$AU,13,0)),"",VLOOKUP($A130,ESPNData!$AH:$AU,13,0))</f>
        <v>0</v>
      </c>
      <c r="N130" s="117">
        <f>IF(OR(($A130=Settings!$A$31),($A130=Settings!$A$32),ISERROR(VLOOKUP($B130,SportslineData!$AD:$AK,3,0))),"",ROUND(VLOOKUP($B130,SportslineData!$AD:$AK,3,0),0))</f>
        <v>20</v>
      </c>
      <c r="O130" s="33">
        <f>IF(OR(($A130=Settings!$A$31),($A130=Settings!$A$32),ISERROR(VLOOKUP($B130,SportslineData!$AD:$AK,4,0))),"",VLOOKUP($B130,SportslineData!$AD:$AK,4,0))</f>
        <v>285.5</v>
      </c>
      <c r="P130" s="33">
        <f>IF(OR(($A130=Settings!$A$31),($A130=Settings!$A$32),ISERROR(VLOOKUP($B130,SportslineData!$AD:$AK,6,0))),"",ROUND(VLOOKUP($B130,SportslineData!$AD:$AK,6,0),0))</f>
        <v>2</v>
      </c>
      <c r="Q130" s="64">
        <f>IF(OR(($A130=Settings!$A$31),($A130=Settings!$A$32),ISERROR(VLOOKUP($B130,SportslineData!$AD:$AK,7,0))),"",ROUND(VLOOKUP($B130,SportslineData!$AD:$AK,7,0),0))</f>
        <v>0</v>
      </c>
      <c r="R130" s="117"/>
      <c r="S130" s="33"/>
      <c r="T130" s="38">
        <f>IF(ISERROR(ROUND((((((ROUNDDOWN((D130/5),0)*Settings!$F$7)+(E130*Settings!$I$7))+(F130*Settings!$I$11))+(ROUNDDOWN((G130/5),0)*Settings!$F$11))+(H130*Settings!$F$12)),1)),0,ROUND((((((ROUNDDOWN((D130/5),0)*Settings!$F$7)+(E130*Settings!$I$7))+(F130*Settings!$I$11))+(ROUNDDOWN((G130/5),0)*Settings!$F$11))+(H130*Settings!$F$12)),1))</f>
        <v>0</v>
      </c>
      <c r="U130" s="38">
        <f>IF(ISERROR(ROUND((((((ROUNDDOWN((I130/5),0)*Settings!$F$7)+(J130*Settings!$I$7))+(K130*Settings!$I$11))+(ROUNDDOWN((L130/5),0)*Settings!$F$11))+(M130*Settings!$F$12)),1)),0,ROUND((((((ROUNDDOWN((I130/5),0)*Settings!$F$7)+(J130*Settings!$I$7))+(K130*Settings!$I$11))+(ROUNDDOWN((L130/5),0)*Settings!$F$11))+(M130*Settings!$F$12)),1))</f>
        <v>0</v>
      </c>
      <c r="V130" s="38">
        <f>IF((N130=""),0,((((N130*Settings!$I$11)+(ROUND((O130/5),0)*Settings!$F$11))+(P130*Settings!$F$12))+(Q130*Settings!$F$15)))</f>
        <v>50.5</v>
      </c>
      <c r="W130" s="66">
        <f>ROUND((((T130*Settings!$B$21)+(U130*Settings!$B$22))+(V130*Settings!$B$23)),1)</f>
        <v>17.2</v>
      </c>
      <c r="X130" s="66">
        <f>IF(ISERROR(VLOOKUP(RANK(W130,W$4:W$182),X$4:X129,1,0)),RANK(W130,W$4:W$182),IF(ISERROR(VLOOKUP((RANK(W130,W$4:W$182)+1),X$4:X129,1,0)),(RANK(W130,W$4:W$182)+1),IF(ISERROR(VLOOKUP((RANK(W130,W$4:W$182)+2),X$4:X129,1,0)),(RANK(W130,W$4:W$182)+2),(RANK(W130,W$4:W$182)+3))))</f>
        <v>135</v>
      </c>
      <c r="Y130" t="str">
        <f t="shared" si="11"/>
        <v>Jarius Wright</v>
      </c>
    </row>
    <row r="131" spans="1:25" ht="12.75" customHeight="1">
      <c r="A131" s="33" t="str">
        <f>ESPNData!AH136</f>
        <v>Marquess Wilson*, Chi WR  O</v>
      </c>
      <c r="B131" s="33" t="str">
        <f t="shared" si="9"/>
        <v>Marquess Wilson</v>
      </c>
      <c r="C131" s="64" t="str">
        <f t="shared" si="10"/>
        <v>CHI</v>
      </c>
      <c r="D131" s="117" t="str">
        <f>IF(OR(($A131=Settings!$A$31),($A131=Settings!$A$32),ISERROR(VLOOKUP($B131,FFTodayData!$AB:$AK,8,0))),"",VLOOKUP($B131,FFTodayData!$AB:$AK,8,0))</f>
        <v/>
      </c>
      <c r="E131" s="33" t="str">
        <f>IF(OR(($A131=Settings!$A$31),($A131=Settings!$A$32),ISERROR(VLOOKUP($B131,FFTodayData!$AB:$AK,9,0))),"",VLOOKUP($B131,FFTodayData!$AB:$AK,9,0))</f>
        <v/>
      </c>
      <c r="F131" s="33" t="str">
        <f>IF(OR(($A131=Settings!$A$31),($A131=Settings!$A$32),ISERROR(VLOOKUP($B131,FFTodayData!$AB:$AK,4,0))),"",VLOOKUP($B131,FFTodayData!$AB:$AK,4,0))</f>
        <v/>
      </c>
      <c r="G131" s="33" t="str">
        <f>IF(OR(($A131=Settings!$A$31),($A131=Settings!$A$32),ISERROR(VLOOKUP($B131,FFTodayData!$AB:$AK,5,0))),"",VLOOKUP($B131,FFTodayData!$AB:$AK,5,0))</f>
        <v/>
      </c>
      <c r="H131" s="64" t="str">
        <f>IF(OR(($A131=Settings!$A$31),($A131=Settings!$A$32),ISERROR(VLOOKUP($B131,FFTodayData!$AB:$AK,6,0))),"",VLOOKUP($B131,FFTodayData!$AB:$AK,6,0))</f>
        <v/>
      </c>
      <c r="I131" s="117">
        <f>IF(ISERROR(VLOOKUP($A131,ESPNData!$AH:$AU,9,0)),"",VLOOKUP($A131,ESPNData!$AH:$AU,9,0))</f>
        <v>0</v>
      </c>
      <c r="J131" s="33">
        <f>IF(ISERROR(VLOOKUP($A131,ESPNData!$AH:$AU,10,0)),"",VLOOKUP($A131,ESPNData!$AH:$AU,10,0))</f>
        <v>0</v>
      </c>
      <c r="K131" s="33">
        <f>IF(ISERROR(VLOOKUP($A131,ESPNData!$AH:$AU,11,0)),"",VLOOKUP($A131,ESPNData!$AH:$AU,11,0))</f>
        <v>0</v>
      </c>
      <c r="L131" s="33">
        <f>IF(ISERROR(VLOOKUP($A131,ESPNData!$AH:$AU,12,0)),"",VLOOKUP($A131,ESPNData!$AH:$AU,12,0))</f>
        <v>0</v>
      </c>
      <c r="M131" s="64">
        <f>IF(ISERROR(VLOOKUP($A131,ESPNData!$AH:$AU,13,0)),"",VLOOKUP($A131,ESPNData!$AH:$AU,13,0))</f>
        <v>0</v>
      </c>
      <c r="N131" s="117">
        <f>IF(OR(($A131=Settings!$A$31),($A131=Settings!$A$32),ISERROR(VLOOKUP($B131,SportslineData!$AD:$AK,3,0))),"",ROUND(VLOOKUP($B131,SportslineData!$AD:$AK,3,0),0))</f>
        <v>28</v>
      </c>
      <c r="O131" s="33">
        <f>IF(OR(($A131=Settings!$A$31),($A131=Settings!$A$32),ISERROR(VLOOKUP($B131,SportslineData!$AD:$AK,4,0))),"",VLOOKUP($B131,SportslineData!$AD:$AK,4,0))</f>
        <v>389</v>
      </c>
      <c r="P131" s="33">
        <f>IF(OR(($A131=Settings!$A$31),($A131=Settings!$A$32),ISERROR(VLOOKUP($B131,SportslineData!$AD:$AK,6,0))),"",ROUND(VLOOKUP($B131,SportslineData!$AD:$AK,6,0),0))</f>
        <v>3</v>
      </c>
      <c r="Q131" s="64">
        <f>IF(OR(($A131=Settings!$A$31),($A131=Settings!$A$32),ISERROR(VLOOKUP($B131,SportslineData!$AD:$AK,7,0))),"",ROUND(VLOOKUP($B131,SportslineData!$AD:$AK,7,0),0))</f>
        <v>0</v>
      </c>
      <c r="R131" s="117"/>
      <c r="S131" s="33"/>
      <c r="T131" s="38">
        <f>IF(ISERROR(ROUND((((((ROUNDDOWN((D131/5),0)*Settings!$F$7)+(E131*Settings!$I$7))+(F131*Settings!$I$11))+(ROUNDDOWN((G131/5),0)*Settings!$F$11))+(H131*Settings!$F$12)),1)),0,ROUND((((((ROUNDDOWN((D131/5),0)*Settings!$F$7)+(E131*Settings!$I$7))+(F131*Settings!$I$11))+(ROUNDDOWN((G131/5),0)*Settings!$F$11))+(H131*Settings!$F$12)),1))</f>
        <v>0</v>
      </c>
      <c r="U131" s="38">
        <f>IF(ISERROR(ROUND((((((ROUNDDOWN((I131/5),0)*Settings!$F$7)+(J131*Settings!$I$7))+(K131*Settings!$I$11))+(ROUNDDOWN((L131/5),0)*Settings!$F$11))+(M131*Settings!$F$12)),1)),0,ROUND((((((ROUNDDOWN((I131/5),0)*Settings!$F$7)+(J131*Settings!$I$7))+(K131*Settings!$I$11))+(ROUNDDOWN((L131/5),0)*Settings!$F$11))+(M131*Settings!$F$12)),1))</f>
        <v>0</v>
      </c>
      <c r="V131" s="38">
        <f>IF((N131=""),0,((((N131*Settings!$I$11)+(ROUND((O131/5),0)*Settings!$F$11))+(P131*Settings!$F$12))+(Q131*Settings!$F$15)))</f>
        <v>71</v>
      </c>
      <c r="W131" s="66">
        <f>ROUND((((T131*Settings!$B$21)+(U131*Settings!$B$22))+(V131*Settings!$B$23)),1)</f>
        <v>24.1</v>
      </c>
      <c r="X131" s="66">
        <f>IF(ISERROR(VLOOKUP(RANK(W131,W$4:W$182),X$4:X130,1,0)),RANK(W131,W$4:W$182),IF(ISERROR(VLOOKUP((RANK(W131,W$4:W$182)+1),X$4:X130,1,0)),(RANK(W131,W$4:W$182)+1),IF(ISERROR(VLOOKUP((RANK(W131,W$4:W$182)+2),X$4:X130,1,0)),(RANK(W131,W$4:W$182)+2),(RANK(W131,W$4:W$182)+3))))</f>
        <v>122</v>
      </c>
      <c r="Y131" t="str">
        <f t="shared" si="11"/>
        <v>Marquess Wilson</v>
      </c>
    </row>
    <row r="132" spans="1:25" ht="12.75" customHeight="1">
      <c r="A132" s="33" t="str">
        <f>ESPNData!AH137</f>
        <v>Santana Moss, Wsh WR</v>
      </c>
      <c r="B132" s="33" t="str">
        <f t="shared" ref="B132:B163" si="12">IF(OR((A132=""),(A132=0)),"",IF(ISERROR(FIND("*",A132)),LEFT(A132,(FIND(",",A132)-1)),LEFT(A132,(FIND("*",A132)-1))))</f>
        <v>Santana Moss</v>
      </c>
      <c r="C132" s="64" t="str">
        <f t="shared" ref="C132:C163" si="13">IF((A132=""),"",UPPER(RIGHT(LEFT(A132,(FIND("WR",A132)-2)),(LEN(LEFT(A132,(FIND("WR",A132)-2)))-(FIND(",",LEFT(A132,(FIND("WR",A132)-2)))+1)))))</f>
        <v>WSH</v>
      </c>
      <c r="D132" s="117">
        <f>IF(OR(($A132=Settings!$A$31),($A132=Settings!$A$32),ISERROR(VLOOKUP($B132,FFTodayData!$AB:$AK,8,0))),"",VLOOKUP($B132,FFTodayData!$AB:$AK,8,0))</f>
        <v>0</v>
      </c>
      <c r="E132" s="33">
        <f>IF(OR(($A132=Settings!$A$31),($A132=Settings!$A$32),ISERROR(VLOOKUP($B132,FFTodayData!$AB:$AK,9,0))),"",VLOOKUP($B132,FFTodayData!$AB:$AK,9,0))</f>
        <v>0</v>
      </c>
      <c r="F132" s="33">
        <f>IF(OR(($A132=Settings!$A$31),($A132=Settings!$A$32),ISERROR(VLOOKUP($B132,FFTodayData!$AB:$AK,4,0))),"",VLOOKUP($B132,FFTodayData!$AB:$AK,4,0))</f>
        <v>49</v>
      </c>
      <c r="G132" s="33">
        <f>IF(OR(($A132=Settings!$A$31),($A132=Settings!$A$32),ISERROR(VLOOKUP($B132,FFTodayData!$AB:$AK,5,0))),"",VLOOKUP($B132,FFTodayData!$AB:$AK,5,0))</f>
        <v>645</v>
      </c>
      <c r="H132" s="64">
        <f>IF(OR(($A132=Settings!$A$31),($A132=Settings!$A$32),ISERROR(VLOOKUP($B132,FFTodayData!$AB:$AK,6,0))),"",VLOOKUP($B132,FFTodayData!$AB:$AK,6,0))</f>
        <v>4</v>
      </c>
      <c r="I132" s="117">
        <f>IF(ISERROR(VLOOKUP($A132,ESPNData!$AH:$AU,9,0)),"",VLOOKUP($A132,ESPNData!$AH:$AU,9,0))</f>
        <v>0</v>
      </c>
      <c r="J132" s="33">
        <f>IF(ISERROR(VLOOKUP($A132,ESPNData!$AH:$AU,10,0)),"",VLOOKUP($A132,ESPNData!$AH:$AU,10,0))</f>
        <v>0</v>
      </c>
      <c r="K132" s="33">
        <f>IF(ISERROR(VLOOKUP($A132,ESPNData!$AH:$AU,11,0)),"",VLOOKUP($A132,ESPNData!$AH:$AU,11,0))</f>
        <v>0</v>
      </c>
      <c r="L132" s="33">
        <f>IF(ISERROR(VLOOKUP($A132,ESPNData!$AH:$AU,12,0)),"",VLOOKUP($A132,ESPNData!$AH:$AU,12,0))</f>
        <v>0</v>
      </c>
      <c r="M132" s="64">
        <f>IF(ISERROR(VLOOKUP($A132,ESPNData!$AH:$AU,13,0)),"",VLOOKUP($A132,ESPNData!$AH:$AU,13,0))</f>
        <v>0</v>
      </c>
      <c r="N132" s="117">
        <f>IF(OR(($A132=Settings!$A$31),($A132=Settings!$A$32),ISERROR(VLOOKUP($B132,SportslineData!$AD:$AK,3,0))),"",ROUND(VLOOKUP($B132,SportslineData!$AD:$AK,3,0),0))</f>
        <v>29</v>
      </c>
      <c r="O132" s="33">
        <f>IF(OR(($A132=Settings!$A$31),($A132=Settings!$A$32),ISERROR(VLOOKUP($B132,SportslineData!$AD:$AK,4,0))),"",VLOOKUP($B132,SportslineData!$AD:$AK,4,0))</f>
        <v>329.5</v>
      </c>
      <c r="P132" s="33">
        <f>IF(OR(($A132=Settings!$A$31),($A132=Settings!$A$32),ISERROR(VLOOKUP($B132,SportslineData!$AD:$AK,6,0))),"",ROUND(VLOOKUP($B132,SportslineData!$AD:$AK,6,0),0))</f>
        <v>2</v>
      </c>
      <c r="Q132" s="64">
        <f>IF(OR(($A132=Settings!$A$31),($A132=Settings!$A$32),ISERROR(VLOOKUP($B132,SportslineData!$AD:$AK,7,0))),"",ROUND(VLOOKUP($B132,SportslineData!$AD:$AK,7,0),0))</f>
        <v>1</v>
      </c>
      <c r="R132" s="117"/>
      <c r="S132" s="33"/>
      <c r="T132" s="38">
        <f>IF(ISERROR(ROUND((((((ROUNDDOWN((D132/5),0)*Settings!$F$7)+(E132*Settings!$I$7))+(F132*Settings!$I$11))+(ROUNDDOWN((G132/5),0)*Settings!$F$11))+(H132*Settings!$F$12)),1)),0,ROUND((((((ROUNDDOWN((D132/5),0)*Settings!$F$7)+(E132*Settings!$I$7))+(F132*Settings!$I$11))+(ROUNDDOWN((G132/5),0)*Settings!$F$11))+(H132*Settings!$F$12)),1))</f>
        <v>113</v>
      </c>
      <c r="U132" s="38">
        <f>IF(ISERROR(ROUND((((((ROUNDDOWN((I132/5),0)*Settings!$F$7)+(J132*Settings!$I$7))+(K132*Settings!$I$11))+(ROUNDDOWN((L132/5),0)*Settings!$F$11))+(M132*Settings!$F$12)),1)),0,ROUND((((((ROUNDDOWN((I132/5),0)*Settings!$F$7)+(J132*Settings!$I$7))+(K132*Settings!$I$11))+(ROUNDDOWN((L132/5),0)*Settings!$F$11))+(M132*Settings!$F$12)),1))</f>
        <v>0</v>
      </c>
      <c r="V132" s="38">
        <f>IF((N132=""),0,((((N132*Settings!$I$11)+(ROUND((O132/5),0)*Settings!$F$11))+(P132*Settings!$F$12))+(Q132*Settings!$F$15)))</f>
        <v>58.5</v>
      </c>
      <c r="W132" s="66">
        <f>ROUND((((T132*Settings!$B$21)+(U132*Settings!$B$22))+(V132*Settings!$B$23)),1)</f>
        <v>57.2</v>
      </c>
      <c r="X132" s="66">
        <f>IF(ISERROR(VLOOKUP(RANK(W132,W$4:W$182),X$4:X131,1,0)),RANK(W132,W$4:W$182),IF(ISERROR(VLOOKUP((RANK(W132,W$4:W$182)+1),X$4:X131,1,0)),(RANK(W132,W$4:W$182)+1),IF(ISERROR(VLOOKUP((RANK(W132,W$4:W$182)+2),X$4:X131,1,0)),(RANK(W132,W$4:W$182)+2),(RANK(W132,W$4:W$182)+3))))</f>
        <v>87</v>
      </c>
      <c r="Y132" t="str">
        <f t="shared" ref="Y132:Y163" si="14">B132</f>
        <v>Santana Moss</v>
      </c>
    </row>
    <row r="133" spans="1:25" ht="12.75" customHeight="1">
      <c r="A133" s="33" t="str">
        <f>ESPNData!AH138</f>
        <v>Brandon Gibson, Mia WR</v>
      </c>
      <c r="B133" s="33" t="str">
        <f t="shared" si="12"/>
        <v>Brandon Gibson</v>
      </c>
      <c r="C133" s="64" t="str">
        <f t="shared" si="13"/>
        <v>MIA</v>
      </c>
      <c r="D133" s="117">
        <f>IF(OR(($A133=Settings!$A$31),($A133=Settings!$A$32),ISERROR(VLOOKUP($B133,FFTodayData!$AB:$AK,8,0))),"",VLOOKUP($B133,FFTodayData!$AB:$AK,8,0))</f>
        <v>0</v>
      </c>
      <c r="E133" s="33">
        <f>IF(OR(($A133=Settings!$A$31),($A133=Settings!$A$32),ISERROR(VLOOKUP($B133,FFTodayData!$AB:$AK,9,0))),"",VLOOKUP($B133,FFTodayData!$AB:$AK,9,0))</f>
        <v>0</v>
      </c>
      <c r="F133" s="33">
        <f>IF(OR(($A133=Settings!$A$31),($A133=Settings!$A$32),ISERROR(VLOOKUP($B133,FFTodayData!$AB:$AK,4,0))),"",VLOOKUP($B133,FFTodayData!$AB:$AK,4,0))</f>
        <v>11</v>
      </c>
      <c r="G133" s="33">
        <f>IF(OR(($A133=Settings!$A$31),($A133=Settings!$A$32),ISERROR(VLOOKUP($B133,FFTodayData!$AB:$AK,5,0))),"",VLOOKUP($B133,FFTodayData!$AB:$AK,5,0))</f>
        <v>175</v>
      </c>
      <c r="H133" s="64">
        <f>IF(OR(($A133=Settings!$A$31),($A133=Settings!$A$32),ISERROR(VLOOKUP($B133,FFTodayData!$AB:$AK,6,0))),"",VLOOKUP($B133,FFTodayData!$AB:$AK,6,0))</f>
        <v>0</v>
      </c>
      <c r="I133" s="117">
        <f>IF(ISERROR(VLOOKUP($A133,ESPNData!$AH:$AU,9,0)),"",VLOOKUP($A133,ESPNData!$AH:$AU,9,0))</f>
        <v>0</v>
      </c>
      <c r="J133" s="33">
        <f>IF(ISERROR(VLOOKUP($A133,ESPNData!$AH:$AU,10,0)),"",VLOOKUP($A133,ESPNData!$AH:$AU,10,0))</f>
        <v>0</v>
      </c>
      <c r="K133" s="33">
        <f>IF(ISERROR(VLOOKUP($A133,ESPNData!$AH:$AU,11,0)),"",VLOOKUP($A133,ESPNData!$AH:$AU,11,0))</f>
        <v>0</v>
      </c>
      <c r="L133" s="33">
        <f>IF(ISERROR(VLOOKUP($A133,ESPNData!$AH:$AU,12,0)),"",VLOOKUP($A133,ESPNData!$AH:$AU,12,0))</f>
        <v>0</v>
      </c>
      <c r="M133" s="64">
        <f>IF(ISERROR(VLOOKUP($A133,ESPNData!$AH:$AU,13,0)),"",VLOOKUP($A133,ESPNData!$AH:$AU,13,0))</f>
        <v>0</v>
      </c>
      <c r="N133" s="117">
        <f>IF(OR(($A133=Settings!$A$31),($A133=Settings!$A$32),ISERROR(VLOOKUP($B133,SportslineData!$AD:$AK,3,0))),"",ROUND(VLOOKUP($B133,SportslineData!$AD:$AK,3,0),0))</f>
        <v>41</v>
      </c>
      <c r="O133" s="33">
        <f>IF(OR(($A133=Settings!$A$31),($A133=Settings!$A$32),ISERROR(VLOOKUP($B133,SportslineData!$AD:$AK,4,0))),"",VLOOKUP($B133,SportslineData!$AD:$AK,4,0))</f>
        <v>477.5</v>
      </c>
      <c r="P133" s="33">
        <f>IF(OR(($A133=Settings!$A$31),($A133=Settings!$A$32),ISERROR(VLOOKUP($B133,SportslineData!$AD:$AK,6,0))),"",ROUND(VLOOKUP($B133,SportslineData!$AD:$AK,6,0),0))</f>
        <v>2</v>
      </c>
      <c r="Q133" s="64">
        <f>IF(OR(($A133=Settings!$A$31),($A133=Settings!$A$32),ISERROR(VLOOKUP($B133,SportslineData!$AD:$AK,7,0))),"",ROUND(VLOOKUP($B133,SportslineData!$AD:$AK,7,0),0))</f>
        <v>0</v>
      </c>
      <c r="R133" s="117"/>
      <c r="S133" s="33"/>
      <c r="T133" s="38">
        <f>IF(ISERROR(ROUND((((((ROUNDDOWN((D133/5),0)*Settings!$F$7)+(E133*Settings!$I$7))+(F133*Settings!$I$11))+(ROUNDDOWN((G133/5),0)*Settings!$F$11))+(H133*Settings!$F$12)),1)),0,ROUND((((((ROUNDDOWN((D133/5),0)*Settings!$F$7)+(E133*Settings!$I$7))+(F133*Settings!$I$11))+(ROUNDDOWN((G133/5),0)*Settings!$F$11))+(H133*Settings!$F$12)),1))</f>
        <v>23</v>
      </c>
      <c r="U133" s="38">
        <f>IF(ISERROR(ROUND((((((ROUNDDOWN((I133/5),0)*Settings!$F$7)+(J133*Settings!$I$7))+(K133*Settings!$I$11))+(ROUNDDOWN((L133/5),0)*Settings!$F$11))+(M133*Settings!$F$12)),1)),0,ROUND((((((ROUNDDOWN((I133/5),0)*Settings!$F$7)+(J133*Settings!$I$7))+(K133*Settings!$I$11))+(ROUNDDOWN((L133/5),0)*Settings!$F$11))+(M133*Settings!$F$12)),1))</f>
        <v>0</v>
      </c>
      <c r="V133" s="38">
        <f>IF((N133=""),0,((((N133*Settings!$I$11)+(ROUND((O133/5),0)*Settings!$F$11))+(P133*Settings!$F$12))+(Q133*Settings!$F$15)))</f>
        <v>80.5</v>
      </c>
      <c r="W133" s="66">
        <f>ROUND((((T133*Settings!$B$21)+(U133*Settings!$B$22))+(V133*Settings!$B$23)),1)</f>
        <v>35</v>
      </c>
      <c r="X133" s="66">
        <f>IF(ISERROR(VLOOKUP(RANK(W133,W$4:W$182),X$4:X132,1,0)),RANK(W133,W$4:W$182),IF(ISERROR(VLOOKUP((RANK(W133,W$4:W$182)+1),X$4:X132,1,0)),(RANK(W133,W$4:W$182)+1),IF(ISERROR(VLOOKUP((RANK(W133,W$4:W$182)+2),X$4:X132,1,0)),(RANK(W133,W$4:W$182)+2),(RANK(W133,W$4:W$182)+3))))</f>
        <v>108</v>
      </c>
      <c r="Y133" t="str">
        <f t="shared" si="14"/>
        <v>Brandon Gibson</v>
      </c>
    </row>
    <row r="134" spans="1:25" ht="12.75" customHeight="1">
      <c r="A134" s="33" t="str">
        <f>ESPNData!AH139</f>
        <v>Mike Thomas, Hou WR</v>
      </c>
      <c r="B134" s="33" t="str">
        <f t="shared" si="12"/>
        <v>Mike Thomas</v>
      </c>
      <c r="C134" s="64" t="str">
        <f t="shared" si="13"/>
        <v>HOU</v>
      </c>
      <c r="D134" s="117">
        <f>IF(OR(($A134=Settings!$A$31),($A134=Settings!$A$32),ISERROR(VLOOKUP($B134,FFTodayData!$AB:$AK,8,0))),"",VLOOKUP($B134,FFTodayData!$AB:$AK,8,0))</f>
        <v>0</v>
      </c>
      <c r="E134" s="33">
        <f>IF(OR(($A134=Settings!$A$31),($A134=Settings!$A$32),ISERROR(VLOOKUP($B134,FFTodayData!$AB:$AK,9,0))),"",VLOOKUP($B134,FFTodayData!$AB:$AK,9,0))</f>
        <v>0</v>
      </c>
      <c r="F134" s="33">
        <f>IF(OR(($A134=Settings!$A$31),($A134=Settings!$A$32),ISERROR(VLOOKUP($B134,FFTodayData!$AB:$AK,4,0))),"",VLOOKUP($B134,FFTodayData!$AB:$AK,4,0))</f>
        <v>11</v>
      </c>
      <c r="G134" s="33">
        <f>IF(OR(($A134=Settings!$A$31),($A134=Settings!$A$32),ISERROR(VLOOKUP($B134,FFTodayData!$AB:$AK,5,0))),"",VLOOKUP($B134,FFTodayData!$AB:$AK,5,0))</f>
        <v>145</v>
      </c>
      <c r="H134" s="64">
        <f>IF(OR(($A134=Settings!$A$31),($A134=Settings!$A$32),ISERROR(VLOOKUP($B134,FFTodayData!$AB:$AK,6,0))),"",VLOOKUP($B134,FFTodayData!$AB:$AK,6,0))</f>
        <v>0</v>
      </c>
      <c r="I134" s="117">
        <f>IF(ISERROR(VLOOKUP($A134,ESPNData!$AH:$AU,9,0)),"",VLOOKUP($A134,ESPNData!$AH:$AU,9,0))</f>
        <v>0</v>
      </c>
      <c r="J134" s="33">
        <f>IF(ISERROR(VLOOKUP($A134,ESPNData!$AH:$AU,10,0)),"",VLOOKUP($A134,ESPNData!$AH:$AU,10,0))</f>
        <v>0</v>
      </c>
      <c r="K134" s="33">
        <f>IF(ISERROR(VLOOKUP($A134,ESPNData!$AH:$AU,11,0)),"",VLOOKUP($A134,ESPNData!$AH:$AU,11,0))</f>
        <v>0</v>
      </c>
      <c r="L134" s="33">
        <f>IF(ISERROR(VLOOKUP($A134,ESPNData!$AH:$AU,12,0)),"",VLOOKUP($A134,ESPNData!$AH:$AU,12,0))</f>
        <v>0</v>
      </c>
      <c r="M134" s="64">
        <f>IF(ISERROR(VLOOKUP($A134,ESPNData!$AH:$AU,13,0)),"",VLOOKUP($A134,ESPNData!$AH:$AU,13,0))</f>
        <v>0</v>
      </c>
      <c r="N134" s="117">
        <f>IF(OR(($A134=Settings!$A$31),($A134=Settings!$A$32),ISERROR(VLOOKUP($B134,SportslineData!$AD:$AK,3,0))),"",ROUND(VLOOKUP($B134,SportslineData!$AD:$AK,3,0),0))</f>
        <v>9</v>
      </c>
      <c r="O134" s="33">
        <f>IF(OR(($A134=Settings!$A$31),($A134=Settings!$A$32),ISERROR(VLOOKUP($B134,SportslineData!$AD:$AK,4,0))),"",VLOOKUP($B134,SportslineData!$AD:$AK,4,0))</f>
        <v>95.5</v>
      </c>
      <c r="P134" s="33">
        <f>IF(OR(($A134=Settings!$A$31),($A134=Settings!$A$32),ISERROR(VLOOKUP($B134,SportslineData!$AD:$AK,6,0))),"",ROUND(VLOOKUP($B134,SportslineData!$AD:$AK,6,0),0))</f>
        <v>1</v>
      </c>
      <c r="Q134" s="64">
        <f>IF(OR(($A134=Settings!$A$31),($A134=Settings!$A$32),ISERROR(VLOOKUP($B134,SportslineData!$AD:$AK,7,0))),"",ROUND(VLOOKUP($B134,SportslineData!$AD:$AK,7,0),0))</f>
        <v>0</v>
      </c>
      <c r="R134" s="117"/>
      <c r="S134" s="33"/>
      <c r="T134" s="38">
        <f>IF(ISERROR(ROUND((((((ROUNDDOWN((D134/5),0)*Settings!$F$7)+(E134*Settings!$I$7))+(F134*Settings!$I$11))+(ROUNDDOWN((G134/5),0)*Settings!$F$11))+(H134*Settings!$F$12)),1)),0,ROUND((((((ROUNDDOWN((D134/5),0)*Settings!$F$7)+(E134*Settings!$I$7))+(F134*Settings!$I$11))+(ROUNDDOWN((G134/5),0)*Settings!$F$11))+(H134*Settings!$F$12)),1))</f>
        <v>20</v>
      </c>
      <c r="U134" s="38">
        <f>IF(ISERROR(ROUND((((((ROUNDDOWN((I134/5),0)*Settings!$F$7)+(J134*Settings!$I$7))+(K134*Settings!$I$11))+(ROUNDDOWN((L134/5),0)*Settings!$F$11))+(M134*Settings!$F$12)),1)),0,ROUND((((((ROUNDDOWN((I134/5),0)*Settings!$F$7)+(J134*Settings!$I$7))+(K134*Settings!$I$11))+(ROUNDDOWN((L134/5),0)*Settings!$F$11))+(M134*Settings!$F$12)),1))</f>
        <v>0</v>
      </c>
      <c r="V134" s="38">
        <f>IF((N134=""),0,((((N134*Settings!$I$11)+(ROUND((O134/5),0)*Settings!$F$11))+(P134*Settings!$F$12))+(Q134*Settings!$F$15)))</f>
        <v>20</v>
      </c>
      <c r="W134" s="66">
        <f>ROUND((((T134*Settings!$B$21)+(U134*Settings!$B$22))+(V134*Settings!$B$23)),1)</f>
        <v>13.4</v>
      </c>
      <c r="X134" s="66">
        <f>IF(ISERROR(VLOOKUP(RANK(W134,W$4:W$182),X$4:X133,1,0)),RANK(W134,W$4:W$182),IF(ISERROR(VLOOKUP((RANK(W134,W$4:W$182)+1),X$4:X133,1,0)),(RANK(W134,W$4:W$182)+1),IF(ISERROR(VLOOKUP((RANK(W134,W$4:W$182)+2),X$4:X133,1,0)),(RANK(W134,W$4:W$182)+2),(RANK(W134,W$4:W$182)+3))))</f>
        <v>141</v>
      </c>
      <c r="Y134" t="str">
        <f t="shared" si="14"/>
        <v>Mike Thomas</v>
      </c>
    </row>
    <row r="135" spans="1:25" ht="12.75" customHeight="1">
      <c r="A135" s="33" t="str">
        <f>ESPNData!AH140</f>
        <v>Dane Sanzenbacher, Cin WR</v>
      </c>
      <c r="B135" s="33" t="str">
        <f t="shared" si="12"/>
        <v>Dane Sanzenbacher</v>
      </c>
      <c r="C135" s="64" t="str">
        <f t="shared" si="13"/>
        <v>CIN</v>
      </c>
      <c r="D135" s="117" t="str">
        <f>IF(OR(($A135=Settings!$A$31),($A135=Settings!$A$32),ISERROR(VLOOKUP($B135,FFTodayData!$AB:$AK,8,0))),"",VLOOKUP($B135,FFTodayData!$AB:$AK,8,0))</f>
        <v/>
      </c>
      <c r="E135" s="33" t="str">
        <f>IF(OR(($A135=Settings!$A$31),($A135=Settings!$A$32),ISERROR(VLOOKUP($B135,FFTodayData!$AB:$AK,9,0))),"",VLOOKUP($B135,FFTodayData!$AB:$AK,9,0))</f>
        <v/>
      </c>
      <c r="F135" s="33" t="str">
        <f>IF(OR(($A135=Settings!$A$31),($A135=Settings!$A$32),ISERROR(VLOOKUP($B135,FFTodayData!$AB:$AK,4,0))),"",VLOOKUP($B135,FFTodayData!$AB:$AK,4,0))</f>
        <v/>
      </c>
      <c r="G135" s="33" t="str">
        <f>IF(OR(($A135=Settings!$A$31),($A135=Settings!$A$32),ISERROR(VLOOKUP($B135,FFTodayData!$AB:$AK,5,0))),"",VLOOKUP($B135,FFTodayData!$AB:$AK,5,0))</f>
        <v/>
      </c>
      <c r="H135" s="64" t="str">
        <f>IF(OR(($A135=Settings!$A$31),($A135=Settings!$A$32),ISERROR(VLOOKUP($B135,FFTodayData!$AB:$AK,6,0))),"",VLOOKUP($B135,FFTodayData!$AB:$AK,6,0))</f>
        <v/>
      </c>
      <c r="I135" s="117">
        <f>IF(ISERROR(VLOOKUP($A135,ESPNData!$AH:$AU,9,0)),"",VLOOKUP($A135,ESPNData!$AH:$AU,9,0))</f>
        <v>0</v>
      </c>
      <c r="J135" s="33">
        <f>IF(ISERROR(VLOOKUP($A135,ESPNData!$AH:$AU,10,0)),"",VLOOKUP($A135,ESPNData!$AH:$AU,10,0))</f>
        <v>0</v>
      </c>
      <c r="K135" s="33">
        <f>IF(ISERROR(VLOOKUP($A135,ESPNData!$AH:$AU,11,0)),"",VLOOKUP($A135,ESPNData!$AH:$AU,11,0))</f>
        <v>0</v>
      </c>
      <c r="L135" s="33">
        <f>IF(ISERROR(VLOOKUP($A135,ESPNData!$AH:$AU,12,0)),"",VLOOKUP($A135,ESPNData!$AH:$AU,12,0))</f>
        <v>0</v>
      </c>
      <c r="M135" s="64">
        <f>IF(ISERROR(VLOOKUP($A135,ESPNData!$AH:$AU,13,0)),"",VLOOKUP($A135,ESPNData!$AH:$AU,13,0))</f>
        <v>0</v>
      </c>
      <c r="N135" s="117">
        <f>IF(OR(($A135=Settings!$A$31),($A135=Settings!$A$32),ISERROR(VLOOKUP($B135,SportslineData!$AD:$AK,3,0))),"",ROUND(VLOOKUP($B135,SportslineData!$AD:$AK,3,0),0))</f>
        <v>11</v>
      </c>
      <c r="O135" s="33">
        <f>IF(OR(($A135=Settings!$A$31),($A135=Settings!$A$32),ISERROR(VLOOKUP($B135,SportslineData!$AD:$AK,4,0))),"",VLOOKUP($B135,SportslineData!$AD:$AK,4,0))</f>
        <v>129.5</v>
      </c>
      <c r="P135" s="33">
        <f>IF(OR(($A135=Settings!$A$31),($A135=Settings!$A$32),ISERROR(VLOOKUP($B135,SportslineData!$AD:$AK,6,0))),"",ROUND(VLOOKUP($B135,SportslineData!$AD:$AK,6,0),0))</f>
        <v>1</v>
      </c>
      <c r="Q135" s="64">
        <f>IF(OR(($A135=Settings!$A$31),($A135=Settings!$A$32),ISERROR(VLOOKUP($B135,SportslineData!$AD:$AK,7,0))),"",ROUND(VLOOKUP($B135,SportslineData!$AD:$AK,7,0),0))</f>
        <v>0</v>
      </c>
      <c r="R135" s="117"/>
      <c r="S135" s="33"/>
      <c r="T135" s="38">
        <f>IF(ISERROR(ROUND((((((ROUNDDOWN((D135/5),0)*Settings!$F$7)+(E135*Settings!$I$7))+(F135*Settings!$I$11))+(ROUNDDOWN((G135/5),0)*Settings!$F$11))+(H135*Settings!$F$12)),1)),0,ROUND((((((ROUNDDOWN((D135/5),0)*Settings!$F$7)+(E135*Settings!$I$7))+(F135*Settings!$I$11))+(ROUNDDOWN((G135/5),0)*Settings!$F$11))+(H135*Settings!$F$12)),1))</f>
        <v>0</v>
      </c>
      <c r="U135" s="38">
        <f>IF(ISERROR(ROUND((((((ROUNDDOWN((I135/5),0)*Settings!$F$7)+(J135*Settings!$I$7))+(K135*Settings!$I$11))+(ROUNDDOWN((L135/5),0)*Settings!$F$11))+(M135*Settings!$F$12)),1)),0,ROUND((((((ROUNDDOWN((I135/5),0)*Settings!$F$7)+(J135*Settings!$I$7))+(K135*Settings!$I$11))+(ROUNDDOWN((L135/5),0)*Settings!$F$11))+(M135*Settings!$F$12)),1))</f>
        <v>0</v>
      </c>
      <c r="V135" s="38">
        <f>IF((N135=""),0,((((N135*Settings!$I$11)+(ROUND((O135/5),0)*Settings!$F$11))+(P135*Settings!$F$12))+(Q135*Settings!$F$15)))</f>
        <v>24.5</v>
      </c>
      <c r="W135" s="66">
        <f>ROUND((((T135*Settings!$B$21)+(U135*Settings!$B$22))+(V135*Settings!$B$23)),1)</f>
        <v>8.3000000000000007</v>
      </c>
      <c r="X135" s="66">
        <f>IF(ISERROR(VLOOKUP(RANK(W135,W$4:W$182),X$4:X134,1,0)),RANK(W135,W$4:W$182),IF(ISERROR(VLOOKUP((RANK(W135,W$4:W$182)+1),X$4:X134,1,0)),(RANK(W135,W$4:W$182)+1),IF(ISERROR(VLOOKUP((RANK(W135,W$4:W$182)+2),X$4:X134,1,0)),(RANK(W135,W$4:W$182)+2),(RANK(W135,W$4:W$182)+3))))</f>
        <v>147</v>
      </c>
      <c r="Y135" t="str">
        <f t="shared" si="14"/>
        <v>Dane Sanzenbacher</v>
      </c>
    </row>
    <row r="136" spans="1:25" ht="12.75" customHeight="1">
      <c r="A136" s="33" t="str">
        <f>ESPNData!AH141</f>
        <v>Brandon Lloyd, SF WR</v>
      </c>
      <c r="B136" s="33" t="str">
        <f t="shared" si="12"/>
        <v>Brandon Lloyd</v>
      </c>
      <c r="C136" s="64" t="str">
        <f t="shared" si="13"/>
        <v>SF</v>
      </c>
      <c r="D136" s="117" t="str">
        <f>IF(OR(($A136=Settings!$A$31),($A136=Settings!$A$32),ISERROR(VLOOKUP($B136,FFTodayData!$AB:$AK,8,0))),"",VLOOKUP($B136,FFTodayData!$AB:$AK,8,0))</f>
        <v/>
      </c>
      <c r="E136" s="33" t="str">
        <f>IF(OR(($A136=Settings!$A$31),($A136=Settings!$A$32),ISERROR(VLOOKUP($B136,FFTodayData!$AB:$AK,9,0))),"",VLOOKUP($B136,FFTodayData!$AB:$AK,9,0))</f>
        <v/>
      </c>
      <c r="F136" s="33" t="str">
        <f>IF(OR(($A136=Settings!$A$31),($A136=Settings!$A$32),ISERROR(VLOOKUP($B136,FFTodayData!$AB:$AK,4,0))),"",VLOOKUP($B136,FFTodayData!$AB:$AK,4,0))</f>
        <v/>
      </c>
      <c r="G136" s="33" t="str">
        <f>IF(OR(($A136=Settings!$A$31),($A136=Settings!$A$32),ISERROR(VLOOKUP($B136,FFTodayData!$AB:$AK,5,0))),"",VLOOKUP($B136,FFTodayData!$AB:$AK,5,0))</f>
        <v/>
      </c>
      <c r="H136" s="64" t="str">
        <f>IF(OR(($A136=Settings!$A$31),($A136=Settings!$A$32),ISERROR(VLOOKUP($B136,FFTodayData!$AB:$AK,6,0))),"",VLOOKUP($B136,FFTodayData!$AB:$AK,6,0))</f>
        <v/>
      </c>
      <c r="I136" s="117">
        <f>IF(ISERROR(VLOOKUP($A136,ESPNData!$AH:$AU,9,0)),"",VLOOKUP($A136,ESPNData!$AH:$AU,9,0))</f>
        <v>0</v>
      </c>
      <c r="J136" s="33">
        <f>IF(ISERROR(VLOOKUP($A136,ESPNData!$AH:$AU,10,0)),"",VLOOKUP($A136,ESPNData!$AH:$AU,10,0))</f>
        <v>0</v>
      </c>
      <c r="K136" s="33">
        <f>IF(ISERROR(VLOOKUP($A136,ESPNData!$AH:$AU,11,0)),"",VLOOKUP($A136,ESPNData!$AH:$AU,11,0))</f>
        <v>0</v>
      </c>
      <c r="L136" s="33">
        <f>IF(ISERROR(VLOOKUP($A136,ESPNData!$AH:$AU,12,0)),"",VLOOKUP($A136,ESPNData!$AH:$AU,12,0))</f>
        <v>0</v>
      </c>
      <c r="M136" s="64">
        <f>IF(ISERROR(VLOOKUP($A136,ESPNData!$AH:$AU,13,0)),"",VLOOKUP($A136,ESPNData!$AH:$AU,13,0))</f>
        <v>0</v>
      </c>
      <c r="N136" s="117">
        <f>IF(OR(($A136=Settings!$A$31),($A136=Settings!$A$32),ISERROR(VLOOKUP($B136,SportslineData!$AD:$AK,3,0))),"",ROUND(VLOOKUP($B136,SportslineData!$AD:$AK,3,0),0))</f>
        <v>23</v>
      </c>
      <c r="O136" s="33">
        <f>IF(OR(($A136=Settings!$A$31),($A136=Settings!$A$32),ISERROR(VLOOKUP($B136,SportslineData!$AD:$AK,4,0))),"",VLOOKUP($B136,SportslineData!$AD:$AK,4,0))</f>
        <v>311.5</v>
      </c>
      <c r="P136" s="33">
        <f>IF(OR(($A136=Settings!$A$31),($A136=Settings!$A$32),ISERROR(VLOOKUP($B136,SportslineData!$AD:$AK,6,0))),"",ROUND(VLOOKUP($B136,SportslineData!$AD:$AK,6,0),0))</f>
        <v>2</v>
      </c>
      <c r="Q136" s="64">
        <f>IF(OR(($A136=Settings!$A$31),($A136=Settings!$A$32),ISERROR(VLOOKUP($B136,SportslineData!$AD:$AK,7,0))),"",ROUND(VLOOKUP($B136,SportslineData!$AD:$AK,7,0),0))</f>
        <v>0</v>
      </c>
      <c r="R136" s="117"/>
      <c r="S136" s="33"/>
      <c r="T136" s="38">
        <f>IF(ISERROR(ROUND((((((ROUNDDOWN((D136/5),0)*Settings!$F$7)+(E136*Settings!$I$7))+(F136*Settings!$I$11))+(ROUNDDOWN((G136/5),0)*Settings!$F$11))+(H136*Settings!$F$12)),1)),0,ROUND((((((ROUNDDOWN((D136/5),0)*Settings!$F$7)+(E136*Settings!$I$7))+(F136*Settings!$I$11))+(ROUNDDOWN((G136/5),0)*Settings!$F$11))+(H136*Settings!$F$12)),1))</f>
        <v>0</v>
      </c>
      <c r="U136" s="38">
        <f>IF(ISERROR(ROUND((((((ROUNDDOWN((I136/5),0)*Settings!$F$7)+(J136*Settings!$I$7))+(K136*Settings!$I$11))+(ROUNDDOWN((L136/5),0)*Settings!$F$11))+(M136*Settings!$F$12)),1)),0,ROUND((((((ROUNDDOWN((I136/5),0)*Settings!$F$7)+(J136*Settings!$I$7))+(K136*Settings!$I$11))+(ROUNDDOWN((L136/5),0)*Settings!$F$11))+(M136*Settings!$F$12)),1))</f>
        <v>0</v>
      </c>
      <c r="V136" s="38">
        <f>IF((N136=""),0,((((N136*Settings!$I$11)+(ROUND((O136/5),0)*Settings!$F$11))+(P136*Settings!$F$12))+(Q136*Settings!$F$15)))</f>
        <v>54.5</v>
      </c>
      <c r="W136" s="66">
        <f>ROUND((((T136*Settings!$B$21)+(U136*Settings!$B$22))+(V136*Settings!$B$23)),1)</f>
        <v>18.5</v>
      </c>
      <c r="X136" s="66">
        <f>IF(ISERROR(VLOOKUP(RANK(W136,W$4:W$182),X$4:X135,1,0)),RANK(W136,W$4:W$182),IF(ISERROR(VLOOKUP((RANK(W136,W$4:W$182)+1),X$4:X135,1,0)),(RANK(W136,W$4:W$182)+1),IF(ISERROR(VLOOKUP((RANK(W136,W$4:W$182)+2),X$4:X135,1,0)),(RANK(W136,W$4:W$182)+2),(RANK(W136,W$4:W$182)+3))))</f>
        <v>130</v>
      </c>
      <c r="Y136" t="str">
        <f t="shared" si="14"/>
        <v>Brandon Lloyd</v>
      </c>
    </row>
    <row r="137" spans="1:25" ht="12.75" customHeight="1">
      <c r="A137" s="33" t="str">
        <f>ESPNData!AH142</f>
        <v>Tavarres King, Car WR</v>
      </c>
      <c r="B137" s="33" t="str">
        <f t="shared" si="12"/>
        <v>Tavarres King</v>
      </c>
      <c r="C137" s="64" t="str">
        <f t="shared" si="13"/>
        <v>CAR</v>
      </c>
      <c r="D137" s="117" t="str">
        <f>IF(OR(($A137=Settings!$A$31),($A137=Settings!$A$32),ISERROR(VLOOKUP($B137,FFTodayData!$AB:$AK,8,0))),"",VLOOKUP($B137,FFTodayData!$AB:$AK,8,0))</f>
        <v/>
      </c>
      <c r="E137" s="33" t="str">
        <f>IF(OR(($A137=Settings!$A$31),($A137=Settings!$A$32),ISERROR(VLOOKUP($B137,FFTodayData!$AB:$AK,9,0))),"",VLOOKUP($B137,FFTodayData!$AB:$AK,9,0))</f>
        <v/>
      </c>
      <c r="F137" s="33" t="str">
        <f>IF(OR(($A137=Settings!$A$31),($A137=Settings!$A$32),ISERROR(VLOOKUP($B137,FFTodayData!$AB:$AK,4,0))),"",VLOOKUP($B137,FFTodayData!$AB:$AK,4,0))</f>
        <v/>
      </c>
      <c r="G137" s="33" t="str">
        <f>IF(OR(($A137=Settings!$A$31),($A137=Settings!$A$32),ISERROR(VLOOKUP($B137,FFTodayData!$AB:$AK,5,0))),"",VLOOKUP($B137,FFTodayData!$AB:$AK,5,0))</f>
        <v/>
      </c>
      <c r="H137" s="64" t="str">
        <f>IF(OR(($A137=Settings!$A$31),($A137=Settings!$A$32),ISERROR(VLOOKUP($B137,FFTodayData!$AB:$AK,6,0))),"",VLOOKUP($B137,FFTodayData!$AB:$AK,6,0))</f>
        <v/>
      </c>
      <c r="I137" s="117">
        <f>IF(ISERROR(VLOOKUP($A137,ESPNData!$AH:$AU,9,0)),"",VLOOKUP($A137,ESPNData!$AH:$AU,9,0))</f>
        <v>0</v>
      </c>
      <c r="J137" s="33">
        <f>IF(ISERROR(VLOOKUP($A137,ESPNData!$AH:$AU,10,0)),"",VLOOKUP($A137,ESPNData!$AH:$AU,10,0))</f>
        <v>0</v>
      </c>
      <c r="K137" s="33">
        <f>IF(ISERROR(VLOOKUP($A137,ESPNData!$AH:$AU,11,0)),"",VLOOKUP($A137,ESPNData!$AH:$AU,11,0))</f>
        <v>0</v>
      </c>
      <c r="L137" s="33">
        <f>IF(ISERROR(VLOOKUP($A137,ESPNData!$AH:$AU,12,0)),"",VLOOKUP($A137,ESPNData!$AH:$AU,12,0))</f>
        <v>0</v>
      </c>
      <c r="M137" s="64">
        <f>IF(ISERROR(VLOOKUP($A137,ESPNData!$AH:$AU,13,0)),"",VLOOKUP($A137,ESPNData!$AH:$AU,13,0))</f>
        <v>0</v>
      </c>
      <c r="N137" s="117">
        <f>IF(OR(($A137=Settings!$A$31),($A137=Settings!$A$32),ISERROR(VLOOKUP($B137,SportslineData!$AD:$AK,3,0))),"",ROUND(VLOOKUP($B137,SportslineData!$AD:$AK,3,0),0))</f>
        <v>8</v>
      </c>
      <c r="O137" s="33">
        <f>IF(OR(($A137=Settings!$A$31),($A137=Settings!$A$32),ISERROR(VLOOKUP($B137,SportslineData!$AD:$AK,4,0))),"",VLOOKUP($B137,SportslineData!$AD:$AK,4,0))</f>
        <v>116</v>
      </c>
      <c r="P137" s="33">
        <f>IF(OR(($A137=Settings!$A$31),($A137=Settings!$A$32),ISERROR(VLOOKUP($B137,SportslineData!$AD:$AK,6,0))),"",ROUND(VLOOKUP($B137,SportslineData!$AD:$AK,6,0),0))</f>
        <v>1</v>
      </c>
      <c r="Q137" s="64">
        <f>IF(OR(($A137=Settings!$A$31),($A137=Settings!$A$32),ISERROR(VLOOKUP($B137,SportslineData!$AD:$AK,7,0))),"",ROUND(VLOOKUP($B137,SportslineData!$AD:$AK,7,0),0))</f>
        <v>0</v>
      </c>
      <c r="R137" s="117"/>
      <c r="S137" s="33"/>
      <c r="T137" s="38">
        <f>IF(ISERROR(ROUND((((((ROUNDDOWN((D137/5),0)*Settings!$F$7)+(E137*Settings!$I$7))+(F137*Settings!$I$11))+(ROUNDDOWN((G137/5),0)*Settings!$F$11))+(H137*Settings!$F$12)),1)),0,ROUND((((((ROUNDDOWN((D137/5),0)*Settings!$F$7)+(E137*Settings!$I$7))+(F137*Settings!$I$11))+(ROUNDDOWN((G137/5),0)*Settings!$F$11))+(H137*Settings!$F$12)),1))</f>
        <v>0</v>
      </c>
      <c r="U137" s="38">
        <f>IF(ISERROR(ROUND((((((ROUNDDOWN((I137/5),0)*Settings!$F$7)+(J137*Settings!$I$7))+(K137*Settings!$I$11))+(ROUNDDOWN((L137/5),0)*Settings!$F$11))+(M137*Settings!$F$12)),1)),0,ROUND((((((ROUNDDOWN((I137/5),0)*Settings!$F$7)+(J137*Settings!$I$7))+(K137*Settings!$I$11))+(ROUNDDOWN((L137/5),0)*Settings!$F$11))+(M137*Settings!$F$12)),1))</f>
        <v>0</v>
      </c>
      <c r="V137" s="38">
        <f>IF((N137=""),0,((((N137*Settings!$I$11)+(ROUND((O137/5),0)*Settings!$F$11))+(P137*Settings!$F$12))+(Q137*Settings!$F$15)))</f>
        <v>21.5</v>
      </c>
      <c r="W137" s="66">
        <f>ROUND((((T137*Settings!$B$21)+(U137*Settings!$B$22))+(V137*Settings!$B$23)),1)</f>
        <v>7.3</v>
      </c>
      <c r="X137" s="66">
        <f>IF(ISERROR(VLOOKUP(RANK(W137,W$4:W$182),X$4:X136,1,0)),RANK(W137,W$4:W$182),IF(ISERROR(VLOOKUP((RANK(W137,W$4:W$182)+1),X$4:X136,1,0)),(RANK(W137,W$4:W$182)+1),IF(ISERROR(VLOOKUP((RANK(W137,W$4:W$182)+2),X$4:X136,1,0)),(RANK(W137,W$4:W$182)+2),(RANK(W137,W$4:W$182)+3))))</f>
        <v>149</v>
      </c>
      <c r="Y137" t="str">
        <f t="shared" si="14"/>
        <v>Tavarres King</v>
      </c>
    </row>
    <row r="138" spans="1:25" ht="12.75" customHeight="1">
      <c r="A138" s="33" t="str">
        <f>ESPNData!AH143</f>
        <v>Darrius Heyward-Bey, Pit WR</v>
      </c>
      <c r="B138" s="33" t="str">
        <f t="shared" si="12"/>
        <v>Darrius Heyward-Bey</v>
      </c>
      <c r="C138" s="64" t="str">
        <f t="shared" si="13"/>
        <v>PIT</v>
      </c>
      <c r="D138" s="117" t="str">
        <f>IF(OR(($A138=Settings!$A$31),($A138=Settings!$A$32),ISERROR(VLOOKUP($B138,FFTodayData!$AB:$AK,8,0))),"",VLOOKUP($B138,FFTodayData!$AB:$AK,8,0))</f>
        <v/>
      </c>
      <c r="E138" s="33" t="str">
        <f>IF(OR(($A138=Settings!$A$31),($A138=Settings!$A$32),ISERROR(VLOOKUP($B138,FFTodayData!$AB:$AK,9,0))),"",VLOOKUP($B138,FFTodayData!$AB:$AK,9,0))</f>
        <v/>
      </c>
      <c r="F138" s="33" t="str">
        <f>IF(OR(($A138=Settings!$A$31),($A138=Settings!$A$32),ISERROR(VLOOKUP($B138,FFTodayData!$AB:$AK,4,0))),"",VLOOKUP($B138,FFTodayData!$AB:$AK,4,0))</f>
        <v/>
      </c>
      <c r="G138" s="33" t="str">
        <f>IF(OR(($A138=Settings!$A$31),($A138=Settings!$A$32),ISERROR(VLOOKUP($B138,FFTodayData!$AB:$AK,5,0))),"",VLOOKUP($B138,FFTodayData!$AB:$AK,5,0))</f>
        <v/>
      </c>
      <c r="H138" s="64" t="str">
        <f>IF(OR(($A138=Settings!$A$31),($A138=Settings!$A$32),ISERROR(VLOOKUP($B138,FFTodayData!$AB:$AK,6,0))),"",VLOOKUP($B138,FFTodayData!$AB:$AK,6,0))</f>
        <v/>
      </c>
      <c r="I138" s="117">
        <f>IF(ISERROR(VLOOKUP($A138,ESPNData!$AH:$AU,9,0)),"",VLOOKUP($A138,ESPNData!$AH:$AU,9,0))</f>
        <v>0</v>
      </c>
      <c r="J138" s="33">
        <f>IF(ISERROR(VLOOKUP($A138,ESPNData!$AH:$AU,10,0)),"",VLOOKUP($A138,ESPNData!$AH:$AU,10,0))</f>
        <v>0</v>
      </c>
      <c r="K138" s="33">
        <f>IF(ISERROR(VLOOKUP($A138,ESPNData!$AH:$AU,11,0)),"",VLOOKUP($A138,ESPNData!$AH:$AU,11,0))</f>
        <v>0</v>
      </c>
      <c r="L138" s="33">
        <f>IF(ISERROR(VLOOKUP($A138,ESPNData!$AH:$AU,12,0)),"",VLOOKUP($A138,ESPNData!$AH:$AU,12,0))</f>
        <v>0</v>
      </c>
      <c r="M138" s="64">
        <f>IF(ISERROR(VLOOKUP($A138,ESPNData!$AH:$AU,13,0)),"",VLOOKUP($A138,ESPNData!$AH:$AU,13,0))</f>
        <v>0</v>
      </c>
      <c r="N138" s="117">
        <f>IF(OR(($A138=Settings!$A$31),($A138=Settings!$A$32),ISERROR(VLOOKUP($B138,SportslineData!$AD:$AK,3,0))),"",ROUND(VLOOKUP($B138,SportslineData!$AD:$AK,3,0),0))</f>
        <v>22</v>
      </c>
      <c r="O138" s="33">
        <f>IF(OR(($A138=Settings!$A$31),($A138=Settings!$A$32),ISERROR(VLOOKUP($B138,SportslineData!$AD:$AK,4,0))),"",VLOOKUP($B138,SportslineData!$AD:$AK,4,0))</f>
        <v>341.5</v>
      </c>
      <c r="P138" s="33">
        <f>IF(OR(($A138=Settings!$A$31),($A138=Settings!$A$32),ISERROR(VLOOKUP($B138,SportslineData!$AD:$AK,6,0))),"",ROUND(VLOOKUP($B138,SportslineData!$AD:$AK,6,0),0))</f>
        <v>1</v>
      </c>
      <c r="Q138" s="64">
        <f>IF(OR(($A138=Settings!$A$31),($A138=Settings!$A$32),ISERROR(VLOOKUP($B138,SportslineData!$AD:$AK,7,0))),"",ROUND(VLOOKUP($B138,SportslineData!$AD:$AK,7,0),0))</f>
        <v>1</v>
      </c>
      <c r="R138" s="117"/>
      <c r="S138" s="33"/>
      <c r="T138" s="38">
        <f>IF(ISERROR(ROUND((((((ROUNDDOWN((D138/5),0)*Settings!$F$7)+(E138*Settings!$I$7))+(F138*Settings!$I$11))+(ROUNDDOWN((G138/5),0)*Settings!$F$11))+(H138*Settings!$F$12)),1)),0,ROUND((((((ROUNDDOWN((D138/5),0)*Settings!$F$7)+(E138*Settings!$I$7))+(F138*Settings!$I$11))+(ROUNDDOWN((G138/5),0)*Settings!$F$11))+(H138*Settings!$F$12)),1))</f>
        <v>0</v>
      </c>
      <c r="U138" s="38">
        <f>IF(ISERROR(ROUND((((((ROUNDDOWN((I138/5),0)*Settings!$F$7)+(J138*Settings!$I$7))+(K138*Settings!$I$11))+(ROUNDDOWN((L138/5),0)*Settings!$F$11))+(M138*Settings!$F$12)),1)),0,ROUND((((((ROUNDDOWN((I138/5),0)*Settings!$F$7)+(J138*Settings!$I$7))+(K138*Settings!$I$11))+(ROUNDDOWN((L138/5),0)*Settings!$F$11))+(M138*Settings!$F$12)),1))</f>
        <v>0</v>
      </c>
      <c r="V138" s="38">
        <f>IF((N138=""),0,((((N138*Settings!$I$11)+(ROUND((O138/5),0)*Settings!$F$11))+(P138*Settings!$F$12))+(Q138*Settings!$F$15)))</f>
        <v>50</v>
      </c>
      <c r="W138" s="66">
        <f>ROUND((((T138*Settings!$B$21)+(U138*Settings!$B$22))+(V138*Settings!$B$23)),1)</f>
        <v>17</v>
      </c>
      <c r="X138" s="66">
        <f>IF(ISERROR(VLOOKUP(RANK(W138,W$4:W$182),X$4:X137,1,0)),RANK(W138,W$4:W$182),IF(ISERROR(VLOOKUP((RANK(W138,W$4:W$182)+1),X$4:X137,1,0)),(RANK(W138,W$4:W$182)+1),IF(ISERROR(VLOOKUP((RANK(W138,W$4:W$182)+2),X$4:X137,1,0)),(RANK(W138,W$4:W$182)+2),(RANK(W138,W$4:W$182)+3))))</f>
        <v>136</v>
      </c>
      <c r="Y138" t="str">
        <f t="shared" si="14"/>
        <v>Darrius Heyward-Bey</v>
      </c>
    </row>
    <row r="139" spans="1:25" ht="12.75" customHeight="1">
      <c r="A139" s="33" t="str">
        <f>ESPNData!AH144</f>
        <v>Tiquan Underwood, Car WR</v>
      </c>
      <c r="B139" s="33" t="str">
        <f t="shared" si="12"/>
        <v>Tiquan Underwood</v>
      </c>
      <c r="C139" s="64" t="str">
        <f t="shared" si="13"/>
        <v>CAR</v>
      </c>
      <c r="D139" s="117" t="str">
        <f>IF(OR(($A139=Settings!$A$31),($A139=Settings!$A$32),ISERROR(VLOOKUP($B139,FFTodayData!$AB:$AK,8,0))),"",VLOOKUP($B139,FFTodayData!$AB:$AK,8,0))</f>
        <v/>
      </c>
      <c r="E139" s="33" t="str">
        <f>IF(OR(($A139=Settings!$A$31),($A139=Settings!$A$32),ISERROR(VLOOKUP($B139,FFTodayData!$AB:$AK,9,0))),"",VLOOKUP($B139,FFTodayData!$AB:$AK,9,0))</f>
        <v/>
      </c>
      <c r="F139" s="33" t="str">
        <f>IF(OR(($A139=Settings!$A$31),($A139=Settings!$A$32),ISERROR(VLOOKUP($B139,FFTodayData!$AB:$AK,4,0))),"",VLOOKUP($B139,FFTodayData!$AB:$AK,4,0))</f>
        <v/>
      </c>
      <c r="G139" s="33" t="str">
        <f>IF(OR(($A139=Settings!$A$31),($A139=Settings!$A$32),ISERROR(VLOOKUP($B139,FFTodayData!$AB:$AK,5,0))),"",VLOOKUP($B139,FFTodayData!$AB:$AK,5,0))</f>
        <v/>
      </c>
      <c r="H139" s="64" t="str">
        <f>IF(OR(($A139=Settings!$A$31),($A139=Settings!$A$32),ISERROR(VLOOKUP($B139,FFTodayData!$AB:$AK,6,0))),"",VLOOKUP($B139,FFTodayData!$AB:$AK,6,0))</f>
        <v/>
      </c>
      <c r="I139" s="117">
        <f>IF(ISERROR(VLOOKUP($A139,ESPNData!$AH:$AU,9,0)),"",VLOOKUP($A139,ESPNData!$AH:$AU,9,0))</f>
        <v>0</v>
      </c>
      <c r="J139" s="33">
        <f>IF(ISERROR(VLOOKUP($A139,ESPNData!$AH:$AU,10,0)),"",VLOOKUP($A139,ESPNData!$AH:$AU,10,0))</f>
        <v>0</v>
      </c>
      <c r="K139" s="33">
        <f>IF(ISERROR(VLOOKUP($A139,ESPNData!$AH:$AU,11,0)),"",VLOOKUP($A139,ESPNData!$AH:$AU,11,0))</f>
        <v>0</v>
      </c>
      <c r="L139" s="33">
        <f>IF(ISERROR(VLOOKUP($A139,ESPNData!$AH:$AU,12,0)),"",VLOOKUP($A139,ESPNData!$AH:$AU,12,0))</f>
        <v>0</v>
      </c>
      <c r="M139" s="64">
        <f>IF(ISERROR(VLOOKUP($A139,ESPNData!$AH:$AU,13,0)),"",VLOOKUP($A139,ESPNData!$AH:$AU,13,0))</f>
        <v>0</v>
      </c>
      <c r="N139" s="117">
        <f>IF(OR(($A139=Settings!$A$31),($A139=Settings!$A$32),ISERROR(VLOOKUP($B139,SportslineData!$AD:$AK,3,0))),"",ROUND(VLOOKUP($B139,SportslineData!$AD:$AK,3,0),0))</f>
        <v>19</v>
      </c>
      <c r="O139" s="33">
        <f>IF(OR(($A139=Settings!$A$31),($A139=Settings!$A$32),ISERROR(VLOOKUP($B139,SportslineData!$AD:$AK,4,0))),"",VLOOKUP($B139,SportslineData!$AD:$AK,4,0))</f>
        <v>314.5</v>
      </c>
      <c r="P139" s="33">
        <f>IF(OR(($A139=Settings!$A$31),($A139=Settings!$A$32),ISERROR(VLOOKUP($B139,SportslineData!$AD:$AK,6,0))),"",ROUND(VLOOKUP($B139,SportslineData!$AD:$AK,6,0),0))</f>
        <v>2</v>
      </c>
      <c r="Q139" s="64">
        <f>IF(OR(($A139=Settings!$A$31),($A139=Settings!$A$32),ISERROR(VLOOKUP($B139,SportslineData!$AD:$AK,7,0))),"",ROUND(VLOOKUP($B139,SportslineData!$AD:$AK,7,0),0))</f>
        <v>0</v>
      </c>
      <c r="R139" s="117"/>
      <c r="S139" s="33"/>
      <c r="T139" s="38">
        <f>IF(ISERROR(ROUND((((((ROUNDDOWN((D139/5),0)*Settings!$F$7)+(E139*Settings!$I$7))+(F139*Settings!$I$11))+(ROUNDDOWN((G139/5),0)*Settings!$F$11))+(H139*Settings!$F$12)),1)),0,ROUND((((((ROUNDDOWN((D139/5),0)*Settings!$F$7)+(E139*Settings!$I$7))+(F139*Settings!$I$11))+(ROUNDDOWN((G139/5),0)*Settings!$F$11))+(H139*Settings!$F$12)),1))</f>
        <v>0</v>
      </c>
      <c r="U139" s="38">
        <f>IF(ISERROR(ROUND((((((ROUNDDOWN((I139/5),0)*Settings!$F$7)+(J139*Settings!$I$7))+(K139*Settings!$I$11))+(ROUNDDOWN((L139/5),0)*Settings!$F$11))+(M139*Settings!$F$12)),1)),0,ROUND((((((ROUNDDOWN((I139/5),0)*Settings!$F$7)+(J139*Settings!$I$7))+(K139*Settings!$I$11))+(ROUNDDOWN((L139/5),0)*Settings!$F$11))+(M139*Settings!$F$12)),1))</f>
        <v>0</v>
      </c>
      <c r="V139" s="38">
        <f>IF((N139=""),0,((((N139*Settings!$I$11)+(ROUND((O139/5),0)*Settings!$F$11))+(P139*Settings!$F$12))+(Q139*Settings!$F$15)))</f>
        <v>53</v>
      </c>
      <c r="W139" s="66">
        <f>ROUND((((T139*Settings!$B$21)+(U139*Settings!$B$22))+(V139*Settings!$B$23)),1)</f>
        <v>18</v>
      </c>
      <c r="X139" s="66">
        <f>IF(ISERROR(VLOOKUP(RANK(W139,W$4:W$182),X$4:X138,1,0)),RANK(W139,W$4:W$182),IF(ISERROR(VLOOKUP((RANK(W139,W$4:W$182)+1),X$4:X138,1,0)),(RANK(W139,W$4:W$182)+1),IF(ISERROR(VLOOKUP((RANK(W139,W$4:W$182)+2),X$4:X138,1,0)),(RANK(W139,W$4:W$182)+2),(RANK(W139,W$4:W$182)+3))))</f>
        <v>132</v>
      </c>
      <c r="Y139" t="str">
        <f t="shared" si="14"/>
        <v>Tiquan Underwood</v>
      </c>
    </row>
    <row r="140" spans="1:25" ht="12.75" customHeight="1">
      <c r="A140" s="33" t="str">
        <f>ESPNData!AH145</f>
        <v>Bruce Ellington, SF WR</v>
      </c>
      <c r="B140" s="33" t="str">
        <f t="shared" si="12"/>
        <v>Bruce Ellington</v>
      </c>
      <c r="C140" s="64" t="str">
        <f t="shared" si="13"/>
        <v>SF</v>
      </c>
      <c r="D140" s="117" t="str">
        <f>IF(OR(($A140=Settings!$A$31),($A140=Settings!$A$32),ISERROR(VLOOKUP($B140,FFTodayData!$AB:$AK,8,0))),"",VLOOKUP($B140,FFTodayData!$AB:$AK,8,0))</f>
        <v/>
      </c>
      <c r="E140" s="33" t="str">
        <f>IF(OR(($A140=Settings!$A$31),($A140=Settings!$A$32),ISERROR(VLOOKUP($B140,FFTodayData!$AB:$AK,9,0))),"",VLOOKUP($B140,FFTodayData!$AB:$AK,9,0))</f>
        <v/>
      </c>
      <c r="F140" s="33" t="str">
        <f>IF(OR(($A140=Settings!$A$31),($A140=Settings!$A$32),ISERROR(VLOOKUP($B140,FFTodayData!$AB:$AK,4,0))),"",VLOOKUP($B140,FFTodayData!$AB:$AK,4,0))</f>
        <v/>
      </c>
      <c r="G140" s="33" t="str">
        <f>IF(OR(($A140=Settings!$A$31),($A140=Settings!$A$32),ISERROR(VLOOKUP($B140,FFTodayData!$AB:$AK,5,0))),"",VLOOKUP($B140,FFTodayData!$AB:$AK,5,0))</f>
        <v/>
      </c>
      <c r="H140" s="64" t="str">
        <f>IF(OR(($A140=Settings!$A$31),($A140=Settings!$A$32),ISERROR(VLOOKUP($B140,FFTodayData!$AB:$AK,6,0))),"",VLOOKUP($B140,FFTodayData!$AB:$AK,6,0))</f>
        <v/>
      </c>
      <c r="I140" s="117">
        <f>IF(ISERROR(VLOOKUP($A140,ESPNData!$AH:$AU,9,0)),"",VLOOKUP($A140,ESPNData!$AH:$AU,9,0))</f>
        <v>0</v>
      </c>
      <c r="J140" s="33">
        <f>IF(ISERROR(VLOOKUP($A140,ESPNData!$AH:$AU,10,0)),"",VLOOKUP($A140,ESPNData!$AH:$AU,10,0))</f>
        <v>0</v>
      </c>
      <c r="K140" s="33">
        <f>IF(ISERROR(VLOOKUP($A140,ESPNData!$AH:$AU,11,0)),"",VLOOKUP($A140,ESPNData!$AH:$AU,11,0))</f>
        <v>0</v>
      </c>
      <c r="L140" s="33">
        <f>IF(ISERROR(VLOOKUP($A140,ESPNData!$AH:$AU,12,0)),"",VLOOKUP($A140,ESPNData!$AH:$AU,12,0))</f>
        <v>0</v>
      </c>
      <c r="M140" s="64">
        <f>IF(ISERROR(VLOOKUP($A140,ESPNData!$AH:$AU,13,0)),"",VLOOKUP($A140,ESPNData!$AH:$AU,13,0))</f>
        <v>0</v>
      </c>
      <c r="N140" s="117">
        <f>IF(OR(($A140=Settings!$A$31),($A140=Settings!$A$32),ISERROR(VLOOKUP($B140,SportslineData!$AD:$AK,3,0))),"",ROUND(VLOOKUP($B140,SportslineData!$AD:$AK,3,0),0))</f>
        <v>12</v>
      </c>
      <c r="O140" s="33">
        <f>IF(OR(($A140=Settings!$A$31),($A140=Settings!$A$32),ISERROR(VLOOKUP($B140,SportslineData!$AD:$AK,4,0))),"",VLOOKUP($B140,SportslineData!$AD:$AK,4,0))</f>
        <v>180.5</v>
      </c>
      <c r="P140" s="33">
        <f>IF(OR(($A140=Settings!$A$31),($A140=Settings!$A$32),ISERROR(VLOOKUP($B140,SportslineData!$AD:$AK,6,0))),"",ROUND(VLOOKUP($B140,SportslineData!$AD:$AK,6,0),0))</f>
        <v>1</v>
      </c>
      <c r="Q140" s="64">
        <f>IF(OR(($A140=Settings!$A$31),($A140=Settings!$A$32),ISERROR(VLOOKUP($B140,SportslineData!$AD:$AK,7,0))),"",ROUND(VLOOKUP($B140,SportslineData!$AD:$AK,7,0),0))</f>
        <v>0</v>
      </c>
      <c r="R140" s="117"/>
      <c r="S140" s="33"/>
      <c r="T140" s="38">
        <f>IF(ISERROR(ROUND((((((ROUNDDOWN((D140/5),0)*Settings!$F$7)+(E140*Settings!$I$7))+(F140*Settings!$I$11))+(ROUNDDOWN((G140/5),0)*Settings!$F$11))+(H140*Settings!$F$12)),1)),0,ROUND((((((ROUNDDOWN((D140/5),0)*Settings!$F$7)+(E140*Settings!$I$7))+(F140*Settings!$I$11))+(ROUNDDOWN((G140/5),0)*Settings!$F$11))+(H140*Settings!$F$12)),1))</f>
        <v>0</v>
      </c>
      <c r="U140" s="38">
        <f>IF(ISERROR(ROUND((((((ROUNDDOWN((I140/5),0)*Settings!$F$7)+(J140*Settings!$I$7))+(K140*Settings!$I$11))+(ROUNDDOWN((L140/5),0)*Settings!$F$11))+(M140*Settings!$F$12)),1)),0,ROUND((((((ROUNDDOWN((I140/5),0)*Settings!$F$7)+(J140*Settings!$I$7))+(K140*Settings!$I$11))+(ROUNDDOWN((L140/5),0)*Settings!$F$11))+(M140*Settings!$F$12)),1))</f>
        <v>0</v>
      </c>
      <c r="V140" s="38">
        <f>IF((N140=""),0,((((N140*Settings!$I$11)+(ROUND((O140/5),0)*Settings!$F$11))+(P140*Settings!$F$12))+(Q140*Settings!$F$15)))</f>
        <v>30</v>
      </c>
      <c r="W140" s="66">
        <f>ROUND((((T140*Settings!$B$21)+(U140*Settings!$B$22))+(V140*Settings!$B$23)),1)</f>
        <v>10.199999999999999</v>
      </c>
      <c r="X140" s="66">
        <f>IF(ISERROR(VLOOKUP(RANK(W140,W$4:W$182),X$4:X139,1,0)),RANK(W140,W$4:W$182),IF(ISERROR(VLOOKUP((RANK(W140,W$4:W$182)+1),X$4:X139,1,0)),(RANK(W140,W$4:W$182)+1),IF(ISERROR(VLOOKUP((RANK(W140,W$4:W$182)+2),X$4:X139,1,0)),(RANK(W140,W$4:W$182)+2),(RANK(W140,W$4:W$182)+3))))</f>
        <v>146</v>
      </c>
      <c r="Y140" t="str">
        <f t="shared" si="14"/>
        <v>Bruce Ellington</v>
      </c>
    </row>
    <row r="141" spans="1:25" ht="12.75" customHeight="1">
      <c r="A141" s="33" t="str">
        <f>ESPNData!AH146</f>
        <v>Santonio Holmes, NYJ WR</v>
      </c>
      <c r="B141" s="33" t="str">
        <f t="shared" si="12"/>
        <v>Santonio Holmes</v>
      </c>
      <c r="C141" s="64" t="str">
        <f t="shared" si="13"/>
        <v>NYJ</v>
      </c>
      <c r="D141" s="117" t="str">
        <f>IF(OR(($A141=Settings!$A$31),($A141=Settings!$A$32),ISERROR(VLOOKUP($B141,FFTodayData!$AB:$AK,8,0))),"",VLOOKUP($B141,FFTodayData!$AB:$AK,8,0))</f>
        <v/>
      </c>
      <c r="E141" s="33" t="str">
        <f>IF(OR(($A141=Settings!$A$31),($A141=Settings!$A$32),ISERROR(VLOOKUP($B141,FFTodayData!$AB:$AK,9,0))),"",VLOOKUP($B141,FFTodayData!$AB:$AK,9,0))</f>
        <v/>
      </c>
      <c r="F141" s="33" t="str">
        <f>IF(OR(($A141=Settings!$A$31),($A141=Settings!$A$32),ISERROR(VLOOKUP($B141,FFTodayData!$AB:$AK,4,0))),"",VLOOKUP($B141,FFTodayData!$AB:$AK,4,0))</f>
        <v/>
      </c>
      <c r="G141" s="33" t="str">
        <f>IF(OR(($A141=Settings!$A$31),($A141=Settings!$A$32),ISERROR(VLOOKUP($B141,FFTodayData!$AB:$AK,5,0))),"",VLOOKUP($B141,FFTodayData!$AB:$AK,5,0))</f>
        <v/>
      </c>
      <c r="H141" s="64" t="str">
        <f>IF(OR(($A141=Settings!$A$31),($A141=Settings!$A$32),ISERROR(VLOOKUP($B141,FFTodayData!$AB:$AK,6,0))),"",VLOOKUP($B141,FFTodayData!$AB:$AK,6,0))</f>
        <v/>
      </c>
      <c r="I141" s="117">
        <f>IF(ISERROR(VLOOKUP($A141,ESPNData!$AH:$AU,9,0)),"",VLOOKUP($A141,ESPNData!$AH:$AU,9,0))</f>
        <v>0</v>
      </c>
      <c r="J141" s="33">
        <f>IF(ISERROR(VLOOKUP($A141,ESPNData!$AH:$AU,10,0)),"",VLOOKUP($A141,ESPNData!$AH:$AU,10,0))</f>
        <v>0</v>
      </c>
      <c r="K141" s="33">
        <f>IF(ISERROR(VLOOKUP($A141,ESPNData!$AH:$AU,11,0)),"",VLOOKUP($A141,ESPNData!$AH:$AU,11,0))</f>
        <v>0</v>
      </c>
      <c r="L141" s="33">
        <f>IF(ISERROR(VLOOKUP($A141,ESPNData!$AH:$AU,12,0)),"",VLOOKUP($A141,ESPNData!$AH:$AU,12,0))</f>
        <v>0</v>
      </c>
      <c r="M141" s="64">
        <f>IF(ISERROR(VLOOKUP($A141,ESPNData!$AH:$AU,13,0)),"",VLOOKUP($A141,ESPNData!$AH:$AU,13,0))</f>
        <v>0</v>
      </c>
      <c r="N141" s="117">
        <f>IF(OR(($A141=Settings!$A$31),($A141=Settings!$A$32),ISERROR(VLOOKUP($B141,SportslineData!$AD:$AK,3,0))),"",ROUND(VLOOKUP($B141,SportslineData!$AD:$AK,3,0),0))</f>
        <v>10</v>
      </c>
      <c r="O141" s="33">
        <f>IF(OR(($A141=Settings!$A$31),($A141=Settings!$A$32),ISERROR(VLOOKUP($B141,SportslineData!$AD:$AK,4,0))),"",VLOOKUP($B141,SportslineData!$AD:$AK,4,0))</f>
        <v>138.5</v>
      </c>
      <c r="P141" s="33">
        <f>IF(OR(($A141=Settings!$A$31),($A141=Settings!$A$32),ISERROR(VLOOKUP($B141,SportslineData!$AD:$AK,6,0))),"",ROUND(VLOOKUP($B141,SportslineData!$AD:$AK,6,0),0))</f>
        <v>2</v>
      </c>
      <c r="Q141" s="64">
        <f>IF(OR(($A141=Settings!$A$31),($A141=Settings!$A$32),ISERROR(VLOOKUP($B141,SportslineData!$AD:$AK,7,0))),"",ROUND(VLOOKUP($B141,SportslineData!$AD:$AK,7,0),0))</f>
        <v>0</v>
      </c>
      <c r="R141" s="117"/>
      <c r="S141" s="33"/>
      <c r="T141" s="38">
        <f>IF(ISERROR(ROUND((((((ROUNDDOWN((D141/5),0)*Settings!$F$7)+(E141*Settings!$I$7))+(F141*Settings!$I$11))+(ROUNDDOWN((G141/5),0)*Settings!$F$11))+(H141*Settings!$F$12)),1)),0,ROUND((((((ROUNDDOWN((D141/5),0)*Settings!$F$7)+(E141*Settings!$I$7))+(F141*Settings!$I$11))+(ROUNDDOWN((G141/5),0)*Settings!$F$11))+(H141*Settings!$F$12)),1))</f>
        <v>0</v>
      </c>
      <c r="U141" s="38">
        <f>IF(ISERROR(ROUND((((((ROUNDDOWN((I141/5),0)*Settings!$F$7)+(J141*Settings!$I$7))+(K141*Settings!$I$11))+(ROUNDDOWN((L141/5),0)*Settings!$F$11))+(M141*Settings!$F$12)),1)),0,ROUND((((((ROUNDDOWN((I141/5),0)*Settings!$F$7)+(J141*Settings!$I$7))+(K141*Settings!$I$11))+(ROUNDDOWN((L141/5),0)*Settings!$F$11))+(M141*Settings!$F$12)),1))</f>
        <v>0</v>
      </c>
      <c r="V141" s="38">
        <f>IF((N141=""),0,((((N141*Settings!$I$11)+(ROUND((O141/5),0)*Settings!$F$11))+(P141*Settings!$F$12))+(Q141*Settings!$F$15)))</f>
        <v>31</v>
      </c>
      <c r="W141" s="66">
        <f>ROUND((((T141*Settings!$B$21)+(U141*Settings!$B$22))+(V141*Settings!$B$23)),1)</f>
        <v>10.5</v>
      </c>
      <c r="X141" s="66">
        <f>IF(ISERROR(VLOOKUP(RANK(W141,W$4:W$182),X$4:X140,1,0)),RANK(W141,W$4:W$182),IF(ISERROR(VLOOKUP((RANK(W141,W$4:W$182)+1),X$4:X140,1,0)),(RANK(W141,W$4:W$182)+1),IF(ISERROR(VLOOKUP((RANK(W141,W$4:W$182)+2),X$4:X140,1,0)),(RANK(W141,W$4:W$182)+2),(RANK(W141,W$4:W$182)+3))))</f>
        <v>145</v>
      </c>
      <c r="Y141" t="str">
        <f t="shared" si="14"/>
        <v>Santonio Holmes</v>
      </c>
    </row>
    <row r="142" spans="1:25" ht="12.75" customHeight="1">
      <c r="A142" s="33" t="str">
        <f>ESPNData!AH147</f>
        <v>Mario Manningham, NYG WR</v>
      </c>
      <c r="B142" s="33" t="str">
        <f t="shared" si="12"/>
        <v>Mario Manningham</v>
      </c>
      <c r="C142" s="64" t="str">
        <f t="shared" si="13"/>
        <v>NYG</v>
      </c>
      <c r="D142" s="117">
        <f>IF(OR(($A142=Settings!$A$31),($A142=Settings!$A$32),ISERROR(VLOOKUP($B142,FFTodayData!$AB:$AK,8,0))),"",VLOOKUP($B142,FFTodayData!$AB:$AK,8,0))</f>
        <v>0</v>
      </c>
      <c r="E142" s="33">
        <f>IF(OR(($A142=Settings!$A$31),($A142=Settings!$A$32),ISERROR(VLOOKUP($B142,FFTodayData!$AB:$AK,9,0))),"",VLOOKUP($B142,FFTodayData!$AB:$AK,9,0))</f>
        <v>0</v>
      </c>
      <c r="F142" s="33">
        <f>IF(OR(($A142=Settings!$A$31),($A142=Settings!$A$32),ISERROR(VLOOKUP($B142,FFTodayData!$AB:$AK,4,0))),"",VLOOKUP($B142,FFTodayData!$AB:$AK,4,0))</f>
        <v>21</v>
      </c>
      <c r="G142" s="33">
        <f>IF(OR(($A142=Settings!$A$31),($A142=Settings!$A$32),ISERROR(VLOOKUP($B142,FFTodayData!$AB:$AK,5,0))),"",VLOOKUP($B142,FFTodayData!$AB:$AK,5,0))</f>
        <v>324</v>
      </c>
      <c r="H142" s="64">
        <f>IF(OR(($A142=Settings!$A$31),($A142=Settings!$A$32),ISERROR(VLOOKUP($B142,FFTodayData!$AB:$AK,6,0))),"",VLOOKUP($B142,FFTodayData!$AB:$AK,6,0))</f>
        <v>2</v>
      </c>
      <c r="I142" s="117">
        <f>IF(ISERROR(VLOOKUP($A142,ESPNData!$AH:$AU,9,0)),"",VLOOKUP($A142,ESPNData!$AH:$AU,9,0))</f>
        <v>0</v>
      </c>
      <c r="J142" s="33">
        <f>IF(ISERROR(VLOOKUP($A142,ESPNData!$AH:$AU,10,0)),"",VLOOKUP($A142,ESPNData!$AH:$AU,10,0))</f>
        <v>0</v>
      </c>
      <c r="K142" s="33">
        <f>IF(ISERROR(VLOOKUP($A142,ESPNData!$AH:$AU,11,0)),"",VLOOKUP($A142,ESPNData!$AH:$AU,11,0))</f>
        <v>0</v>
      </c>
      <c r="L142" s="33">
        <f>IF(ISERROR(VLOOKUP($A142,ESPNData!$AH:$AU,12,0)),"",VLOOKUP($A142,ESPNData!$AH:$AU,12,0))</f>
        <v>0</v>
      </c>
      <c r="M142" s="64">
        <f>IF(ISERROR(VLOOKUP($A142,ESPNData!$AH:$AU,13,0)),"",VLOOKUP($A142,ESPNData!$AH:$AU,13,0))</f>
        <v>0</v>
      </c>
      <c r="N142" s="117">
        <f>IF(OR(($A142=Settings!$A$31),($A142=Settings!$A$32),ISERROR(VLOOKUP($B142,SportslineData!$AD:$AK,3,0))),"",ROUND(VLOOKUP($B142,SportslineData!$AD:$AK,3,0),0))</f>
        <v>18</v>
      </c>
      <c r="O142" s="33">
        <f>IF(OR(($A142=Settings!$A$31),($A142=Settings!$A$32),ISERROR(VLOOKUP($B142,SportslineData!$AD:$AK,4,0))),"",VLOOKUP($B142,SportslineData!$AD:$AK,4,0))</f>
        <v>239</v>
      </c>
      <c r="P142" s="33">
        <f>IF(OR(($A142=Settings!$A$31),($A142=Settings!$A$32),ISERROR(VLOOKUP($B142,SportslineData!$AD:$AK,6,0))),"",ROUND(VLOOKUP($B142,SportslineData!$AD:$AK,6,0),0))</f>
        <v>1</v>
      </c>
      <c r="Q142" s="64">
        <f>IF(OR(($A142=Settings!$A$31),($A142=Settings!$A$32),ISERROR(VLOOKUP($B142,SportslineData!$AD:$AK,7,0))),"",ROUND(VLOOKUP($B142,SportslineData!$AD:$AK,7,0),0))</f>
        <v>0</v>
      </c>
      <c r="R142" s="117"/>
      <c r="S142" s="33"/>
      <c r="T142" s="38">
        <f>IF(ISERROR(ROUND((((((ROUNDDOWN((D142/5),0)*Settings!$F$7)+(E142*Settings!$I$7))+(F142*Settings!$I$11))+(ROUNDDOWN((G142/5),0)*Settings!$F$11))+(H142*Settings!$F$12)),1)),0,ROUND((((((ROUNDDOWN((D142/5),0)*Settings!$F$7)+(E142*Settings!$I$7))+(F142*Settings!$I$11))+(ROUNDDOWN((G142/5),0)*Settings!$F$11))+(H142*Settings!$F$12)),1))</f>
        <v>54.5</v>
      </c>
      <c r="U142" s="38">
        <f>IF(ISERROR(ROUND((((((ROUNDDOWN((I142/5),0)*Settings!$F$7)+(J142*Settings!$I$7))+(K142*Settings!$I$11))+(ROUNDDOWN((L142/5),0)*Settings!$F$11))+(M142*Settings!$F$12)),1)),0,ROUND((((((ROUNDDOWN((I142/5),0)*Settings!$F$7)+(J142*Settings!$I$7))+(K142*Settings!$I$11))+(ROUNDDOWN((L142/5),0)*Settings!$F$11))+(M142*Settings!$F$12)),1))</f>
        <v>0</v>
      </c>
      <c r="V142" s="38">
        <f>IF((N142=""),0,((((N142*Settings!$I$11)+(ROUND((O142/5),0)*Settings!$F$11))+(P142*Settings!$F$12))+(Q142*Settings!$F$15)))</f>
        <v>39</v>
      </c>
      <c r="W142" s="66">
        <f>ROUND((((T142*Settings!$B$21)+(U142*Settings!$B$22))+(V142*Settings!$B$23)),1)</f>
        <v>31.2</v>
      </c>
      <c r="X142" s="66">
        <f>IF(ISERROR(VLOOKUP(RANK(W142,W$4:W$182),X$4:X141,1,0)),RANK(W142,W$4:W$182),IF(ISERROR(VLOOKUP((RANK(W142,W$4:W$182)+1),X$4:X141,1,0)),(RANK(W142,W$4:W$182)+1),IF(ISERROR(VLOOKUP((RANK(W142,W$4:W$182)+2),X$4:X141,1,0)),(RANK(W142,W$4:W$182)+2),(RANK(W142,W$4:W$182)+3))))</f>
        <v>111</v>
      </c>
      <c r="Y142" t="str">
        <f t="shared" si="14"/>
        <v>Mario Manningham</v>
      </c>
    </row>
    <row r="143" spans="1:25" ht="12.75" customHeight="1">
      <c r="A143" s="33" t="str">
        <f>ESPNData!AH148</f>
        <v>Devin Hester, Atl WR</v>
      </c>
      <c r="B143" s="33" t="str">
        <f t="shared" si="12"/>
        <v>Devin Hester</v>
      </c>
      <c r="C143" s="64" t="str">
        <f t="shared" si="13"/>
        <v>ATL</v>
      </c>
      <c r="D143" s="117">
        <f>IF(OR(($A143=Settings!$A$31),($A143=Settings!$A$32),ISERROR(VLOOKUP($B143,FFTodayData!$AB:$AK,8,0))),"",VLOOKUP($B143,FFTodayData!$AB:$AK,8,0))</f>
        <v>0</v>
      </c>
      <c r="E143" s="33">
        <f>IF(OR(($A143=Settings!$A$31),($A143=Settings!$A$32),ISERROR(VLOOKUP($B143,FFTodayData!$AB:$AK,9,0))),"",VLOOKUP($B143,FFTodayData!$AB:$AK,9,0))</f>
        <v>0</v>
      </c>
      <c r="F143" s="33">
        <f>IF(OR(($A143=Settings!$A$31),($A143=Settings!$A$32),ISERROR(VLOOKUP($B143,FFTodayData!$AB:$AK,4,0))),"",VLOOKUP($B143,FFTodayData!$AB:$AK,4,0))</f>
        <v>24</v>
      </c>
      <c r="G143" s="33">
        <f>IF(OR(($A143=Settings!$A$31),($A143=Settings!$A$32),ISERROR(VLOOKUP($B143,FFTodayData!$AB:$AK,5,0))),"",VLOOKUP($B143,FFTodayData!$AB:$AK,5,0))</f>
        <v>356</v>
      </c>
      <c r="H143" s="64">
        <f>IF(OR(($A143=Settings!$A$31),($A143=Settings!$A$32),ISERROR(VLOOKUP($B143,FFTodayData!$AB:$AK,6,0))),"",VLOOKUP($B143,FFTodayData!$AB:$AK,6,0))</f>
        <v>2</v>
      </c>
      <c r="I143" s="117">
        <f>IF(ISERROR(VLOOKUP($A143,ESPNData!$AH:$AU,9,0)),"",VLOOKUP($A143,ESPNData!$AH:$AU,9,0))</f>
        <v>0</v>
      </c>
      <c r="J143" s="33">
        <f>IF(ISERROR(VLOOKUP($A143,ESPNData!$AH:$AU,10,0)),"",VLOOKUP($A143,ESPNData!$AH:$AU,10,0))</f>
        <v>0</v>
      </c>
      <c r="K143" s="33">
        <f>IF(ISERROR(VLOOKUP($A143,ESPNData!$AH:$AU,11,0)),"",VLOOKUP($A143,ESPNData!$AH:$AU,11,0))</f>
        <v>0</v>
      </c>
      <c r="L143" s="33">
        <f>IF(ISERROR(VLOOKUP($A143,ESPNData!$AH:$AU,12,0)),"",VLOOKUP($A143,ESPNData!$AH:$AU,12,0))</f>
        <v>0</v>
      </c>
      <c r="M143" s="64">
        <f>IF(ISERROR(VLOOKUP($A143,ESPNData!$AH:$AU,13,0)),"",VLOOKUP($A143,ESPNData!$AH:$AU,13,0))</f>
        <v>0</v>
      </c>
      <c r="N143" s="117">
        <f>IF(OR(($A143=Settings!$A$31),($A143=Settings!$A$32),ISERROR(VLOOKUP($B143,SportslineData!$AD:$AK,3,0))),"",ROUND(VLOOKUP($B143,SportslineData!$AD:$AK,3,0),0))</f>
        <v>7</v>
      </c>
      <c r="O143" s="33">
        <f>IF(OR(($A143=Settings!$A$31),($A143=Settings!$A$32),ISERROR(VLOOKUP($B143,SportslineData!$AD:$AK,4,0))),"",VLOOKUP($B143,SportslineData!$AD:$AK,4,0))</f>
        <v>129.5</v>
      </c>
      <c r="P143" s="33">
        <f>IF(OR(($A143=Settings!$A$31),($A143=Settings!$A$32),ISERROR(VLOOKUP($B143,SportslineData!$AD:$AK,6,0))),"",ROUND(VLOOKUP($B143,SportslineData!$AD:$AK,6,0),0))</f>
        <v>1</v>
      </c>
      <c r="Q143" s="64">
        <f>IF(OR(($A143=Settings!$A$31),($A143=Settings!$A$32),ISERROR(VLOOKUP($B143,SportslineData!$AD:$AK,7,0))),"",ROUND(VLOOKUP($B143,SportslineData!$AD:$AK,7,0),0))</f>
        <v>0</v>
      </c>
      <c r="R143" s="117"/>
      <c r="S143" s="33"/>
      <c r="T143" s="38">
        <f>IF(ISERROR(ROUND((((((ROUNDDOWN((D143/5),0)*Settings!$F$7)+(E143*Settings!$I$7))+(F143*Settings!$I$11))+(ROUNDDOWN((G143/5),0)*Settings!$F$11))+(H143*Settings!$F$12)),1)),0,ROUND((((((ROUNDDOWN((D143/5),0)*Settings!$F$7)+(E143*Settings!$I$7))+(F143*Settings!$I$11))+(ROUNDDOWN((G143/5),0)*Settings!$F$11))+(H143*Settings!$F$12)),1))</f>
        <v>59.5</v>
      </c>
      <c r="U143" s="38">
        <f>IF(ISERROR(ROUND((((((ROUNDDOWN((I143/5),0)*Settings!$F$7)+(J143*Settings!$I$7))+(K143*Settings!$I$11))+(ROUNDDOWN((L143/5),0)*Settings!$F$11))+(M143*Settings!$F$12)),1)),0,ROUND((((((ROUNDDOWN((I143/5),0)*Settings!$F$7)+(J143*Settings!$I$7))+(K143*Settings!$I$11))+(ROUNDDOWN((L143/5),0)*Settings!$F$11))+(M143*Settings!$F$12)),1))</f>
        <v>0</v>
      </c>
      <c r="V143" s="38">
        <f>IF((N143=""),0,((((N143*Settings!$I$11)+(ROUND((O143/5),0)*Settings!$F$11))+(P143*Settings!$F$12))+(Q143*Settings!$F$15)))</f>
        <v>22.5</v>
      </c>
      <c r="W143" s="66">
        <f>ROUND((((T143*Settings!$B$21)+(U143*Settings!$B$22))+(V143*Settings!$B$23)),1)</f>
        <v>27.3</v>
      </c>
      <c r="X143" s="66">
        <f>IF(ISERROR(VLOOKUP(RANK(W143,W$4:W$182),X$4:X142,1,0)),RANK(W143,W$4:W$182),IF(ISERROR(VLOOKUP((RANK(W143,W$4:W$182)+1),X$4:X142,1,0)),(RANK(W143,W$4:W$182)+1),IF(ISERROR(VLOOKUP((RANK(W143,W$4:W$182)+2),X$4:X142,1,0)),(RANK(W143,W$4:W$182)+2),(RANK(W143,W$4:W$182)+3))))</f>
        <v>118</v>
      </c>
      <c r="Y143" t="str">
        <f t="shared" si="14"/>
        <v>Devin Hester</v>
      </c>
    </row>
    <row r="144" spans="1:25" ht="12.75" customHeight="1">
      <c r="A144" s="33" t="str">
        <f>ESPNData!AH149</f>
        <v>Stedman Bailey, StL WR  SSPD</v>
      </c>
      <c r="B144" s="33" t="str">
        <f t="shared" si="12"/>
        <v>Stedman Bailey</v>
      </c>
      <c r="C144" s="64" t="str">
        <f t="shared" si="13"/>
        <v>STL</v>
      </c>
      <c r="D144" s="117" t="str">
        <f>IF(OR(($A144=Settings!$A$31),($A144=Settings!$A$32),ISERROR(VLOOKUP($B144,FFTodayData!$AB:$AK,8,0))),"",VLOOKUP($B144,FFTodayData!$AB:$AK,8,0))</f>
        <v/>
      </c>
      <c r="E144" s="33" t="str">
        <f>IF(OR(($A144=Settings!$A$31),($A144=Settings!$A$32),ISERROR(VLOOKUP($B144,FFTodayData!$AB:$AK,9,0))),"",VLOOKUP($B144,FFTodayData!$AB:$AK,9,0))</f>
        <v/>
      </c>
      <c r="F144" s="33" t="str">
        <f>IF(OR(($A144=Settings!$A$31),($A144=Settings!$A$32),ISERROR(VLOOKUP($B144,FFTodayData!$AB:$AK,4,0))),"",VLOOKUP($B144,FFTodayData!$AB:$AK,4,0))</f>
        <v/>
      </c>
      <c r="G144" s="33" t="str">
        <f>IF(OR(($A144=Settings!$A$31),($A144=Settings!$A$32),ISERROR(VLOOKUP($B144,FFTodayData!$AB:$AK,5,0))),"",VLOOKUP($B144,FFTodayData!$AB:$AK,5,0))</f>
        <v/>
      </c>
      <c r="H144" s="64" t="str">
        <f>IF(OR(($A144=Settings!$A$31),($A144=Settings!$A$32),ISERROR(VLOOKUP($B144,FFTodayData!$AB:$AK,6,0))),"",VLOOKUP($B144,FFTodayData!$AB:$AK,6,0))</f>
        <v/>
      </c>
      <c r="I144" s="117">
        <f>IF(ISERROR(VLOOKUP($A144,ESPNData!$AH:$AU,9,0)),"",VLOOKUP($A144,ESPNData!$AH:$AU,9,0))</f>
        <v>0</v>
      </c>
      <c r="J144" s="33">
        <f>IF(ISERROR(VLOOKUP($A144,ESPNData!$AH:$AU,10,0)),"",VLOOKUP($A144,ESPNData!$AH:$AU,10,0))</f>
        <v>0</v>
      </c>
      <c r="K144" s="33">
        <f>IF(ISERROR(VLOOKUP($A144,ESPNData!$AH:$AU,11,0)),"",VLOOKUP($A144,ESPNData!$AH:$AU,11,0))</f>
        <v>0</v>
      </c>
      <c r="L144" s="33">
        <f>IF(ISERROR(VLOOKUP($A144,ESPNData!$AH:$AU,12,0)),"",VLOOKUP($A144,ESPNData!$AH:$AU,12,0))</f>
        <v>0</v>
      </c>
      <c r="M144" s="64">
        <f>IF(ISERROR(VLOOKUP($A144,ESPNData!$AH:$AU,13,0)),"",VLOOKUP($A144,ESPNData!$AH:$AU,13,0))</f>
        <v>0</v>
      </c>
      <c r="N144" s="117">
        <f>IF(OR(($A144=Settings!$A$31),($A144=Settings!$A$32),ISERROR(VLOOKUP($B144,SportslineData!$AD:$AK,3,0))),"",ROUND(VLOOKUP($B144,SportslineData!$AD:$AK,3,0),0))</f>
        <v>22</v>
      </c>
      <c r="O144" s="33">
        <f>IF(OR(($A144=Settings!$A$31),($A144=Settings!$A$32),ISERROR(VLOOKUP($B144,SportslineData!$AD:$AK,4,0))),"",VLOOKUP($B144,SportslineData!$AD:$AK,4,0))</f>
        <v>304</v>
      </c>
      <c r="P144" s="33">
        <f>IF(OR(($A144=Settings!$A$31),($A144=Settings!$A$32),ISERROR(VLOOKUP($B144,SportslineData!$AD:$AK,6,0))),"",ROUND(VLOOKUP($B144,SportslineData!$AD:$AK,6,0),0))</f>
        <v>2</v>
      </c>
      <c r="Q144" s="64">
        <f>IF(OR(($A144=Settings!$A$31),($A144=Settings!$A$32),ISERROR(VLOOKUP($B144,SportslineData!$AD:$AK,7,0))),"",ROUND(VLOOKUP($B144,SportslineData!$AD:$AK,7,0),0))</f>
        <v>0</v>
      </c>
      <c r="R144" s="117"/>
      <c r="S144" s="33"/>
      <c r="T144" s="38">
        <f>IF(ISERROR(ROUND((((((ROUNDDOWN((D144/5),0)*Settings!$F$7)+(E144*Settings!$I$7))+(F144*Settings!$I$11))+(ROUNDDOWN((G144/5),0)*Settings!$F$11))+(H144*Settings!$F$12)),1)),0,ROUND((((((ROUNDDOWN((D144/5),0)*Settings!$F$7)+(E144*Settings!$I$7))+(F144*Settings!$I$11))+(ROUNDDOWN((G144/5),0)*Settings!$F$11))+(H144*Settings!$F$12)),1))</f>
        <v>0</v>
      </c>
      <c r="U144" s="38">
        <f>IF(ISERROR(ROUND((((((ROUNDDOWN((I144/5),0)*Settings!$F$7)+(J144*Settings!$I$7))+(K144*Settings!$I$11))+(ROUNDDOWN((L144/5),0)*Settings!$F$11))+(M144*Settings!$F$12)),1)),0,ROUND((((((ROUNDDOWN((I144/5),0)*Settings!$F$7)+(J144*Settings!$I$7))+(K144*Settings!$I$11))+(ROUNDDOWN((L144/5),0)*Settings!$F$11))+(M144*Settings!$F$12)),1))</f>
        <v>0</v>
      </c>
      <c r="V144" s="38">
        <f>IF((N144=""),0,((((N144*Settings!$I$11)+(ROUND((O144/5),0)*Settings!$F$11))+(P144*Settings!$F$12))+(Q144*Settings!$F$15)))</f>
        <v>53.5</v>
      </c>
      <c r="W144" s="66">
        <f>ROUND((((T144*Settings!$B$21)+(U144*Settings!$B$22))+(V144*Settings!$B$23)),1)</f>
        <v>18.2</v>
      </c>
      <c r="X144" s="66">
        <f>IF(ISERROR(VLOOKUP(RANK(W144,W$4:W$182),X$4:X143,1,0)),RANK(W144,W$4:W$182),IF(ISERROR(VLOOKUP((RANK(W144,W$4:W$182)+1),X$4:X143,1,0)),(RANK(W144,W$4:W$182)+1),IF(ISERROR(VLOOKUP((RANK(W144,W$4:W$182)+2),X$4:X143,1,0)),(RANK(W144,W$4:W$182)+2),(RANK(W144,W$4:W$182)+3))))</f>
        <v>131</v>
      </c>
      <c r="Y144" t="str">
        <f t="shared" si="14"/>
        <v>Stedman Bailey</v>
      </c>
    </row>
    <row r="145" spans="1:25" ht="12.75" customHeight="1">
      <c r="A145" s="33" t="str">
        <f>ESPNData!AH150</f>
        <v>Leonard Hankerson*, Wsh WR  O</v>
      </c>
      <c r="B145" s="33" t="str">
        <f t="shared" si="12"/>
        <v>Leonard Hankerson</v>
      </c>
      <c r="C145" s="64" t="str">
        <f t="shared" si="13"/>
        <v>WSH</v>
      </c>
      <c r="D145" s="117">
        <f>IF(OR(($A145=Settings!$A$31),($A145=Settings!$A$32),ISERROR(VLOOKUP($B145,FFTodayData!$AB:$AK,8,0))),"",VLOOKUP($B145,FFTodayData!$AB:$AK,8,0))</f>
        <v>0</v>
      </c>
      <c r="E145" s="33">
        <f>IF(OR(($A145=Settings!$A$31),($A145=Settings!$A$32),ISERROR(VLOOKUP($B145,FFTodayData!$AB:$AK,9,0))),"",VLOOKUP($B145,FFTodayData!$AB:$AK,9,0))</f>
        <v>0</v>
      </c>
      <c r="F145" s="33">
        <f>IF(OR(($A145=Settings!$A$31),($A145=Settings!$A$32),ISERROR(VLOOKUP($B145,FFTodayData!$AB:$AK,4,0))),"",VLOOKUP($B145,FFTodayData!$AB:$AK,4,0))</f>
        <v>23</v>
      </c>
      <c r="G145" s="33">
        <f>IF(OR(($A145=Settings!$A$31),($A145=Settings!$A$32),ISERROR(VLOOKUP($B145,FFTodayData!$AB:$AK,5,0))),"",VLOOKUP($B145,FFTodayData!$AB:$AK,5,0))</f>
        <v>365</v>
      </c>
      <c r="H145" s="64">
        <f>IF(OR(($A145=Settings!$A$31),($A145=Settings!$A$32),ISERROR(VLOOKUP($B145,FFTodayData!$AB:$AK,6,0))),"",VLOOKUP($B145,FFTodayData!$AB:$AK,6,0))</f>
        <v>3</v>
      </c>
      <c r="I145" s="117">
        <f>IF(ISERROR(VLOOKUP($A145,ESPNData!$AH:$AU,9,0)),"",VLOOKUP($A145,ESPNData!$AH:$AU,9,0))</f>
        <v>0</v>
      </c>
      <c r="J145" s="33">
        <f>IF(ISERROR(VLOOKUP($A145,ESPNData!$AH:$AU,10,0)),"",VLOOKUP($A145,ESPNData!$AH:$AU,10,0))</f>
        <v>0</v>
      </c>
      <c r="K145" s="33">
        <f>IF(ISERROR(VLOOKUP($A145,ESPNData!$AH:$AU,11,0)),"",VLOOKUP($A145,ESPNData!$AH:$AU,11,0))</f>
        <v>0</v>
      </c>
      <c r="L145" s="33">
        <f>IF(ISERROR(VLOOKUP($A145,ESPNData!$AH:$AU,12,0)),"",VLOOKUP($A145,ESPNData!$AH:$AU,12,0))</f>
        <v>0</v>
      </c>
      <c r="M145" s="64">
        <f>IF(ISERROR(VLOOKUP($A145,ESPNData!$AH:$AU,13,0)),"",VLOOKUP($A145,ESPNData!$AH:$AU,13,0))</f>
        <v>0</v>
      </c>
      <c r="N145" s="117">
        <f>IF(OR(($A145=Settings!$A$31),($A145=Settings!$A$32),ISERROR(VLOOKUP($B145,SportslineData!$AD:$AK,3,0))),"",ROUND(VLOOKUP($B145,SportslineData!$AD:$AK,3,0),0))</f>
        <v>23</v>
      </c>
      <c r="O145" s="33">
        <f>IF(OR(($A145=Settings!$A$31),($A145=Settings!$A$32),ISERROR(VLOOKUP($B145,SportslineData!$AD:$AK,4,0))),"",VLOOKUP($B145,SportslineData!$AD:$AK,4,0))</f>
        <v>306</v>
      </c>
      <c r="P145" s="33">
        <f>IF(OR(($A145=Settings!$A$31),($A145=Settings!$A$32),ISERROR(VLOOKUP($B145,SportslineData!$AD:$AK,6,0))),"",ROUND(VLOOKUP($B145,SportslineData!$AD:$AK,6,0),0))</f>
        <v>1</v>
      </c>
      <c r="Q145" s="64">
        <f>IF(OR(($A145=Settings!$A$31),($A145=Settings!$A$32),ISERROR(VLOOKUP($B145,SportslineData!$AD:$AK,7,0))),"",ROUND(VLOOKUP($B145,SportslineData!$AD:$AK,7,0),0))</f>
        <v>0</v>
      </c>
      <c r="R145" s="117"/>
      <c r="S145" s="33"/>
      <c r="T145" s="38">
        <f>IF(ISERROR(ROUND((((((ROUNDDOWN((D145/5),0)*Settings!$F$7)+(E145*Settings!$I$7))+(F145*Settings!$I$11))+(ROUNDDOWN((G145/5),0)*Settings!$F$11))+(H145*Settings!$F$12)),1)),0,ROUND((((((ROUNDDOWN((D145/5),0)*Settings!$F$7)+(E145*Settings!$I$7))+(F145*Settings!$I$11))+(ROUNDDOWN((G145/5),0)*Settings!$F$11))+(H145*Settings!$F$12)),1))</f>
        <v>66</v>
      </c>
      <c r="U145" s="38">
        <f>IF(ISERROR(ROUND((((((ROUNDDOWN((I145/5),0)*Settings!$F$7)+(J145*Settings!$I$7))+(K145*Settings!$I$11))+(ROUNDDOWN((L145/5),0)*Settings!$F$11))+(M145*Settings!$F$12)),1)),0,ROUND((((((ROUNDDOWN((I145/5),0)*Settings!$F$7)+(J145*Settings!$I$7))+(K145*Settings!$I$11))+(ROUNDDOWN((L145/5),0)*Settings!$F$11))+(M145*Settings!$F$12)),1))</f>
        <v>0</v>
      </c>
      <c r="V145" s="38">
        <f>IF((N145=""),0,((((N145*Settings!$I$11)+(ROUND((O145/5),0)*Settings!$F$11))+(P145*Settings!$F$12))+(Q145*Settings!$F$15)))</f>
        <v>48</v>
      </c>
      <c r="W145" s="66">
        <f>ROUND((((T145*Settings!$B$21)+(U145*Settings!$B$22))+(V145*Settings!$B$23)),1)</f>
        <v>38.1</v>
      </c>
      <c r="X145" s="66">
        <f>IF(ISERROR(VLOOKUP(RANK(W145,W$4:W$182),X$4:X144,1,0)),RANK(W145,W$4:W$182),IF(ISERROR(VLOOKUP((RANK(W145,W$4:W$182)+1),X$4:X144,1,0)),(RANK(W145,W$4:W$182)+1),IF(ISERROR(VLOOKUP((RANK(W145,W$4:W$182)+2),X$4:X144,1,0)),(RANK(W145,W$4:W$182)+2),(RANK(W145,W$4:W$182)+3))))</f>
        <v>105</v>
      </c>
      <c r="Y145" t="str">
        <f t="shared" si="14"/>
        <v>Leonard Hankerson</v>
      </c>
    </row>
    <row r="146" spans="1:25" ht="12.75" customHeight="1">
      <c r="A146" s="33" t="str">
        <f>ESPNData!AH151</f>
        <v>Brian Quick, StL WR</v>
      </c>
      <c r="B146" s="33" t="str">
        <f t="shared" si="12"/>
        <v>Brian Quick</v>
      </c>
      <c r="C146" s="64" t="str">
        <f t="shared" si="13"/>
        <v>STL</v>
      </c>
      <c r="D146" s="117" t="str">
        <f>IF(OR(($A146=Settings!$A$31),($A146=Settings!$A$32),ISERROR(VLOOKUP($B146,FFTodayData!$AB:$AK,8,0))),"",VLOOKUP($B146,FFTodayData!$AB:$AK,8,0))</f>
        <v/>
      </c>
      <c r="E146" s="33" t="str">
        <f>IF(OR(($A146=Settings!$A$31),($A146=Settings!$A$32),ISERROR(VLOOKUP($B146,FFTodayData!$AB:$AK,9,0))),"",VLOOKUP($B146,FFTodayData!$AB:$AK,9,0))</f>
        <v/>
      </c>
      <c r="F146" s="33" t="str">
        <f>IF(OR(($A146=Settings!$A$31),($A146=Settings!$A$32),ISERROR(VLOOKUP($B146,FFTodayData!$AB:$AK,4,0))),"",VLOOKUP($B146,FFTodayData!$AB:$AK,4,0))</f>
        <v/>
      </c>
      <c r="G146" s="33" t="str">
        <f>IF(OR(($A146=Settings!$A$31),($A146=Settings!$A$32),ISERROR(VLOOKUP($B146,FFTodayData!$AB:$AK,5,0))),"",VLOOKUP($B146,FFTodayData!$AB:$AK,5,0))</f>
        <v/>
      </c>
      <c r="H146" s="64" t="str">
        <f>IF(OR(($A146=Settings!$A$31),($A146=Settings!$A$32),ISERROR(VLOOKUP($B146,FFTodayData!$AB:$AK,6,0))),"",VLOOKUP($B146,FFTodayData!$AB:$AK,6,0))</f>
        <v/>
      </c>
      <c r="I146" s="117">
        <f>IF(ISERROR(VLOOKUP($A146,ESPNData!$AH:$AU,9,0)),"",VLOOKUP($A146,ESPNData!$AH:$AU,9,0))</f>
        <v>0</v>
      </c>
      <c r="J146" s="33">
        <f>IF(ISERROR(VLOOKUP($A146,ESPNData!$AH:$AU,10,0)),"",VLOOKUP($A146,ESPNData!$AH:$AU,10,0))</f>
        <v>0</v>
      </c>
      <c r="K146" s="33">
        <f>IF(ISERROR(VLOOKUP($A146,ESPNData!$AH:$AU,11,0)),"",VLOOKUP($A146,ESPNData!$AH:$AU,11,0))</f>
        <v>0</v>
      </c>
      <c r="L146" s="33">
        <f>IF(ISERROR(VLOOKUP($A146,ESPNData!$AH:$AU,12,0)),"",VLOOKUP($A146,ESPNData!$AH:$AU,12,0))</f>
        <v>0</v>
      </c>
      <c r="M146" s="64">
        <f>IF(ISERROR(VLOOKUP($A146,ESPNData!$AH:$AU,13,0)),"",VLOOKUP($A146,ESPNData!$AH:$AU,13,0))</f>
        <v>0</v>
      </c>
      <c r="N146" s="117">
        <f>IF(OR(($A146=Settings!$A$31),($A146=Settings!$A$32),ISERROR(VLOOKUP($B146,SportslineData!$AD:$AK,3,0))),"",ROUND(VLOOKUP($B146,SportslineData!$AD:$AK,3,0),0))</f>
        <v>35</v>
      </c>
      <c r="O146" s="33">
        <f>IF(OR(($A146=Settings!$A$31),($A146=Settings!$A$32),ISERROR(VLOOKUP($B146,SportslineData!$AD:$AK,4,0))),"",VLOOKUP($B146,SportslineData!$AD:$AK,4,0))</f>
        <v>492</v>
      </c>
      <c r="P146" s="33">
        <f>IF(OR(($A146=Settings!$A$31),($A146=Settings!$A$32),ISERROR(VLOOKUP($B146,SportslineData!$AD:$AK,6,0))),"",ROUND(VLOOKUP($B146,SportslineData!$AD:$AK,6,0),0))</f>
        <v>3</v>
      </c>
      <c r="Q146" s="64">
        <f>IF(OR(($A146=Settings!$A$31),($A146=Settings!$A$32),ISERROR(VLOOKUP($B146,SportslineData!$AD:$AK,7,0))),"",ROUND(VLOOKUP($B146,SportslineData!$AD:$AK,7,0),0))</f>
        <v>0</v>
      </c>
      <c r="R146" s="117"/>
      <c r="S146" s="33"/>
      <c r="T146" s="38">
        <f>IF(ISERROR(ROUND((((((ROUNDDOWN((D146/5),0)*Settings!$F$7)+(E146*Settings!$I$7))+(F146*Settings!$I$11))+(ROUNDDOWN((G146/5),0)*Settings!$F$11))+(H146*Settings!$F$12)),1)),0,ROUND((((((ROUNDDOWN((D146/5),0)*Settings!$F$7)+(E146*Settings!$I$7))+(F146*Settings!$I$11))+(ROUNDDOWN((G146/5),0)*Settings!$F$11))+(H146*Settings!$F$12)),1))</f>
        <v>0</v>
      </c>
      <c r="U146" s="38">
        <f>IF(ISERROR(ROUND((((((ROUNDDOWN((I146/5),0)*Settings!$F$7)+(J146*Settings!$I$7))+(K146*Settings!$I$11))+(ROUNDDOWN((L146/5),0)*Settings!$F$11))+(M146*Settings!$F$12)),1)),0,ROUND((((((ROUNDDOWN((I146/5),0)*Settings!$F$7)+(J146*Settings!$I$7))+(K146*Settings!$I$11))+(ROUNDDOWN((L146/5),0)*Settings!$F$11))+(M146*Settings!$F$12)),1))</f>
        <v>0</v>
      </c>
      <c r="V146" s="38">
        <f>IF((N146=""),0,((((N146*Settings!$I$11)+(ROUND((O146/5),0)*Settings!$F$11))+(P146*Settings!$F$12))+(Q146*Settings!$F$15)))</f>
        <v>84.5</v>
      </c>
      <c r="W146" s="66">
        <f>ROUND((((T146*Settings!$B$21)+(U146*Settings!$B$22))+(V146*Settings!$B$23)),1)</f>
        <v>28.7</v>
      </c>
      <c r="X146" s="66">
        <f>IF(ISERROR(VLOOKUP(RANK(W146,W$4:W$182),X$4:X145,1,0)),RANK(W146,W$4:W$182),IF(ISERROR(VLOOKUP((RANK(W146,W$4:W$182)+1),X$4:X145,1,0)),(RANK(W146,W$4:W$182)+1),IF(ISERROR(VLOOKUP((RANK(W146,W$4:W$182)+2),X$4:X145,1,0)),(RANK(W146,W$4:W$182)+2),(RANK(W146,W$4:W$182)+3))))</f>
        <v>115</v>
      </c>
      <c r="Y146" t="str">
        <f t="shared" si="14"/>
        <v>Brian Quick</v>
      </c>
    </row>
    <row r="147" spans="1:25" ht="12.75" customHeight="1">
      <c r="A147" s="33" t="str">
        <f>ESPNData!AH152</f>
        <v>Junior Hemingway, KC WR  P</v>
      </c>
      <c r="B147" s="33" t="str">
        <f t="shared" si="12"/>
        <v>Junior Hemingway</v>
      </c>
      <c r="C147" s="64" t="str">
        <f t="shared" si="13"/>
        <v>KC</v>
      </c>
      <c r="D147" s="117" t="str">
        <f>IF(OR(($A147=Settings!$A$31),($A147=Settings!$A$32),ISERROR(VLOOKUP($B147,FFTodayData!$AB:$AK,8,0))),"",VLOOKUP($B147,FFTodayData!$AB:$AK,8,0))</f>
        <v/>
      </c>
      <c r="E147" s="33" t="str">
        <f>IF(OR(($A147=Settings!$A$31),($A147=Settings!$A$32),ISERROR(VLOOKUP($B147,FFTodayData!$AB:$AK,9,0))),"",VLOOKUP($B147,FFTodayData!$AB:$AK,9,0))</f>
        <v/>
      </c>
      <c r="F147" s="33" t="str">
        <f>IF(OR(($A147=Settings!$A$31),($A147=Settings!$A$32),ISERROR(VLOOKUP($B147,FFTodayData!$AB:$AK,4,0))),"",VLOOKUP($B147,FFTodayData!$AB:$AK,4,0))</f>
        <v/>
      </c>
      <c r="G147" s="33" t="str">
        <f>IF(OR(($A147=Settings!$A$31),($A147=Settings!$A$32),ISERROR(VLOOKUP($B147,FFTodayData!$AB:$AK,5,0))),"",VLOOKUP($B147,FFTodayData!$AB:$AK,5,0))</f>
        <v/>
      </c>
      <c r="H147" s="64" t="str">
        <f>IF(OR(($A147=Settings!$A$31),($A147=Settings!$A$32),ISERROR(VLOOKUP($B147,FFTodayData!$AB:$AK,6,0))),"",VLOOKUP($B147,FFTodayData!$AB:$AK,6,0))</f>
        <v/>
      </c>
      <c r="I147" s="117">
        <f>IF(ISERROR(VLOOKUP($A147,ESPNData!$AH:$AU,9,0)),"",VLOOKUP($A147,ESPNData!$AH:$AU,9,0))</f>
        <v>0</v>
      </c>
      <c r="J147" s="33">
        <f>IF(ISERROR(VLOOKUP($A147,ESPNData!$AH:$AU,10,0)),"",VLOOKUP($A147,ESPNData!$AH:$AU,10,0))</f>
        <v>0</v>
      </c>
      <c r="K147" s="33">
        <f>IF(ISERROR(VLOOKUP($A147,ESPNData!$AH:$AU,11,0)),"",VLOOKUP($A147,ESPNData!$AH:$AU,11,0))</f>
        <v>0</v>
      </c>
      <c r="L147" s="33">
        <f>IF(ISERROR(VLOOKUP($A147,ESPNData!$AH:$AU,12,0)),"",VLOOKUP($A147,ESPNData!$AH:$AU,12,0))</f>
        <v>0</v>
      </c>
      <c r="M147" s="64">
        <f>IF(ISERROR(VLOOKUP($A147,ESPNData!$AH:$AU,13,0)),"",VLOOKUP($A147,ESPNData!$AH:$AU,13,0))</f>
        <v>0</v>
      </c>
      <c r="N147" s="117">
        <f>IF(OR(($A147=Settings!$A$31),($A147=Settings!$A$32),ISERROR(VLOOKUP($B147,SportslineData!$AD:$AK,3,0))),"",ROUND(VLOOKUP($B147,SportslineData!$AD:$AK,3,0),0))</f>
        <v>30</v>
      </c>
      <c r="O147" s="33">
        <f>IF(OR(($A147=Settings!$A$31),($A147=Settings!$A$32),ISERROR(VLOOKUP($B147,SportslineData!$AD:$AK,4,0))),"",VLOOKUP($B147,SportslineData!$AD:$AK,4,0))</f>
        <v>389</v>
      </c>
      <c r="P147" s="33">
        <f>IF(OR(($A147=Settings!$A$31),($A147=Settings!$A$32),ISERROR(VLOOKUP($B147,SportslineData!$AD:$AK,6,0))),"",ROUND(VLOOKUP($B147,SportslineData!$AD:$AK,6,0),0))</f>
        <v>3</v>
      </c>
      <c r="Q147" s="64">
        <f>IF(OR(($A147=Settings!$A$31),($A147=Settings!$A$32),ISERROR(VLOOKUP($B147,SportslineData!$AD:$AK,7,0))),"",ROUND(VLOOKUP($B147,SportslineData!$AD:$AK,7,0),0))</f>
        <v>0</v>
      </c>
      <c r="R147" s="117"/>
      <c r="S147" s="33"/>
      <c r="T147" s="38">
        <f>IF(ISERROR(ROUND((((((ROUNDDOWN((D147/5),0)*Settings!$F$7)+(E147*Settings!$I$7))+(F147*Settings!$I$11))+(ROUNDDOWN((G147/5),0)*Settings!$F$11))+(H147*Settings!$F$12)),1)),0,ROUND((((((ROUNDDOWN((D147/5),0)*Settings!$F$7)+(E147*Settings!$I$7))+(F147*Settings!$I$11))+(ROUNDDOWN((G147/5),0)*Settings!$F$11))+(H147*Settings!$F$12)),1))</f>
        <v>0</v>
      </c>
      <c r="U147" s="38">
        <f>IF(ISERROR(ROUND((((((ROUNDDOWN((I147/5),0)*Settings!$F$7)+(J147*Settings!$I$7))+(K147*Settings!$I$11))+(ROUNDDOWN((L147/5),0)*Settings!$F$11))+(M147*Settings!$F$12)),1)),0,ROUND((((((ROUNDDOWN((I147/5),0)*Settings!$F$7)+(J147*Settings!$I$7))+(K147*Settings!$I$11))+(ROUNDDOWN((L147/5),0)*Settings!$F$11))+(M147*Settings!$F$12)),1))</f>
        <v>0</v>
      </c>
      <c r="V147" s="38">
        <f>IF((N147=""),0,((((N147*Settings!$I$11)+(ROUND((O147/5),0)*Settings!$F$11))+(P147*Settings!$F$12))+(Q147*Settings!$F$15)))</f>
        <v>72</v>
      </c>
      <c r="W147" s="66">
        <f>ROUND((((T147*Settings!$B$21)+(U147*Settings!$B$22))+(V147*Settings!$B$23)),1)</f>
        <v>24.5</v>
      </c>
      <c r="X147" s="66">
        <f>IF(ISERROR(VLOOKUP(RANK(W147,W$4:W$182),X$4:X146,1,0)),RANK(W147,W$4:W$182),IF(ISERROR(VLOOKUP((RANK(W147,W$4:W$182)+1),X$4:X146,1,0)),(RANK(W147,W$4:W$182)+1),IF(ISERROR(VLOOKUP((RANK(W147,W$4:W$182)+2),X$4:X146,1,0)),(RANK(W147,W$4:W$182)+2),(RANK(W147,W$4:W$182)+3))))</f>
        <v>121</v>
      </c>
      <c r="Y147" t="str">
        <f t="shared" si="14"/>
        <v>Junior Hemingway</v>
      </c>
    </row>
    <row r="148" spans="1:25" ht="12.75" customHeight="1">
      <c r="A148" s="33" t="str">
        <f>ESPNData!AH153</f>
        <v>Rishard Matthews, Mia WR</v>
      </c>
      <c r="B148" s="33" t="str">
        <f t="shared" si="12"/>
        <v>Rishard Matthews</v>
      </c>
      <c r="C148" s="64" t="str">
        <f t="shared" si="13"/>
        <v>MIA</v>
      </c>
      <c r="D148" s="117" t="str">
        <f>IF(OR(($A148=Settings!$A$31),($A148=Settings!$A$32),ISERROR(VLOOKUP($B148,FFTodayData!$AB:$AK,8,0))),"",VLOOKUP($B148,FFTodayData!$AB:$AK,8,0))</f>
        <v/>
      </c>
      <c r="E148" s="33" t="str">
        <f>IF(OR(($A148=Settings!$A$31),($A148=Settings!$A$32),ISERROR(VLOOKUP($B148,FFTodayData!$AB:$AK,9,0))),"",VLOOKUP($B148,FFTodayData!$AB:$AK,9,0))</f>
        <v/>
      </c>
      <c r="F148" s="33" t="str">
        <f>IF(OR(($A148=Settings!$A$31),($A148=Settings!$A$32),ISERROR(VLOOKUP($B148,FFTodayData!$AB:$AK,4,0))),"",VLOOKUP($B148,FFTodayData!$AB:$AK,4,0))</f>
        <v/>
      </c>
      <c r="G148" s="33" t="str">
        <f>IF(OR(($A148=Settings!$A$31),($A148=Settings!$A$32),ISERROR(VLOOKUP($B148,FFTodayData!$AB:$AK,5,0))),"",VLOOKUP($B148,FFTodayData!$AB:$AK,5,0))</f>
        <v/>
      </c>
      <c r="H148" s="64" t="str">
        <f>IF(OR(($A148=Settings!$A$31),($A148=Settings!$A$32),ISERROR(VLOOKUP($B148,FFTodayData!$AB:$AK,6,0))),"",VLOOKUP($B148,FFTodayData!$AB:$AK,6,0))</f>
        <v/>
      </c>
      <c r="I148" s="117">
        <f>IF(ISERROR(VLOOKUP($A148,ESPNData!$AH:$AU,9,0)),"",VLOOKUP($A148,ESPNData!$AH:$AU,9,0))</f>
        <v>0</v>
      </c>
      <c r="J148" s="33">
        <f>IF(ISERROR(VLOOKUP($A148,ESPNData!$AH:$AU,10,0)),"",VLOOKUP($A148,ESPNData!$AH:$AU,10,0))</f>
        <v>0</v>
      </c>
      <c r="K148" s="33">
        <f>IF(ISERROR(VLOOKUP($A148,ESPNData!$AH:$AU,11,0)),"",VLOOKUP($A148,ESPNData!$AH:$AU,11,0))</f>
        <v>0</v>
      </c>
      <c r="L148" s="33">
        <f>IF(ISERROR(VLOOKUP($A148,ESPNData!$AH:$AU,12,0)),"",VLOOKUP($A148,ESPNData!$AH:$AU,12,0))</f>
        <v>0</v>
      </c>
      <c r="M148" s="64">
        <f>IF(ISERROR(VLOOKUP($A148,ESPNData!$AH:$AU,13,0)),"",VLOOKUP($A148,ESPNData!$AH:$AU,13,0))</f>
        <v>0</v>
      </c>
      <c r="N148" s="117">
        <f>IF(OR(($A148=Settings!$A$31),($A148=Settings!$A$32),ISERROR(VLOOKUP($B148,SportslineData!$AD:$AK,3,0))),"",ROUND(VLOOKUP($B148,SportslineData!$AD:$AK,3,0),0))</f>
        <v>18</v>
      </c>
      <c r="O148" s="33">
        <f>IF(OR(($A148=Settings!$A$31),($A148=Settings!$A$32),ISERROR(VLOOKUP($B148,SportslineData!$AD:$AK,4,0))),"",VLOOKUP($B148,SportslineData!$AD:$AK,4,0))</f>
        <v>208.5</v>
      </c>
      <c r="P148" s="33">
        <f>IF(OR(($A148=Settings!$A$31),($A148=Settings!$A$32),ISERROR(VLOOKUP($B148,SportslineData!$AD:$AK,6,0))),"",ROUND(VLOOKUP($B148,SportslineData!$AD:$AK,6,0),0))</f>
        <v>1</v>
      </c>
      <c r="Q148" s="64">
        <f>IF(OR(($A148=Settings!$A$31),($A148=Settings!$A$32),ISERROR(VLOOKUP($B148,SportslineData!$AD:$AK,7,0))),"",ROUND(VLOOKUP($B148,SportslineData!$AD:$AK,7,0),0))</f>
        <v>0</v>
      </c>
      <c r="R148" s="117"/>
      <c r="S148" s="33"/>
      <c r="T148" s="38">
        <f>IF(ISERROR(ROUND((((((ROUNDDOWN((D148/5),0)*Settings!$F$7)+(E148*Settings!$I$7))+(F148*Settings!$I$11))+(ROUNDDOWN((G148/5),0)*Settings!$F$11))+(H148*Settings!$F$12)),1)),0,ROUND((((((ROUNDDOWN((D148/5),0)*Settings!$F$7)+(E148*Settings!$I$7))+(F148*Settings!$I$11))+(ROUNDDOWN((G148/5),0)*Settings!$F$11))+(H148*Settings!$F$12)),1))</f>
        <v>0</v>
      </c>
      <c r="U148" s="38">
        <f>IF(ISERROR(ROUND((((((ROUNDDOWN((I148/5),0)*Settings!$F$7)+(J148*Settings!$I$7))+(K148*Settings!$I$11))+(ROUNDDOWN((L148/5),0)*Settings!$F$11))+(M148*Settings!$F$12)),1)),0,ROUND((((((ROUNDDOWN((I148/5),0)*Settings!$F$7)+(J148*Settings!$I$7))+(K148*Settings!$I$11))+(ROUNDDOWN((L148/5),0)*Settings!$F$11))+(M148*Settings!$F$12)),1))</f>
        <v>0</v>
      </c>
      <c r="V148" s="38">
        <f>IF((N148=""),0,((((N148*Settings!$I$11)+(ROUND((O148/5),0)*Settings!$F$11))+(P148*Settings!$F$12))+(Q148*Settings!$F$15)))</f>
        <v>36</v>
      </c>
      <c r="W148" s="66">
        <f>ROUND((((T148*Settings!$B$21)+(U148*Settings!$B$22))+(V148*Settings!$B$23)),1)</f>
        <v>12.2</v>
      </c>
      <c r="X148" s="66">
        <f>IF(ISERROR(VLOOKUP(RANK(W148,W$4:W$182),X$4:X147,1,0)),RANK(W148,W$4:W$182),IF(ISERROR(VLOOKUP((RANK(W148,W$4:W$182)+1),X$4:X147,1,0)),(RANK(W148,W$4:W$182)+1),IF(ISERROR(VLOOKUP((RANK(W148,W$4:W$182)+2),X$4:X147,1,0)),(RANK(W148,W$4:W$182)+2),(RANK(W148,W$4:W$182)+3))))</f>
        <v>143</v>
      </c>
      <c r="Y148" t="str">
        <f t="shared" si="14"/>
        <v>Rishard Matthews</v>
      </c>
    </row>
    <row r="149" spans="1:25" ht="12.75" customHeight="1">
      <c r="A149" s="33" t="str">
        <f>ESPNData!AH154</f>
        <v>Jacoby Ford, NYJ WR</v>
      </c>
      <c r="B149" s="33" t="str">
        <f t="shared" si="12"/>
        <v>Jacoby Ford</v>
      </c>
      <c r="C149" s="64" t="str">
        <f t="shared" si="13"/>
        <v>NYJ</v>
      </c>
      <c r="D149" s="117">
        <f>IF(OR(($A149=Settings!$A$31),($A149=Settings!$A$32),ISERROR(VLOOKUP($B149,FFTodayData!$AB:$AK,8,0))),"",VLOOKUP($B149,FFTodayData!$AB:$AK,8,0))</f>
        <v>46</v>
      </c>
      <c r="E149" s="33">
        <f>IF(OR(($A149=Settings!$A$31),($A149=Settings!$A$32),ISERROR(VLOOKUP($B149,FFTodayData!$AB:$AK,9,0))),"",VLOOKUP($B149,FFTodayData!$AB:$AK,9,0))</f>
        <v>0</v>
      </c>
      <c r="F149" s="33">
        <f>IF(OR(($A149=Settings!$A$31),($A149=Settings!$A$32),ISERROR(VLOOKUP($B149,FFTodayData!$AB:$AK,4,0))),"",VLOOKUP($B149,FFTodayData!$AB:$AK,4,0))</f>
        <v>31</v>
      </c>
      <c r="G149" s="33">
        <f>IF(OR(($A149=Settings!$A$31),($A149=Settings!$A$32),ISERROR(VLOOKUP($B149,FFTodayData!$AB:$AK,5,0))),"",VLOOKUP($B149,FFTodayData!$AB:$AK,5,0))</f>
        <v>449</v>
      </c>
      <c r="H149" s="64">
        <f>IF(OR(($A149=Settings!$A$31),($A149=Settings!$A$32),ISERROR(VLOOKUP($B149,FFTodayData!$AB:$AK,6,0))),"",VLOOKUP($B149,FFTodayData!$AB:$AK,6,0))</f>
        <v>3</v>
      </c>
      <c r="I149" s="117">
        <f>IF(ISERROR(VLOOKUP($A149,ESPNData!$AH:$AU,9,0)),"",VLOOKUP($A149,ESPNData!$AH:$AU,9,0))</f>
        <v>0</v>
      </c>
      <c r="J149" s="33">
        <f>IF(ISERROR(VLOOKUP($A149,ESPNData!$AH:$AU,10,0)),"",VLOOKUP($A149,ESPNData!$AH:$AU,10,0))</f>
        <v>0</v>
      </c>
      <c r="K149" s="33">
        <f>IF(ISERROR(VLOOKUP($A149,ESPNData!$AH:$AU,11,0)),"",VLOOKUP($A149,ESPNData!$AH:$AU,11,0))</f>
        <v>0</v>
      </c>
      <c r="L149" s="33">
        <f>IF(ISERROR(VLOOKUP($A149,ESPNData!$AH:$AU,12,0)),"",VLOOKUP($A149,ESPNData!$AH:$AU,12,0))</f>
        <v>0</v>
      </c>
      <c r="M149" s="64">
        <f>IF(ISERROR(VLOOKUP($A149,ESPNData!$AH:$AU,13,0)),"",VLOOKUP($A149,ESPNData!$AH:$AU,13,0))</f>
        <v>0</v>
      </c>
      <c r="N149" s="117">
        <f>IF(OR(($A149=Settings!$A$31),($A149=Settings!$A$32),ISERROR(VLOOKUP($B149,SportslineData!$AD:$AK,3,0))),"",ROUND(VLOOKUP($B149,SportslineData!$AD:$AK,3,0),0))</f>
        <v>17</v>
      </c>
      <c r="O149" s="33">
        <f>IF(OR(($A149=Settings!$A$31),($A149=Settings!$A$32),ISERROR(VLOOKUP($B149,SportslineData!$AD:$AK,4,0))),"",VLOOKUP($B149,SportslineData!$AD:$AK,4,0))</f>
        <v>204</v>
      </c>
      <c r="P149" s="33">
        <f>IF(OR(($A149=Settings!$A$31),($A149=Settings!$A$32),ISERROR(VLOOKUP($B149,SportslineData!$AD:$AK,6,0))),"",ROUND(VLOOKUP($B149,SportslineData!$AD:$AK,6,0),0))</f>
        <v>1</v>
      </c>
      <c r="Q149" s="64">
        <f>IF(OR(($A149=Settings!$A$31),($A149=Settings!$A$32),ISERROR(VLOOKUP($B149,SportslineData!$AD:$AK,7,0))),"",ROUND(VLOOKUP($B149,SportslineData!$AD:$AK,7,0),0))</f>
        <v>1</v>
      </c>
      <c r="R149" s="117"/>
      <c r="S149" s="33"/>
      <c r="T149" s="38">
        <f>IF(ISERROR(ROUND((((((ROUNDDOWN((D149/5),0)*Settings!$F$7)+(E149*Settings!$I$7))+(F149*Settings!$I$11))+(ROUNDDOWN((G149/5),0)*Settings!$F$11))+(H149*Settings!$F$12)),1)),0,ROUND((((((ROUNDDOWN((D149/5),0)*Settings!$F$7)+(E149*Settings!$I$7))+(F149*Settings!$I$11))+(ROUNDDOWN((G149/5),0)*Settings!$F$11))+(H149*Settings!$F$12)),1))</f>
        <v>82.5</v>
      </c>
      <c r="U149" s="38">
        <f>IF(ISERROR(ROUND((((((ROUNDDOWN((I149/5),0)*Settings!$F$7)+(J149*Settings!$I$7))+(K149*Settings!$I$11))+(ROUNDDOWN((L149/5),0)*Settings!$F$11))+(M149*Settings!$F$12)),1)),0,ROUND((((((ROUNDDOWN((I149/5),0)*Settings!$F$7)+(J149*Settings!$I$7))+(K149*Settings!$I$11))+(ROUNDDOWN((L149/5),0)*Settings!$F$11))+(M149*Settings!$F$12)),1))</f>
        <v>0</v>
      </c>
      <c r="V149" s="38">
        <f>IF((N149=""),0,((((N149*Settings!$I$11)+(ROUND((O149/5),0)*Settings!$F$11))+(P149*Settings!$F$12))+(Q149*Settings!$F$15)))</f>
        <v>34</v>
      </c>
      <c r="W149" s="66">
        <f>ROUND((((T149*Settings!$B$21)+(U149*Settings!$B$22))+(V149*Settings!$B$23)),1)</f>
        <v>38.799999999999997</v>
      </c>
      <c r="X149" s="66">
        <f>IF(ISERROR(VLOOKUP(RANK(W149,W$4:W$182),X$4:X148,1,0)),RANK(W149,W$4:W$182),IF(ISERROR(VLOOKUP((RANK(W149,W$4:W$182)+1),X$4:X148,1,0)),(RANK(W149,W$4:W$182)+1),IF(ISERROR(VLOOKUP((RANK(W149,W$4:W$182)+2),X$4:X148,1,0)),(RANK(W149,W$4:W$182)+2),(RANK(W149,W$4:W$182)+3))))</f>
        <v>104</v>
      </c>
      <c r="Y149" t="str">
        <f t="shared" si="14"/>
        <v>Jacoby Ford</v>
      </c>
    </row>
    <row r="150" spans="1:25" ht="12.75" customHeight="1">
      <c r="A150" s="33" t="str">
        <f>ESPNData!AH155</f>
        <v>Michael Preston, Ten WR  P</v>
      </c>
      <c r="B150" s="33" t="str">
        <f t="shared" si="12"/>
        <v>Michael Preston</v>
      </c>
      <c r="C150" s="64" t="str">
        <f t="shared" si="13"/>
        <v>TEN</v>
      </c>
      <c r="D150" s="117" t="str">
        <f>IF(OR(($A150=Settings!$A$31),($A150=Settings!$A$32),ISERROR(VLOOKUP($B150,FFTodayData!$AB:$AK,8,0))),"",VLOOKUP($B150,FFTodayData!$AB:$AK,8,0))</f>
        <v/>
      </c>
      <c r="E150" s="33" t="str">
        <f>IF(OR(($A150=Settings!$A$31),($A150=Settings!$A$32),ISERROR(VLOOKUP($B150,FFTodayData!$AB:$AK,9,0))),"",VLOOKUP($B150,FFTodayData!$AB:$AK,9,0))</f>
        <v/>
      </c>
      <c r="F150" s="33" t="str">
        <f>IF(OR(($A150=Settings!$A$31),($A150=Settings!$A$32),ISERROR(VLOOKUP($B150,FFTodayData!$AB:$AK,4,0))),"",VLOOKUP($B150,FFTodayData!$AB:$AK,4,0))</f>
        <v/>
      </c>
      <c r="G150" s="33" t="str">
        <f>IF(OR(($A150=Settings!$A$31),($A150=Settings!$A$32),ISERROR(VLOOKUP($B150,FFTodayData!$AB:$AK,5,0))),"",VLOOKUP($B150,FFTodayData!$AB:$AK,5,0))</f>
        <v/>
      </c>
      <c r="H150" s="64" t="str">
        <f>IF(OR(($A150=Settings!$A$31),($A150=Settings!$A$32),ISERROR(VLOOKUP($B150,FFTodayData!$AB:$AK,6,0))),"",VLOOKUP($B150,FFTodayData!$AB:$AK,6,0))</f>
        <v/>
      </c>
      <c r="I150" s="117">
        <f>IF(ISERROR(VLOOKUP($A150,ESPNData!$AH:$AU,9,0)),"",VLOOKUP($A150,ESPNData!$AH:$AU,9,0))</f>
        <v>0</v>
      </c>
      <c r="J150" s="33">
        <f>IF(ISERROR(VLOOKUP($A150,ESPNData!$AH:$AU,10,0)),"",VLOOKUP($A150,ESPNData!$AH:$AU,10,0))</f>
        <v>0</v>
      </c>
      <c r="K150" s="33">
        <f>IF(ISERROR(VLOOKUP($A150,ESPNData!$AH:$AU,11,0)),"",VLOOKUP($A150,ESPNData!$AH:$AU,11,0))</f>
        <v>0</v>
      </c>
      <c r="L150" s="33">
        <f>IF(ISERROR(VLOOKUP($A150,ESPNData!$AH:$AU,12,0)),"",VLOOKUP($A150,ESPNData!$AH:$AU,12,0))</f>
        <v>0</v>
      </c>
      <c r="M150" s="64">
        <f>IF(ISERROR(VLOOKUP($A150,ESPNData!$AH:$AU,13,0)),"",VLOOKUP($A150,ESPNData!$AH:$AU,13,0))</f>
        <v>0</v>
      </c>
      <c r="N150" s="117">
        <f>IF(OR(($A150=Settings!$A$31),($A150=Settings!$A$32),ISERROR(VLOOKUP($B150,SportslineData!$AD:$AK,3,0))),"",ROUND(VLOOKUP($B150,SportslineData!$AD:$AK,3,0),0))</f>
        <v>6</v>
      </c>
      <c r="O150" s="33">
        <f>IF(OR(($A150=Settings!$A$31),($A150=Settings!$A$32),ISERROR(VLOOKUP($B150,SportslineData!$AD:$AK,4,0))),"",VLOOKUP($B150,SportslineData!$AD:$AK,4,0))</f>
        <v>60.5</v>
      </c>
      <c r="P150" s="33">
        <f>IF(OR(($A150=Settings!$A$31),($A150=Settings!$A$32),ISERROR(VLOOKUP($B150,SportslineData!$AD:$AK,6,0))),"",ROUND(VLOOKUP($B150,SportslineData!$AD:$AK,6,0),0))</f>
        <v>0</v>
      </c>
      <c r="Q150" s="64">
        <f>IF(OR(($A150=Settings!$A$31),($A150=Settings!$A$32),ISERROR(VLOOKUP($B150,SportslineData!$AD:$AK,7,0))),"",ROUND(VLOOKUP($B150,SportslineData!$AD:$AK,7,0),0))</f>
        <v>0</v>
      </c>
      <c r="R150" s="117"/>
      <c r="S150" s="33"/>
      <c r="T150" s="38">
        <f>IF(ISERROR(ROUND((((((ROUNDDOWN((D150/5),0)*Settings!$F$7)+(E150*Settings!$I$7))+(F150*Settings!$I$11))+(ROUNDDOWN((G150/5),0)*Settings!$F$11))+(H150*Settings!$F$12)),1)),0,ROUND((((((ROUNDDOWN((D150/5),0)*Settings!$F$7)+(E150*Settings!$I$7))+(F150*Settings!$I$11))+(ROUNDDOWN((G150/5),0)*Settings!$F$11))+(H150*Settings!$F$12)),1))</f>
        <v>0</v>
      </c>
      <c r="U150" s="38">
        <f>IF(ISERROR(ROUND((((((ROUNDDOWN((I150/5),0)*Settings!$F$7)+(J150*Settings!$I$7))+(K150*Settings!$I$11))+(ROUNDDOWN((L150/5),0)*Settings!$F$11))+(M150*Settings!$F$12)),1)),0,ROUND((((((ROUNDDOWN((I150/5),0)*Settings!$F$7)+(J150*Settings!$I$7))+(K150*Settings!$I$11))+(ROUNDDOWN((L150/5),0)*Settings!$F$11))+(M150*Settings!$F$12)),1))</f>
        <v>0</v>
      </c>
      <c r="V150" s="38">
        <f>IF((N150=""),0,((((N150*Settings!$I$11)+(ROUND((O150/5),0)*Settings!$F$11))+(P150*Settings!$F$12))+(Q150*Settings!$F$15)))</f>
        <v>9</v>
      </c>
      <c r="W150" s="66">
        <f>ROUND((((T150*Settings!$B$21)+(U150*Settings!$B$22))+(V150*Settings!$B$23)),1)</f>
        <v>3.1</v>
      </c>
      <c r="X150" s="66">
        <f>IF(ISERROR(VLOOKUP(RANK(W150,W$4:W$182),X$4:X149,1,0)),RANK(W150,W$4:W$182),IF(ISERROR(VLOOKUP((RANK(W150,W$4:W$182)+1),X$4:X149,1,0)),(RANK(W150,W$4:W$182)+1),IF(ISERROR(VLOOKUP((RANK(W150,W$4:W$182)+2),X$4:X149,1,0)),(RANK(W150,W$4:W$182)+2),(RANK(W150,W$4:W$182)+3))))</f>
        <v>153</v>
      </c>
      <c r="Y150" t="str">
        <f t="shared" si="14"/>
        <v>Michael Preston</v>
      </c>
    </row>
    <row r="151" spans="1:25" ht="12.75" customHeight="1">
      <c r="A151" s="33" t="str">
        <f>ESPNData!AH156</f>
        <v>Shaq Evans, NYJ WR</v>
      </c>
      <c r="B151" s="33" t="str">
        <f t="shared" si="12"/>
        <v>Shaq Evans</v>
      </c>
      <c r="C151" s="64" t="str">
        <f t="shared" si="13"/>
        <v>NYJ</v>
      </c>
      <c r="D151" s="117" t="str">
        <f>IF(OR(($A151=Settings!$A$31),($A151=Settings!$A$32),ISERROR(VLOOKUP($B151,FFTodayData!$AB:$AK,8,0))),"",VLOOKUP($B151,FFTodayData!$AB:$AK,8,0))</f>
        <v/>
      </c>
      <c r="E151" s="33" t="str">
        <f>IF(OR(($A151=Settings!$A$31),($A151=Settings!$A$32),ISERROR(VLOOKUP($B151,FFTodayData!$AB:$AK,9,0))),"",VLOOKUP($B151,FFTodayData!$AB:$AK,9,0))</f>
        <v/>
      </c>
      <c r="F151" s="33" t="str">
        <f>IF(OR(($A151=Settings!$A$31),($A151=Settings!$A$32),ISERROR(VLOOKUP($B151,FFTodayData!$AB:$AK,4,0))),"",VLOOKUP($B151,FFTodayData!$AB:$AK,4,0))</f>
        <v/>
      </c>
      <c r="G151" s="33" t="str">
        <f>IF(OR(($A151=Settings!$A$31),($A151=Settings!$A$32),ISERROR(VLOOKUP($B151,FFTodayData!$AB:$AK,5,0))),"",VLOOKUP($B151,FFTodayData!$AB:$AK,5,0))</f>
        <v/>
      </c>
      <c r="H151" s="64" t="str">
        <f>IF(OR(($A151=Settings!$A$31),($A151=Settings!$A$32),ISERROR(VLOOKUP($B151,FFTodayData!$AB:$AK,6,0))),"",VLOOKUP($B151,FFTodayData!$AB:$AK,6,0))</f>
        <v/>
      </c>
      <c r="I151" s="117">
        <f>IF(ISERROR(VLOOKUP($A151,ESPNData!$AH:$AU,9,0)),"",VLOOKUP($A151,ESPNData!$AH:$AU,9,0))</f>
        <v>0</v>
      </c>
      <c r="J151" s="33">
        <f>IF(ISERROR(VLOOKUP($A151,ESPNData!$AH:$AU,10,0)),"",VLOOKUP($A151,ESPNData!$AH:$AU,10,0))</f>
        <v>0</v>
      </c>
      <c r="K151" s="33">
        <f>IF(ISERROR(VLOOKUP($A151,ESPNData!$AH:$AU,11,0)),"",VLOOKUP($A151,ESPNData!$AH:$AU,11,0))</f>
        <v>0</v>
      </c>
      <c r="L151" s="33">
        <f>IF(ISERROR(VLOOKUP($A151,ESPNData!$AH:$AU,12,0)),"",VLOOKUP($A151,ESPNData!$AH:$AU,12,0))</f>
        <v>0</v>
      </c>
      <c r="M151" s="64">
        <f>IF(ISERROR(VLOOKUP($A151,ESPNData!$AH:$AU,13,0)),"",VLOOKUP($A151,ESPNData!$AH:$AU,13,0))</f>
        <v>0</v>
      </c>
      <c r="N151" s="117">
        <f>IF(OR(($A151=Settings!$A$31),($A151=Settings!$A$32),ISERROR(VLOOKUP($B151,SportslineData!$AD:$AK,3,0))),"",ROUND(VLOOKUP($B151,SportslineData!$AD:$AK,3,0),0))</f>
        <v>19</v>
      </c>
      <c r="O151" s="33">
        <f>IF(OR(($A151=Settings!$A$31),($A151=Settings!$A$32),ISERROR(VLOOKUP($B151,SportslineData!$AD:$AK,4,0))),"",VLOOKUP($B151,SportslineData!$AD:$AK,4,0))</f>
        <v>252.5</v>
      </c>
      <c r="P151" s="33">
        <f>IF(OR(($A151=Settings!$A$31),($A151=Settings!$A$32),ISERROR(VLOOKUP($B151,SportslineData!$AD:$AK,6,0))),"",ROUND(VLOOKUP($B151,SportslineData!$AD:$AK,6,0),0))</f>
        <v>2</v>
      </c>
      <c r="Q151" s="64">
        <f>IF(OR(($A151=Settings!$A$31),($A151=Settings!$A$32),ISERROR(VLOOKUP($B151,SportslineData!$AD:$AK,7,0))),"",ROUND(VLOOKUP($B151,SportslineData!$AD:$AK,7,0),0))</f>
        <v>0</v>
      </c>
      <c r="R151" s="117"/>
      <c r="S151" s="33"/>
      <c r="T151" s="38">
        <f>IF(ISERROR(ROUND((((((ROUNDDOWN((D151/5),0)*Settings!$F$7)+(E151*Settings!$I$7))+(F151*Settings!$I$11))+(ROUNDDOWN((G151/5),0)*Settings!$F$11))+(H151*Settings!$F$12)),1)),0,ROUND((((((ROUNDDOWN((D151/5),0)*Settings!$F$7)+(E151*Settings!$I$7))+(F151*Settings!$I$11))+(ROUNDDOWN((G151/5),0)*Settings!$F$11))+(H151*Settings!$F$12)),1))</f>
        <v>0</v>
      </c>
      <c r="U151" s="38">
        <f>IF(ISERROR(ROUND((((((ROUNDDOWN((I151/5),0)*Settings!$F$7)+(J151*Settings!$I$7))+(K151*Settings!$I$11))+(ROUNDDOWN((L151/5),0)*Settings!$F$11))+(M151*Settings!$F$12)),1)),0,ROUND((((((ROUNDDOWN((I151/5),0)*Settings!$F$7)+(J151*Settings!$I$7))+(K151*Settings!$I$11))+(ROUNDDOWN((L151/5),0)*Settings!$F$11))+(M151*Settings!$F$12)),1))</f>
        <v>0</v>
      </c>
      <c r="V151" s="38">
        <f>IF((N151=""),0,((((N151*Settings!$I$11)+(ROUND((O151/5),0)*Settings!$F$11))+(P151*Settings!$F$12))+(Q151*Settings!$F$15)))</f>
        <v>47</v>
      </c>
      <c r="W151" s="66">
        <f>ROUND((((T151*Settings!$B$21)+(U151*Settings!$B$22))+(V151*Settings!$B$23)),1)</f>
        <v>16</v>
      </c>
      <c r="X151" s="66">
        <f>IF(ISERROR(VLOOKUP(RANK(W151,W$4:W$182),X$4:X150,1,0)),RANK(W151,W$4:W$182),IF(ISERROR(VLOOKUP((RANK(W151,W$4:W$182)+1),X$4:X150,1,0)),(RANK(W151,W$4:W$182)+1),IF(ISERROR(VLOOKUP((RANK(W151,W$4:W$182)+2),X$4:X150,1,0)),(RANK(W151,W$4:W$182)+2),(RANK(W151,W$4:W$182)+3))))</f>
        <v>137</v>
      </c>
      <c r="Y151" t="str">
        <f t="shared" si="14"/>
        <v>Shaq Evans</v>
      </c>
    </row>
    <row r="152" spans="1:25" ht="12.75" customHeight="1">
      <c r="A152" s="33" t="str">
        <f>ESPNData!AH157</f>
        <v>LaVon Brazill, Ind WR  SSPD</v>
      </c>
      <c r="B152" s="33" t="str">
        <f t="shared" si="12"/>
        <v>LaVon Brazill</v>
      </c>
      <c r="C152" s="64" t="str">
        <f t="shared" si="13"/>
        <v>IND</v>
      </c>
      <c r="D152" s="117">
        <f>IF(OR(($A152=Settings!$A$31),($A152=Settings!$A$32),ISERROR(VLOOKUP($B152,FFTodayData!$AB:$AK,8,0))),"",VLOOKUP($B152,FFTodayData!$AB:$AK,8,0))</f>
        <v>0</v>
      </c>
      <c r="E152" s="33">
        <f>IF(OR(($A152=Settings!$A$31),($A152=Settings!$A$32),ISERROR(VLOOKUP($B152,FFTodayData!$AB:$AK,9,0))),"",VLOOKUP($B152,FFTodayData!$AB:$AK,9,0))</f>
        <v>0</v>
      </c>
      <c r="F152" s="33">
        <f>IF(OR(($A152=Settings!$A$31),($A152=Settings!$A$32),ISERROR(VLOOKUP($B152,FFTodayData!$AB:$AK,4,0))),"",VLOOKUP($B152,FFTodayData!$AB:$AK,4,0))</f>
        <v>29</v>
      </c>
      <c r="G152" s="33">
        <f>IF(OR(($A152=Settings!$A$31),($A152=Settings!$A$32),ISERROR(VLOOKUP($B152,FFTodayData!$AB:$AK,5,0))),"",VLOOKUP($B152,FFTodayData!$AB:$AK,5,0))</f>
        <v>350</v>
      </c>
      <c r="H152" s="64">
        <f>IF(OR(($A152=Settings!$A$31),($A152=Settings!$A$32),ISERROR(VLOOKUP($B152,FFTodayData!$AB:$AK,6,0))),"",VLOOKUP($B152,FFTodayData!$AB:$AK,6,0))</f>
        <v>2</v>
      </c>
      <c r="I152" s="117">
        <f>IF(ISERROR(VLOOKUP($A152,ESPNData!$AH:$AU,9,0)),"",VLOOKUP($A152,ESPNData!$AH:$AU,9,0))</f>
        <v>0</v>
      </c>
      <c r="J152" s="33">
        <f>IF(ISERROR(VLOOKUP($A152,ESPNData!$AH:$AU,10,0)),"",VLOOKUP($A152,ESPNData!$AH:$AU,10,0))</f>
        <v>0</v>
      </c>
      <c r="K152" s="33">
        <f>IF(ISERROR(VLOOKUP($A152,ESPNData!$AH:$AU,11,0)),"",VLOOKUP($A152,ESPNData!$AH:$AU,11,0))</f>
        <v>0</v>
      </c>
      <c r="L152" s="33">
        <f>IF(ISERROR(VLOOKUP($A152,ESPNData!$AH:$AU,12,0)),"",VLOOKUP($A152,ESPNData!$AH:$AU,12,0))</f>
        <v>0</v>
      </c>
      <c r="M152" s="64">
        <f>IF(ISERROR(VLOOKUP($A152,ESPNData!$AH:$AU,13,0)),"",VLOOKUP($A152,ESPNData!$AH:$AU,13,0))</f>
        <v>0</v>
      </c>
      <c r="N152" s="117" t="str">
        <f>IF(OR(($A152=Settings!$A$31),($A152=Settings!$A$32),ISERROR(VLOOKUP($B152,SportslineData!$AD:$AK,3,0))),"",ROUND(VLOOKUP($B152,SportslineData!$AD:$AK,3,0),0))</f>
        <v/>
      </c>
      <c r="O152" s="33" t="str">
        <f>IF(OR(($A152=Settings!$A$31),($A152=Settings!$A$32),ISERROR(VLOOKUP($B152,SportslineData!$AD:$AK,4,0))),"",VLOOKUP($B152,SportslineData!$AD:$AK,4,0))</f>
        <v/>
      </c>
      <c r="P152" s="33" t="str">
        <f>IF(OR(($A152=Settings!$A$31),($A152=Settings!$A$32),ISERROR(VLOOKUP($B152,SportslineData!$AD:$AK,6,0))),"",ROUND(VLOOKUP($B152,SportslineData!$AD:$AK,6,0),0))</f>
        <v/>
      </c>
      <c r="Q152" s="64" t="str">
        <f>IF(OR(($A152=Settings!$A$31),($A152=Settings!$A$32),ISERROR(VLOOKUP($B152,SportslineData!$AD:$AK,7,0))),"",ROUND(VLOOKUP($B152,SportslineData!$AD:$AK,7,0),0))</f>
        <v/>
      </c>
      <c r="R152" s="117"/>
      <c r="S152" s="33"/>
      <c r="T152" s="38">
        <f>IF(ISERROR(ROUND((((((ROUNDDOWN((D152/5),0)*Settings!$F$7)+(E152*Settings!$I$7))+(F152*Settings!$I$11))+(ROUNDDOWN((G152/5),0)*Settings!$F$11))+(H152*Settings!$F$12)),1)),0,ROUND((((((ROUNDDOWN((D152/5),0)*Settings!$F$7)+(E152*Settings!$I$7))+(F152*Settings!$I$11))+(ROUNDDOWN((G152/5),0)*Settings!$F$11))+(H152*Settings!$F$12)),1))</f>
        <v>61.5</v>
      </c>
      <c r="U152" s="38">
        <f>IF(ISERROR(ROUND((((((ROUNDDOWN((I152/5),0)*Settings!$F$7)+(J152*Settings!$I$7))+(K152*Settings!$I$11))+(ROUNDDOWN((L152/5),0)*Settings!$F$11))+(M152*Settings!$F$12)),1)),0,ROUND((((((ROUNDDOWN((I152/5),0)*Settings!$F$7)+(J152*Settings!$I$7))+(K152*Settings!$I$11))+(ROUNDDOWN((L152/5),0)*Settings!$F$11))+(M152*Settings!$F$12)),1))</f>
        <v>0</v>
      </c>
      <c r="V152" s="38">
        <f>IF((N152=""),0,((((N152*Settings!$I$11)+(ROUND((O152/5),0)*Settings!$F$11))+(P152*Settings!$F$12))+(Q152*Settings!$F$15)))</f>
        <v>0</v>
      </c>
      <c r="W152" s="66">
        <f>ROUND((((T152*Settings!$B$21)+(U152*Settings!$B$22))+(V152*Settings!$B$23)),1)</f>
        <v>20.3</v>
      </c>
      <c r="X152" s="66">
        <f>IF(ISERROR(VLOOKUP(RANK(W152,W$4:W$182),X$4:X151,1,0)),RANK(W152,W$4:W$182),IF(ISERROR(VLOOKUP((RANK(W152,W$4:W$182)+1),X$4:X151,1,0)),(RANK(W152,W$4:W$182)+1),IF(ISERROR(VLOOKUP((RANK(W152,W$4:W$182)+2),X$4:X151,1,0)),(RANK(W152,W$4:W$182)+2),(RANK(W152,W$4:W$182)+3))))</f>
        <v>127</v>
      </c>
      <c r="Y152" t="str">
        <f t="shared" si="14"/>
        <v>LaVon Brazill</v>
      </c>
    </row>
    <row r="153" spans="1:25" ht="12.75" customHeight="1">
      <c r="A153" s="33" t="str">
        <f>ESPNData!AH158</f>
        <v>Justin Blackmon, Jac WR  SSPD</v>
      </c>
      <c r="B153" s="33" t="str">
        <f t="shared" si="12"/>
        <v>Justin Blackmon</v>
      </c>
      <c r="C153" s="64" t="str">
        <f t="shared" si="13"/>
        <v>JAC</v>
      </c>
      <c r="D153" s="117" t="str">
        <f>IF(OR(($A153=Settings!$A$31),($A153=Settings!$A$32),ISERROR(VLOOKUP($B153,FFTodayData!$AB:$AK,8,0))),"",VLOOKUP($B153,FFTodayData!$AB:$AK,8,0))</f>
        <v/>
      </c>
      <c r="E153" s="33" t="str">
        <f>IF(OR(($A153=Settings!$A$31),($A153=Settings!$A$32),ISERROR(VLOOKUP($B153,FFTodayData!$AB:$AK,9,0))),"",VLOOKUP($B153,FFTodayData!$AB:$AK,9,0))</f>
        <v/>
      </c>
      <c r="F153" s="33" t="str">
        <f>IF(OR(($A153=Settings!$A$31),($A153=Settings!$A$32),ISERROR(VLOOKUP($B153,FFTodayData!$AB:$AK,4,0))),"",VLOOKUP($B153,FFTodayData!$AB:$AK,4,0))</f>
        <v/>
      </c>
      <c r="G153" s="33" t="str">
        <f>IF(OR(($A153=Settings!$A$31),($A153=Settings!$A$32),ISERROR(VLOOKUP($B153,FFTodayData!$AB:$AK,5,0))),"",VLOOKUP($B153,FFTodayData!$AB:$AK,5,0))</f>
        <v/>
      </c>
      <c r="H153" s="64" t="str">
        <f>IF(OR(($A153=Settings!$A$31),($A153=Settings!$A$32),ISERROR(VLOOKUP($B153,FFTodayData!$AB:$AK,6,0))),"",VLOOKUP($B153,FFTodayData!$AB:$AK,6,0))</f>
        <v/>
      </c>
      <c r="I153" s="117">
        <f>IF(ISERROR(VLOOKUP($A153,ESPNData!$AH:$AU,9,0)),"",VLOOKUP($A153,ESPNData!$AH:$AU,9,0))</f>
        <v>0</v>
      </c>
      <c r="J153" s="33">
        <f>IF(ISERROR(VLOOKUP($A153,ESPNData!$AH:$AU,10,0)),"",VLOOKUP($A153,ESPNData!$AH:$AU,10,0))</f>
        <v>0</v>
      </c>
      <c r="K153" s="33">
        <f>IF(ISERROR(VLOOKUP($A153,ESPNData!$AH:$AU,11,0)),"",VLOOKUP($A153,ESPNData!$AH:$AU,11,0))</f>
        <v>0</v>
      </c>
      <c r="L153" s="33">
        <f>IF(ISERROR(VLOOKUP($A153,ESPNData!$AH:$AU,12,0)),"",VLOOKUP($A153,ESPNData!$AH:$AU,12,0))</f>
        <v>0</v>
      </c>
      <c r="M153" s="64">
        <f>IF(ISERROR(VLOOKUP($A153,ESPNData!$AH:$AU,13,0)),"",VLOOKUP($A153,ESPNData!$AH:$AU,13,0))</f>
        <v>0</v>
      </c>
      <c r="N153" s="117" t="str">
        <f>IF(OR(($A153=Settings!$A$31),($A153=Settings!$A$32),ISERROR(VLOOKUP($B153,SportslineData!$AD:$AK,3,0))),"",ROUND(VLOOKUP($B153,SportslineData!$AD:$AK,3,0),0))</f>
        <v/>
      </c>
      <c r="O153" s="33" t="str">
        <f>IF(OR(($A153=Settings!$A$31),($A153=Settings!$A$32),ISERROR(VLOOKUP($B153,SportslineData!$AD:$AK,4,0))),"",VLOOKUP($B153,SportslineData!$AD:$AK,4,0))</f>
        <v/>
      </c>
      <c r="P153" s="33" t="str">
        <f>IF(OR(($A153=Settings!$A$31),($A153=Settings!$A$32),ISERROR(VLOOKUP($B153,SportslineData!$AD:$AK,6,0))),"",ROUND(VLOOKUP($B153,SportslineData!$AD:$AK,6,0),0))</f>
        <v/>
      </c>
      <c r="Q153" s="64" t="str">
        <f>IF(OR(($A153=Settings!$A$31),($A153=Settings!$A$32),ISERROR(VLOOKUP($B153,SportslineData!$AD:$AK,7,0))),"",ROUND(VLOOKUP($B153,SportslineData!$AD:$AK,7,0),0))</f>
        <v/>
      </c>
      <c r="R153" s="117"/>
      <c r="S153" s="33"/>
      <c r="T153" s="38">
        <f>IF(ISERROR(ROUND((((((ROUNDDOWN((D153/5),0)*Settings!$F$7)+(E153*Settings!$I$7))+(F153*Settings!$I$11))+(ROUNDDOWN((G153/5),0)*Settings!$F$11))+(H153*Settings!$F$12)),1)),0,ROUND((((((ROUNDDOWN((D153/5),0)*Settings!$F$7)+(E153*Settings!$I$7))+(F153*Settings!$I$11))+(ROUNDDOWN((G153/5),0)*Settings!$F$11))+(H153*Settings!$F$12)),1))</f>
        <v>0</v>
      </c>
      <c r="U153" s="38">
        <f>IF(ISERROR(ROUND((((((ROUNDDOWN((I153/5),0)*Settings!$F$7)+(J153*Settings!$I$7))+(K153*Settings!$I$11))+(ROUNDDOWN((L153/5),0)*Settings!$F$11))+(M153*Settings!$F$12)),1)),0,ROUND((((((ROUNDDOWN((I153/5),0)*Settings!$F$7)+(J153*Settings!$I$7))+(K153*Settings!$I$11))+(ROUNDDOWN((L153/5),0)*Settings!$F$11))+(M153*Settings!$F$12)),1))</f>
        <v>0</v>
      </c>
      <c r="V153" s="38">
        <f>IF((N153=""),0,((((N153*Settings!$I$11)+(ROUND((O153/5),0)*Settings!$F$11))+(P153*Settings!$F$12))+(Q153*Settings!$F$15)))</f>
        <v>0</v>
      </c>
      <c r="W153" s="66">
        <f>ROUND((((T153*Settings!$B$21)+(U153*Settings!$B$22))+(V153*Settings!$B$23)),1)</f>
        <v>0</v>
      </c>
      <c r="X153" s="66">
        <f>IF(ISERROR(VLOOKUP(RANK(W153,W$4:W$182),X$4:X152,1,0)),RANK(W153,W$4:W$182),IF(ISERROR(VLOOKUP((RANK(W153,W$4:W$182)+1),X$4:X152,1,0)),(RANK(W153,W$4:W$182)+1),IF(ISERROR(VLOOKUP((RANK(W153,W$4:W$182)+2),X$4:X152,1,0)),(RANK(W153,W$4:W$182)+2),(RANK(W153,W$4:W$182)+3))))</f>
        <v>154</v>
      </c>
      <c r="Y153" t="str">
        <f t="shared" si="14"/>
        <v>Justin Blackmon</v>
      </c>
    </row>
    <row r="154" spans="1:25" ht="12.75" customHeight="1">
      <c r="A154" s="33" t="str">
        <f>ESPNData!AH159</f>
        <v>Sidney Rice, Sea WR</v>
      </c>
      <c r="B154" s="33" t="str">
        <f t="shared" si="12"/>
        <v>Sidney Rice</v>
      </c>
      <c r="C154" s="64" t="str">
        <f t="shared" si="13"/>
        <v>SEA</v>
      </c>
      <c r="D154" s="117" t="str">
        <f>IF(OR(($A154=Settings!$A$31),($A154=Settings!$A$32),ISERROR(VLOOKUP($B154,FFTodayData!$AB:$AK,8,0))),"",VLOOKUP($B154,FFTodayData!$AB:$AK,8,0))</f>
        <v/>
      </c>
      <c r="E154" s="33" t="str">
        <f>IF(OR(($A154=Settings!$A$31),($A154=Settings!$A$32),ISERROR(VLOOKUP($B154,FFTodayData!$AB:$AK,9,0))),"",VLOOKUP($B154,FFTodayData!$AB:$AK,9,0))</f>
        <v/>
      </c>
      <c r="F154" s="33" t="str">
        <f>IF(OR(($A154=Settings!$A$31),($A154=Settings!$A$32),ISERROR(VLOOKUP($B154,FFTodayData!$AB:$AK,4,0))),"",VLOOKUP($B154,FFTodayData!$AB:$AK,4,0))</f>
        <v/>
      </c>
      <c r="G154" s="33" t="str">
        <f>IF(OR(($A154=Settings!$A$31),($A154=Settings!$A$32),ISERROR(VLOOKUP($B154,FFTodayData!$AB:$AK,5,0))),"",VLOOKUP($B154,FFTodayData!$AB:$AK,5,0))</f>
        <v/>
      </c>
      <c r="H154" s="64" t="str">
        <f>IF(OR(($A154=Settings!$A$31),($A154=Settings!$A$32),ISERROR(VLOOKUP($B154,FFTodayData!$AB:$AK,6,0))),"",VLOOKUP($B154,FFTodayData!$AB:$AK,6,0))</f>
        <v/>
      </c>
      <c r="I154" s="117">
        <f>IF(ISERROR(VLOOKUP($A154,ESPNData!$AH:$AU,9,0)),"",VLOOKUP($A154,ESPNData!$AH:$AU,9,0))</f>
        <v>0</v>
      </c>
      <c r="J154" s="33">
        <f>IF(ISERROR(VLOOKUP($A154,ESPNData!$AH:$AU,10,0)),"",VLOOKUP($A154,ESPNData!$AH:$AU,10,0))</f>
        <v>0</v>
      </c>
      <c r="K154" s="33">
        <f>IF(ISERROR(VLOOKUP($A154,ESPNData!$AH:$AU,11,0)),"",VLOOKUP($A154,ESPNData!$AH:$AU,11,0))</f>
        <v>0</v>
      </c>
      <c r="L154" s="33">
        <f>IF(ISERROR(VLOOKUP($A154,ESPNData!$AH:$AU,12,0)),"",VLOOKUP($A154,ESPNData!$AH:$AU,12,0))</f>
        <v>0</v>
      </c>
      <c r="M154" s="64">
        <f>IF(ISERROR(VLOOKUP($A154,ESPNData!$AH:$AU,13,0)),"",VLOOKUP($A154,ESPNData!$AH:$AU,13,0))</f>
        <v>0</v>
      </c>
      <c r="N154" s="117" t="str">
        <f>IF(OR(($A154=Settings!$A$31),($A154=Settings!$A$32),ISERROR(VLOOKUP($B154,SportslineData!$AD:$AK,3,0))),"",ROUND(VLOOKUP($B154,SportslineData!$AD:$AK,3,0),0))</f>
        <v/>
      </c>
      <c r="O154" s="33" t="str">
        <f>IF(OR(($A154=Settings!$A$31),($A154=Settings!$A$32),ISERROR(VLOOKUP($B154,SportslineData!$AD:$AK,4,0))),"",VLOOKUP($B154,SportslineData!$AD:$AK,4,0))</f>
        <v/>
      </c>
      <c r="P154" s="33" t="str">
        <f>IF(OR(($A154=Settings!$A$31),($A154=Settings!$A$32),ISERROR(VLOOKUP($B154,SportslineData!$AD:$AK,6,0))),"",ROUND(VLOOKUP($B154,SportslineData!$AD:$AK,6,0),0))</f>
        <v/>
      </c>
      <c r="Q154" s="64" t="str">
        <f>IF(OR(($A154=Settings!$A$31),($A154=Settings!$A$32),ISERROR(VLOOKUP($B154,SportslineData!$AD:$AK,7,0))),"",ROUND(VLOOKUP($B154,SportslineData!$AD:$AK,7,0),0))</f>
        <v/>
      </c>
      <c r="R154" s="117"/>
      <c r="S154" s="33"/>
      <c r="T154" s="38">
        <f>IF(ISERROR(ROUND((((((ROUNDDOWN((D154/5),0)*Settings!$F$7)+(E154*Settings!$I$7))+(F154*Settings!$I$11))+(ROUNDDOWN((G154/5),0)*Settings!$F$11))+(H154*Settings!$F$12)),1)),0,ROUND((((((ROUNDDOWN((D154/5),0)*Settings!$F$7)+(E154*Settings!$I$7))+(F154*Settings!$I$11))+(ROUNDDOWN((G154/5),0)*Settings!$F$11))+(H154*Settings!$F$12)),1))</f>
        <v>0</v>
      </c>
      <c r="U154" s="38">
        <f>IF(ISERROR(ROUND((((((ROUNDDOWN((I154/5),0)*Settings!$F$7)+(J154*Settings!$I$7))+(K154*Settings!$I$11))+(ROUNDDOWN((L154/5),0)*Settings!$F$11))+(M154*Settings!$F$12)),1)),0,ROUND((((((ROUNDDOWN((I154/5),0)*Settings!$F$7)+(J154*Settings!$I$7))+(K154*Settings!$I$11))+(ROUNDDOWN((L154/5),0)*Settings!$F$11))+(M154*Settings!$F$12)),1))</f>
        <v>0</v>
      </c>
      <c r="V154" s="38">
        <f>IF((N154=""),0,((((N154*Settings!$I$11)+(ROUND((O154/5),0)*Settings!$F$11))+(P154*Settings!$F$12))+(Q154*Settings!$F$15)))</f>
        <v>0</v>
      </c>
      <c r="W154" s="66">
        <f>ROUND((((T154*Settings!$B$21)+(U154*Settings!$B$22))+(V154*Settings!$B$23)),1)</f>
        <v>0</v>
      </c>
      <c r="X154" s="66">
        <f>IF(ISERROR(VLOOKUP(RANK(W154,W$4:W$182),X$4:X153,1,0)),RANK(W154,W$4:W$182),IF(ISERROR(VLOOKUP((RANK(W154,W$4:W$182)+1),X$4:X153,1,0)),(RANK(W154,W$4:W$182)+1),IF(ISERROR(VLOOKUP((RANK(W154,W$4:W$182)+2),X$4:X153,1,0)),(RANK(W154,W$4:W$182)+2),(RANK(W154,W$4:W$182)+3))))</f>
        <v>155</v>
      </c>
      <c r="Y154" t="str">
        <f t="shared" si="14"/>
        <v>Sidney Rice</v>
      </c>
    </row>
    <row r="155" spans="1:25" ht="12.75" customHeight="1">
      <c r="A155" s="33" t="str">
        <f>ESPNData!AH160</f>
        <v>Terrell Owens, FA WR</v>
      </c>
      <c r="B155" s="33" t="str">
        <f t="shared" si="12"/>
        <v>Terrell Owens</v>
      </c>
      <c r="C155" s="64" t="str">
        <f t="shared" si="13"/>
        <v>FA</v>
      </c>
      <c r="D155" s="117" t="str">
        <f>IF(OR(($A155=Settings!$A$31),($A155=Settings!$A$32),ISERROR(VLOOKUP($B155,FFTodayData!$AB:$AK,8,0))),"",VLOOKUP($B155,FFTodayData!$AB:$AK,8,0))</f>
        <v/>
      </c>
      <c r="E155" s="33" t="str">
        <f>IF(OR(($A155=Settings!$A$31),($A155=Settings!$A$32),ISERROR(VLOOKUP($B155,FFTodayData!$AB:$AK,9,0))),"",VLOOKUP($B155,FFTodayData!$AB:$AK,9,0))</f>
        <v/>
      </c>
      <c r="F155" s="33" t="str">
        <f>IF(OR(($A155=Settings!$A$31),($A155=Settings!$A$32),ISERROR(VLOOKUP($B155,FFTodayData!$AB:$AK,4,0))),"",VLOOKUP($B155,FFTodayData!$AB:$AK,4,0))</f>
        <v/>
      </c>
      <c r="G155" s="33" t="str">
        <f>IF(OR(($A155=Settings!$A$31),($A155=Settings!$A$32),ISERROR(VLOOKUP($B155,FFTodayData!$AB:$AK,5,0))),"",VLOOKUP($B155,FFTodayData!$AB:$AK,5,0))</f>
        <v/>
      </c>
      <c r="H155" s="64" t="str">
        <f>IF(OR(($A155=Settings!$A$31),($A155=Settings!$A$32),ISERROR(VLOOKUP($B155,FFTodayData!$AB:$AK,6,0))),"",VLOOKUP($B155,FFTodayData!$AB:$AK,6,0))</f>
        <v/>
      </c>
      <c r="I155" s="117" t="str">
        <f>IF(ISERROR(VLOOKUP($A155,ESPNData!$AH:$AU,9,0)),"",VLOOKUP($A155,ESPNData!$AH:$AU,9,0))</f>
        <v>--</v>
      </c>
      <c r="J155" s="33" t="str">
        <f>IF(ISERROR(VLOOKUP($A155,ESPNData!$AH:$AU,10,0)),"",VLOOKUP($A155,ESPNData!$AH:$AU,10,0))</f>
        <v>--</v>
      </c>
      <c r="K155" s="33" t="str">
        <f>IF(ISERROR(VLOOKUP($A155,ESPNData!$AH:$AU,11,0)),"",VLOOKUP($A155,ESPNData!$AH:$AU,11,0))</f>
        <v>--</v>
      </c>
      <c r="L155" s="33" t="str">
        <f>IF(ISERROR(VLOOKUP($A155,ESPNData!$AH:$AU,12,0)),"",VLOOKUP($A155,ESPNData!$AH:$AU,12,0))</f>
        <v>--</v>
      </c>
      <c r="M155" s="64" t="str">
        <f>IF(ISERROR(VLOOKUP($A155,ESPNData!$AH:$AU,13,0)),"",VLOOKUP($A155,ESPNData!$AH:$AU,13,0))</f>
        <v>--</v>
      </c>
      <c r="N155" s="117" t="str">
        <f>IF(OR(($A155=Settings!$A$31),($A155=Settings!$A$32),ISERROR(VLOOKUP($B155,SportslineData!$AD:$AK,3,0))),"",ROUND(VLOOKUP($B155,SportslineData!$AD:$AK,3,0),0))</f>
        <v/>
      </c>
      <c r="O155" s="33" t="str">
        <f>IF(OR(($A155=Settings!$A$31),($A155=Settings!$A$32),ISERROR(VLOOKUP($B155,SportslineData!$AD:$AK,4,0))),"",VLOOKUP($B155,SportslineData!$AD:$AK,4,0))</f>
        <v/>
      </c>
      <c r="P155" s="33" t="str">
        <f>IF(OR(($A155=Settings!$A$31),($A155=Settings!$A$32),ISERROR(VLOOKUP($B155,SportslineData!$AD:$AK,6,0))),"",ROUND(VLOOKUP($B155,SportslineData!$AD:$AK,6,0),0))</f>
        <v/>
      </c>
      <c r="Q155" s="64" t="str">
        <f>IF(OR(($A155=Settings!$A$31),($A155=Settings!$A$32),ISERROR(VLOOKUP($B155,SportslineData!$AD:$AK,7,0))),"",ROUND(VLOOKUP($B155,SportslineData!$AD:$AK,7,0),0))</f>
        <v/>
      </c>
      <c r="R155" s="117"/>
      <c r="S155" s="33"/>
      <c r="T155" s="38">
        <f>IF(ISERROR(ROUND((((((ROUNDDOWN((D155/5),0)*Settings!$F$7)+(E155*Settings!$I$7))+(F155*Settings!$I$11))+(ROUNDDOWN((G155/5),0)*Settings!$F$11))+(H155*Settings!$F$12)),1)),0,ROUND((((((ROUNDDOWN((D155/5),0)*Settings!$F$7)+(E155*Settings!$I$7))+(F155*Settings!$I$11))+(ROUNDDOWN((G155/5),0)*Settings!$F$11))+(H155*Settings!$F$12)),1))</f>
        <v>0</v>
      </c>
      <c r="U155" s="38">
        <f>IF(ISERROR(ROUND((((((ROUNDDOWN((I155/5),0)*Settings!$F$7)+(J155*Settings!$I$7))+(K155*Settings!$I$11))+(ROUNDDOWN((L155/5),0)*Settings!$F$11))+(M155*Settings!$F$12)),1)),0,ROUND((((((ROUNDDOWN((I155/5),0)*Settings!$F$7)+(J155*Settings!$I$7))+(K155*Settings!$I$11))+(ROUNDDOWN((L155/5),0)*Settings!$F$11))+(M155*Settings!$F$12)),1))</f>
        <v>0</v>
      </c>
      <c r="V155" s="38">
        <f>IF((N155=""),0,((((N155*Settings!$I$11)+(ROUND((O155/5),0)*Settings!$F$11))+(P155*Settings!$F$12))+(Q155*Settings!$F$15)))</f>
        <v>0</v>
      </c>
      <c r="W155" s="66">
        <f>ROUND((((T155*Settings!$B$21)+(U155*Settings!$B$22))+(V155*Settings!$B$23)),1)</f>
        <v>0</v>
      </c>
      <c r="X155" s="66">
        <f>IF(ISERROR(VLOOKUP(RANK(W155,W$4:W$182),X$4:X154,1,0)),RANK(W155,W$4:W$182),IF(ISERROR(VLOOKUP((RANK(W155,W$4:W$182)+1),X$4:X154,1,0)),(RANK(W155,W$4:W$182)+1),IF(ISERROR(VLOOKUP((RANK(W155,W$4:W$182)+2),X$4:X154,1,0)),(RANK(W155,W$4:W$182)+2),(RANK(W155,W$4:W$182)+3))))</f>
        <v>156</v>
      </c>
      <c r="Y155" t="str">
        <f t="shared" si="14"/>
        <v>Terrell Owens</v>
      </c>
    </row>
    <row r="156" spans="1:25" ht="12.75" customHeight="1">
      <c r="A156" s="33" t="str">
        <f>ESPNData!AH161</f>
        <v>Randy Moss, FA WR</v>
      </c>
      <c r="B156" s="33" t="str">
        <f t="shared" si="12"/>
        <v>Randy Moss</v>
      </c>
      <c r="C156" s="64" t="str">
        <f t="shared" si="13"/>
        <v>FA</v>
      </c>
      <c r="D156" s="117">
        <f>IF(OR(($A156=Settings!$A$31),($A156=Settings!$A$32),ISERROR(VLOOKUP($B156,FFTodayData!$AB:$AK,8,0))),"",VLOOKUP($B156,FFTodayData!$AB:$AK,8,0))</f>
        <v>0</v>
      </c>
      <c r="E156" s="33">
        <f>IF(OR(($A156=Settings!$A$31),($A156=Settings!$A$32),ISERROR(VLOOKUP($B156,FFTodayData!$AB:$AK,9,0))),"",VLOOKUP($B156,FFTodayData!$AB:$AK,9,0))</f>
        <v>0</v>
      </c>
      <c r="F156" s="33">
        <f>IF(OR(($A156=Settings!$A$31),($A156=Settings!$A$32),ISERROR(VLOOKUP($B156,FFTodayData!$AB:$AK,4,0))),"",VLOOKUP($B156,FFTodayData!$AB:$AK,4,0))</f>
        <v>35</v>
      </c>
      <c r="G156" s="33">
        <f>IF(OR(($A156=Settings!$A$31),($A156=Settings!$A$32),ISERROR(VLOOKUP($B156,FFTodayData!$AB:$AK,5,0))),"",VLOOKUP($B156,FFTodayData!$AB:$AK,5,0))</f>
        <v>524</v>
      </c>
      <c r="H156" s="64">
        <f>IF(OR(($A156=Settings!$A$31),($A156=Settings!$A$32),ISERROR(VLOOKUP($B156,FFTodayData!$AB:$AK,6,0))),"",VLOOKUP($B156,FFTodayData!$AB:$AK,6,0))</f>
        <v>4</v>
      </c>
      <c r="I156" s="117" t="str">
        <f>IF(ISERROR(VLOOKUP($A156,ESPNData!$AH:$AU,9,0)),"",VLOOKUP($A156,ESPNData!$AH:$AU,9,0))</f>
        <v>--</v>
      </c>
      <c r="J156" s="33" t="str">
        <f>IF(ISERROR(VLOOKUP($A156,ESPNData!$AH:$AU,10,0)),"",VLOOKUP($A156,ESPNData!$AH:$AU,10,0))</f>
        <v>--</v>
      </c>
      <c r="K156" s="33" t="str">
        <f>IF(ISERROR(VLOOKUP($A156,ESPNData!$AH:$AU,11,0)),"",VLOOKUP($A156,ESPNData!$AH:$AU,11,0))</f>
        <v>--</v>
      </c>
      <c r="L156" s="33" t="str">
        <f>IF(ISERROR(VLOOKUP($A156,ESPNData!$AH:$AU,12,0)),"",VLOOKUP($A156,ESPNData!$AH:$AU,12,0))</f>
        <v>--</v>
      </c>
      <c r="M156" s="64" t="str">
        <f>IF(ISERROR(VLOOKUP($A156,ESPNData!$AH:$AU,13,0)),"",VLOOKUP($A156,ESPNData!$AH:$AU,13,0))</f>
        <v>--</v>
      </c>
      <c r="N156" s="117" t="str">
        <f>IF(OR(($A156=Settings!$A$31),($A156=Settings!$A$32),ISERROR(VLOOKUP($B156,SportslineData!$AD:$AK,3,0))),"",ROUND(VLOOKUP($B156,SportslineData!$AD:$AK,3,0),0))</f>
        <v/>
      </c>
      <c r="O156" s="33" t="str">
        <f>IF(OR(($A156=Settings!$A$31),($A156=Settings!$A$32),ISERROR(VLOOKUP($B156,SportslineData!$AD:$AK,4,0))),"",VLOOKUP($B156,SportslineData!$AD:$AK,4,0))</f>
        <v/>
      </c>
      <c r="P156" s="33" t="str">
        <f>IF(OR(($A156=Settings!$A$31),($A156=Settings!$A$32),ISERROR(VLOOKUP($B156,SportslineData!$AD:$AK,6,0))),"",ROUND(VLOOKUP($B156,SportslineData!$AD:$AK,6,0),0))</f>
        <v/>
      </c>
      <c r="Q156" s="64" t="str">
        <f>IF(OR(($A156=Settings!$A$31),($A156=Settings!$A$32),ISERROR(VLOOKUP($B156,SportslineData!$AD:$AK,7,0))),"",ROUND(VLOOKUP($B156,SportslineData!$AD:$AK,7,0),0))</f>
        <v/>
      </c>
      <c r="R156" s="117"/>
      <c r="S156" s="33"/>
      <c r="T156" s="38">
        <f>IF(ISERROR(ROUND((((((ROUNDDOWN((D156/5),0)*Settings!$F$7)+(E156*Settings!$I$7))+(F156*Settings!$I$11))+(ROUNDDOWN((G156/5),0)*Settings!$F$11))+(H156*Settings!$F$12)),1)),0,ROUND((((((ROUNDDOWN((D156/5),0)*Settings!$F$7)+(E156*Settings!$I$7))+(F156*Settings!$I$11))+(ROUNDDOWN((G156/5),0)*Settings!$F$11))+(H156*Settings!$F$12)),1))</f>
        <v>93.5</v>
      </c>
      <c r="U156" s="38">
        <f>IF(ISERROR(ROUND((((((ROUNDDOWN((I156/5),0)*Settings!$F$7)+(J156*Settings!$I$7))+(K156*Settings!$I$11))+(ROUNDDOWN((L156/5),0)*Settings!$F$11))+(M156*Settings!$F$12)),1)),0,ROUND((((((ROUNDDOWN((I156/5),0)*Settings!$F$7)+(J156*Settings!$I$7))+(K156*Settings!$I$11))+(ROUNDDOWN((L156/5),0)*Settings!$F$11))+(M156*Settings!$F$12)),1))</f>
        <v>0</v>
      </c>
      <c r="V156" s="38">
        <f>IF((N156=""),0,((((N156*Settings!$I$11)+(ROUND((O156/5),0)*Settings!$F$11))+(P156*Settings!$F$12))+(Q156*Settings!$F$15)))</f>
        <v>0</v>
      </c>
      <c r="W156" s="66">
        <f>ROUND((((T156*Settings!$B$21)+(U156*Settings!$B$22))+(V156*Settings!$B$23)),1)</f>
        <v>30.9</v>
      </c>
      <c r="X156" s="66">
        <f>IF(ISERROR(VLOOKUP(RANK(W156,W$4:W$182),X$4:X155,1,0)),RANK(W156,W$4:W$182),IF(ISERROR(VLOOKUP((RANK(W156,W$4:W$182)+1),X$4:X155,1,0)),(RANK(W156,W$4:W$182)+1),IF(ISERROR(VLOOKUP((RANK(W156,W$4:W$182)+2),X$4:X155,1,0)),(RANK(W156,W$4:W$182)+2),(RANK(W156,W$4:W$182)+3))))</f>
        <v>113</v>
      </c>
      <c r="Y156" t="str">
        <f t="shared" si="14"/>
        <v>Randy Moss</v>
      </c>
    </row>
    <row r="157" spans="1:25" ht="12.75" customHeight="1">
      <c r="A157" s="33" t="str">
        <f>ESPNData!AH162</f>
        <v>Brandon Stokley, Bal WR</v>
      </c>
      <c r="B157" s="33" t="str">
        <f t="shared" si="12"/>
        <v>Brandon Stokley</v>
      </c>
      <c r="C157" s="64" t="str">
        <f t="shared" si="13"/>
        <v>BAL</v>
      </c>
      <c r="D157" s="117">
        <f>IF(OR(($A157=Settings!$A$31),($A157=Settings!$A$32),ISERROR(VLOOKUP($B157,FFTodayData!$AB:$AK,8,0))),"",VLOOKUP($B157,FFTodayData!$AB:$AK,8,0))</f>
        <v>0</v>
      </c>
      <c r="E157" s="33">
        <f>IF(OR(($A157=Settings!$A$31),($A157=Settings!$A$32),ISERROR(VLOOKUP($B157,FFTodayData!$AB:$AK,9,0))),"",VLOOKUP($B157,FFTodayData!$AB:$AK,9,0))</f>
        <v>0</v>
      </c>
      <c r="F157" s="33">
        <f>IF(OR(($A157=Settings!$A$31),($A157=Settings!$A$32),ISERROR(VLOOKUP($B157,FFTodayData!$AB:$AK,4,0))),"",VLOOKUP($B157,FFTodayData!$AB:$AK,4,0))</f>
        <v>32</v>
      </c>
      <c r="G157" s="33">
        <f>IF(OR(($A157=Settings!$A$31),($A157=Settings!$A$32),ISERROR(VLOOKUP($B157,FFTodayData!$AB:$AK,5,0))),"",VLOOKUP($B157,FFTodayData!$AB:$AK,5,0))</f>
        <v>456</v>
      </c>
      <c r="H157" s="64">
        <f>IF(OR(($A157=Settings!$A$31),($A157=Settings!$A$32),ISERROR(VLOOKUP($B157,FFTodayData!$AB:$AK,6,0))),"",VLOOKUP($B157,FFTodayData!$AB:$AK,6,0))</f>
        <v>3</v>
      </c>
      <c r="I157" s="117" t="str">
        <f>IF(ISERROR(VLOOKUP($A157,ESPNData!$AH:$AU,9,0)),"",VLOOKUP($A157,ESPNData!$AH:$AU,9,0))</f>
        <v>--</v>
      </c>
      <c r="J157" s="33" t="str">
        <f>IF(ISERROR(VLOOKUP($A157,ESPNData!$AH:$AU,10,0)),"",VLOOKUP($A157,ESPNData!$AH:$AU,10,0))</f>
        <v>--</v>
      </c>
      <c r="K157" s="33" t="str">
        <f>IF(ISERROR(VLOOKUP($A157,ESPNData!$AH:$AU,11,0)),"",VLOOKUP($A157,ESPNData!$AH:$AU,11,0))</f>
        <v>--</v>
      </c>
      <c r="L157" s="33" t="str">
        <f>IF(ISERROR(VLOOKUP($A157,ESPNData!$AH:$AU,12,0)),"",VLOOKUP($A157,ESPNData!$AH:$AU,12,0))</f>
        <v>--</v>
      </c>
      <c r="M157" s="64" t="str">
        <f>IF(ISERROR(VLOOKUP($A157,ESPNData!$AH:$AU,13,0)),"",VLOOKUP($A157,ESPNData!$AH:$AU,13,0))</f>
        <v>--</v>
      </c>
      <c r="N157" s="117" t="str">
        <f>IF(OR(($A157=Settings!$A$31),($A157=Settings!$A$32),ISERROR(VLOOKUP($B157,SportslineData!$AD:$AK,3,0))),"",ROUND(VLOOKUP($B157,SportslineData!$AD:$AK,3,0),0))</f>
        <v/>
      </c>
      <c r="O157" s="33" t="str">
        <f>IF(OR(($A157=Settings!$A$31),($A157=Settings!$A$32),ISERROR(VLOOKUP($B157,SportslineData!$AD:$AK,4,0))),"",VLOOKUP($B157,SportslineData!$AD:$AK,4,0))</f>
        <v/>
      </c>
      <c r="P157" s="33" t="str">
        <f>IF(OR(($A157=Settings!$A$31),($A157=Settings!$A$32),ISERROR(VLOOKUP($B157,SportslineData!$AD:$AK,6,0))),"",ROUND(VLOOKUP($B157,SportslineData!$AD:$AK,6,0),0))</f>
        <v/>
      </c>
      <c r="Q157" s="64" t="str">
        <f>IF(OR(($A157=Settings!$A$31),($A157=Settings!$A$32),ISERROR(VLOOKUP($B157,SportslineData!$AD:$AK,7,0))),"",ROUND(VLOOKUP($B157,SportslineData!$AD:$AK,7,0),0))</f>
        <v/>
      </c>
      <c r="R157" s="117"/>
      <c r="S157" s="33"/>
      <c r="T157" s="38">
        <f>IF(ISERROR(ROUND((((((ROUNDDOWN((D157/5),0)*Settings!$F$7)+(E157*Settings!$I$7))+(F157*Settings!$I$11))+(ROUNDDOWN((G157/5),0)*Settings!$F$11))+(H157*Settings!$F$12)),1)),0,ROUND((((((ROUNDDOWN((D157/5),0)*Settings!$F$7)+(E157*Settings!$I$7))+(F157*Settings!$I$11))+(ROUNDDOWN((G157/5),0)*Settings!$F$11))+(H157*Settings!$F$12)),1))</f>
        <v>79.5</v>
      </c>
      <c r="U157" s="38">
        <f>IF(ISERROR(ROUND((((((ROUNDDOWN((I157/5),0)*Settings!$F$7)+(J157*Settings!$I$7))+(K157*Settings!$I$11))+(ROUNDDOWN((L157/5),0)*Settings!$F$11))+(M157*Settings!$F$12)),1)),0,ROUND((((((ROUNDDOWN((I157/5),0)*Settings!$F$7)+(J157*Settings!$I$7))+(K157*Settings!$I$11))+(ROUNDDOWN((L157/5),0)*Settings!$F$11))+(M157*Settings!$F$12)),1))</f>
        <v>0</v>
      </c>
      <c r="V157" s="38">
        <f>IF((N157=""),0,((((N157*Settings!$I$11)+(ROUND((O157/5),0)*Settings!$F$11))+(P157*Settings!$F$12))+(Q157*Settings!$F$15)))</f>
        <v>0</v>
      </c>
      <c r="W157" s="66">
        <f>ROUND((((T157*Settings!$B$21)+(U157*Settings!$B$22))+(V157*Settings!$B$23)),1)</f>
        <v>26.2</v>
      </c>
      <c r="X157" s="66">
        <f>IF(ISERROR(VLOOKUP(RANK(W157,W$4:W$182),X$4:X156,1,0)),RANK(W157,W$4:W$182),IF(ISERROR(VLOOKUP((RANK(W157,W$4:W$182)+1),X$4:X156,1,0)),(RANK(W157,W$4:W$182)+1),IF(ISERROR(VLOOKUP((RANK(W157,W$4:W$182)+2),X$4:X156,1,0)),(RANK(W157,W$4:W$182)+2),(RANK(W157,W$4:W$182)+3))))</f>
        <v>119</v>
      </c>
      <c r="Y157" t="str">
        <f t="shared" si="14"/>
        <v>Brandon Stokley</v>
      </c>
    </row>
    <row r="158" spans="1:25" ht="12.75" customHeight="1">
      <c r="A158" s="33" t="str">
        <f>ESPNData!AH163</f>
        <v>Donald Driver, FA WR</v>
      </c>
      <c r="B158" s="33" t="str">
        <f t="shared" si="12"/>
        <v>Donald Driver</v>
      </c>
      <c r="C158" s="64" t="str">
        <f t="shared" si="13"/>
        <v>FA</v>
      </c>
      <c r="D158" s="117">
        <f>IF(OR(($A158=Settings!$A$31),($A158=Settings!$A$32),ISERROR(VLOOKUP($B158,FFTodayData!$AB:$AK,8,0))),"",VLOOKUP($B158,FFTodayData!$AB:$AK,8,0))</f>
        <v>0</v>
      </c>
      <c r="E158" s="33">
        <f>IF(OR(($A158=Settings!$A$31),($A158=Settings!$A$32),ISERROR(VLOOKUP($B158,FFTodayData!$AB:$AK,9,0))),"",VLOOKUP($B158,FFTodayData!$AB:$AK,9,0))</f>
        <v>0</v>
      </c>
      <c r="F158" s="33">
        <f>IF(OR(($A158=Settings!$A$31),($A158=Settings!$A$32),ISERROR(VLOOKUP($B158,FFTodayData!$AB:$AK,4,0))),"",VLOOKUP($B158,FFTodayData!$AB:$AK,4,0))</f>
        <v>18</v>
      </c>
      <c r="G158" s="33">
        <f>IF(OR(($A158=Settings!$A$31),($A158=Settings!$A$32),ISERROR(VLOOKUP($B158,FFTodayData!$AB:$AK,5,0))),"",VLOOKUP($B158,FFTodayData!$AB:$AK,5,0))</f>
        <v>225</v>
      </c>
      <c r="H158" s="64">
        <f>IF(OR(($A158=Settings!$A$31),($A158=Settings!$A$32),ISERROR(VLOOKUP($B158,FFTodayData!$AB:$AK,6,0))),"",VLOOKUP($B158,FFTodayData!$AB:$AK,6,0))</f>
        <v>2</v>
      </c>
      <c r="I158" s="117" t="str">
        <f>IF(ISERROR(VLOOKUP($A158,ESPNData!$AH:$AU,9,0)),"",VLOOKUP($A158,ESPNData!$AH:$AU,9,0))</f>
        <v>--</v>
      </c>
      <c r="J158" s="33" t="str">
        <f>IF(ISERROR(VLOOKUP($A158,ESPNData!$AH:$AU,10,0)),"",VLOOKUP($A158,ESPNData!$AH:$AU,10,0))</f>
        <v>--</v>
      </c>
      <c r="K158" s="33" t="str">
        <f>IF(ISERROR(VLOOKUP($A158,ESPNData!$AH:$AU,11,0)),"",VLOOKUP($A158,ESPNData!$AH:$AU,11,0))</f>
        <v>--</v>
      </c>
      <c r="L158" s="33" t="str">
        <f>IF(ISERROR(VLOOKUP($A158,ESPNData!$AH:$AU,12,0)),"",VLOOKUP($A158,ESPNData!$AH:$AU,12,0))</f>
        <v>--</v>
      </c>
      <c r="M158" s="64" t="str">
        <f>IF(ISERROR(VLOOKUP($A158,ESPNData!$AH:$AU,13,0)),"",VLOOKUP($A158,ESPNData!$AH:$AU,13,0))</f>
        <v>--</v>
      </c>
      <c r="N158" s="117" t="str">
        <f>IF(OR(($A158=Settings!$A$31),($A158=Settings!$A$32),ISERROR(VLOOKUP($B158,SportslineData!$AD:$AK,3,0))),"",ROUND(VLOOKUP($B158,SportslineData!$AD:$AK,3,0),0))</f>
        <v/>
      </c>
      <c r="O158" s="33" t="str">
        <f>IF(OR(($A158=Settings!$A$31),($A158=Settings!$A$32),ISERROR(VLOOKUP($B158,SportslineData!$AD:$AK,4,0))),"",VLOOKUP($B158,SportslineData!$AD:$AK,4,0))</f>
        <v/>
      </c>
      <c r="P158" s="33" t="str">
        <f>IF(OR(($A158=Settings!$A$31),($A158=Settings!$A$32),ISERROR(VLOOKUP($B158,SportslineData!$AD:$AK,6,0))),"",ROUND(VLOOKUP($B158,SportslineData!$AD:$AK,6,0),0))</f>
        <v/>
      </c>
      <c r="Q158" s="64" t="str">
        <f>IF(OR(($A158=Settings!$A$31),($A158=Settings!$A$32),ISERROR(VLOOKUP($B158,SportslineData!$AD:$AK,7,0))),"",ROUND(VLOOKUP($B158,SportslineData!$AD:$AK,7,0),0))</f>
        <v/>
      </c>
      <c r="R158" s="117"/>
      <c r="S158" s="33"/>
      <c r="T158" s="38">
        <f>IF(ISERROR(ROUND((((((ROUNDDOWN((D158/5),0)*Settings!$F$7)+(E158*Settings!$I$7))+(F158*Settings!$I$11))+(ROUNDDOWN((G158/5),0)*Settings!$F$11))+(H158*Settings!$F$12)),1)),0,ROUND((((((ROUNDDOWN((D158/5),0)*Settings!$F$7)+(E158*Settings!$I$7))+(F158*Settings!$I$11))+(ROUNDDOWN((G158/5),0)*Settings!$F$11))+(H158*Settings!$F$12)),1))</f>
        <v>43.5</v>
      </c>
      <c r="U158" s="38">
        <f>IF(ISERROR(ROUND((((((ROUNDDOWN((I158/5),0)*Settings!$F$7)+(J158*Settings!$I$7))+(K158*Settings!$I$11))+(ROUNDDOWN((L158/5),0)*Settings!$F$11))+(M158*Settings!$F$12)),1)),0,ROUND((((((ROUNDDOWN((I158/5),0)*Settings!$F$7)+(J158*Settings!$I$7))+(K158*Settings!$I$11))+(ROUNDDOWN((L158/5),0)*Settings!$F$11))+(M158*Settings!$F$12)),1))</f>
        <v>0</v>
      </c>
      <c r="V158" s="38">
        <f>IF((N158=""),0,((((N158*Settings!$I$11)+(ROUND((O158/5),0)*Settings!$F$11))+(P158*Settings!$F$12))+(Q158*Settings!$F$15)))</f>
        <v>0</v>
      </c>
      <c r="W158" s="66">
        <f>ROUND((((T158*Settings!$B$21)+(U158*Settings!$B$22))+(V158*Settings!$B$23)),1)</f>
        <v>14.4</v>
      </c>
      <c r="X158" s="66">
        <f>IF(ISERROR(VLOOKUP(RANK(W158,W$4:W$182),X$4:X157,1,0)),RANK(W158,W$4:W$182),IF(ISERROR(VLOOKUP((RANK(W158,W$4:W$182)+1),X$4:X157,1,0)),(RANK(W158,W$4:W$182)+1),IF(ISERROR(VLOOKUP((RANK(W158,W$4:W$182)+2),X$4:X157,1,0)),(RANK(W158,W$4:W$182)+2),(RANK(W158,W$4:W$182)+3))))</f>
        <v>139</v>
      </c>
      <c r="Y158" t="str">
        <f t="shared" si="14"/>
        <v>Donald Driver</v>
      </c>
    </row>
    <row r="159" spans="1:25" ht="12.75" customHeight="1">
      <c r="A159" s="33" t="str">
        <f>ESPNData!AH164</f>
        <v>Brian Finneran, FA WR</v>
      </c>
      <c r="B159" s="33" t="str">
        <f t="shared" si="12"/>
        <v>Brian Finneran</v>
      </c>
      <c r="C159" s="64" t="str">
        <f t="shared" si="13"/>
        <v>FA</v>
      </c>
      <c r="D159" s="117" t="str">
        <f>IF(OR(($A159=Settings!$A$31),($A159=Settings!$A$32),ISERROR(VLOOKUP($B159,FFTodayData!$AB:$AK,8,0))),"",VLOOKUP($B159,FFTodayData!$AB:$AK,8,0))</f>
        <v/>
      </c>
      <c r="E159" s="33" t="str">
        <f>IF(OR(($A159=Settings!$A$31),($A159=Settings!$A$32),ISERROR(VLOOKUP($B159,FFTodayData!$AB:$AK,9,0))),"",VLOOKUP($B159,FFTodayData!$AB:$AK,9,0))</f>
        <v/>
      </c>
      <c r="F159" s="33" t="str">
        <f>IF(OR(($A159=Settings!$A$31),($A159=Settings!$A$32),ISERROR(VLOOKUP($B159,FFTodayData!$AB:$AK,4,0))),"",VLOOKUP($B159,FFTodayData!$AB:$AK,4,0))</f>
        <v/>
      </c>
      <c r="G159" s="33" t="str">
        <f>IF(OR(($A159=Settings!$A$31),($A159=Settings!$A$32),ISERROR(VLOOKUP($B159,FFTodayData!$AB:$AK,5,0))),"",VLOOKUP($B159,FFTodayData!$AB:$AK,5,0))</f>
        <v/>
      </c>
      <c r="H159" s="64" t="str">
        <f>IF(OR(($A159=Settings!$A$31),($A159=Settings!$A$32),ISERROR(VLOOKUP($B159,FFTodayData!$AB:$AK,6,0))),"",VLOOKUP($B159,FFTodayData!$AB:$AK,6,0))</f>
        <v/>
      </c>
      <c r="I159" s="117" t="str">
        <f>IF(ISERROR(VLOOKUP($A159,ESPNData!$AH:$AU,9,0)),"",VLOOKUP($A159,ESPNData!$AH:$AU,9,0))</f>
        <v>--</v>
      </c>
      <c r="J159" s="33" t="str">
        <f>IF(ISERROR(VLOOKUP($A159,ESPNData!$AH:$AU,10,0)),"",VLOOKUP($A159,ESPNData!$AH:$AU,10,0))</f>
        <v>--</v>
      </c>
      <c r="K159" s="33" t="str">
        <f>IF(ISERROR(VLOOKUP($A159,ESPNData!$AH:$AU,11,0)),"",VLOOKUP($A159,ESPNData!$AH:$AU,11,0))</f>
        <v>--</v>
      </c>
      <c r="L159" s="33" t="str">
        <f>IF(ISERROR(VLOOKUP($A159,ESPNData!$AH:$AU,12,0)),"",VLOOKUP($A159,ESPNData!$AH:$AU,12,0))</f>
        <v>--</v>
      </c>
      <c r="M159" s="64" t="str">
        <f>IF(ISERROR(VLOOKUP($A159,ESPNData!$AH:$AU,13,0)),"",VLOOKUP($A159,ESPNData!$AH:$AU,13,0))</f>
        <v>--</v>
      </c>
      <c r="N159" s="117" t="str">
        <f>IF(OR(($A159=Settings!$A$31),($A159=Settings!$A$32),ISERROR(VLOOKUP($B159,SportslineData!$AD:$AK,3,0))),"",ROUND(VLOOKUP($B159,SportslineData!$AD:$AK,3,0),0))</f>
        <v/>
      </c>
      <c r="O159" s="33" t="str">
        <f>IF(OR(($A159=Settings!$A$31),($A159=Settings!$A$32),ISERROR(VLOOKUP($B159,SportslineData!$AD:$AK,4,0))),"",VLOOKUP($B159,SportslineData!$AD:$AK,4,0))</f>
        <v/>
      </c>
      <c r="P159" s="33" t="str">
        <f>IF(OR(($A159=Settings!$A$31),($A159=Settings!$A$32),ISERROR(VLOOKUP($B159,SportslineData!$AD:$AK,6,0))),"",ROUND(VLOOKUP($B159,SportslineData!$AD:$AK,6,0),0))</f>
        <v/>
      </c>
      <c r="Q159" s="64" t="str">
        <f>IF(OR(($A159=Settings!$A$31),($A159=Settings!$A$32),ISERROR(VLOOKUP($B159,SportslineData!$AD:$AK,7,0))),"",ROUND(VLOOKUP($B159,SportslineData!$AD:$AK,7,0),0))</f>
        <v/>
      </c>
      <c r="R159" s="117"/>
      <c r="S159" s="33"/>
      <c r="T159" s="38">
        <f>IF(ISERROR(ROUND((((((ROUNDDOWN((D159/5),0)*Settings!$F$7)+(E159*Settings!$I$7))+(F159*Settings!$I$11))+(ROUNDDOWN((G159/5),0)*Settings!$F$11))+(H159*Settings!$F$12)),1)),0,ROUND((((((ROUNDDOWN((D159/5),0)*Settings!$F$7)+(E159*Settings!$I$7))+(F159*Settings!$I$11))+(ROUNDDOWN((G159/5),0)*Settings!$F$11))+(H159*Settings!$F$12)),1))</f>
        <v>0</v>
      </c>
      <c r="U159" s="38">
        <f>IF(ISERROR(ROUND((((((ROUNDDOWN((I159/5),0)*Settings!$F$7)+(J159*Settings!$I$7))+(K159*Settings!$I$11))+(ROUNDDOWN((L159/5),0)*Settings!$F$11))+(M159*Settings!$F$12)),1)),0,ROUND((((((ROUNDDOWN((I159/5),0)*Settings!$F$7)+(J159*Settings!$I$7))+(K159*Settings!$I$11))+(ROUNDDOWN((L159/5),0)*Settings!$F$11))+(M159*Settings!$F$12)),1))</f>
        <v>0</v>
      </c>
      <c r="V159" s="38">
        <f>IF((N159=""),0,((((N159*Settings!$I$11)+(ROUND((O159/5),0)*Settings!$F$11))+(P159*Settings!$F$12))+(Q159*Settings!$F$15)))</f>
        <v>0</v>
      </c>
      <c r="W159" s="66">
        <f>ROUND((((T159*Settings!$B$21)+(U159*Settings!$B$22))+(V159*Settings!$B$23)),1)</f>
        <v>0</v>
      </c>
      <c r="X159" s="66">
        <f>IF(ISERROR(VLOOKUP(RANK(W159,W$4:W$182),X$4:X158,1,0)),RANK(W159,W$4:W$182),IF(ISERROR(VLOOKUP((RANK(W159,W$4:W$182)+1),X$4:X158,1,0)),(RANK(W159,W$4:W$182)+1),IF(ISERROR(VLOOKUP((RANK(W159,W$4:W$182)+2),X$4:X158,1,0)),(RANK(W159,W$4:W$182)+2),(RANK(W159,W$4:W$182)+3))))</f>
        <v>157</v>
      </c>
      <c r="Y159" t="str">
        <f t="shared" si="14"/>
        <v>Brian Finneran</v>
      </c>
    </row>
    <row r="160" spans="1:25" ht="12.75" customHeight="1">
      <c r="A160" s="33" t="str">
        <f>ESPNData!AH165</f>
        <v>Plaxico Burress, Pit WR  P</v>
      </c>
      <c r="B160" s="33" t="str">
        <f t="shared" si="12"/>
        <v>Plaxico Burress</v>
      </c>
      <c r="C160" s="64" t="str">
        <f t="shared" si="13"/>
        <v>PIT</v>
      </c>
      <c r="D160" s="117">
        <f>IF(OR(($A160=Settings!$A$31),($A160=Settings!$A$32),ISERROR(VLOOKUP($B160,FFTodayData!$AB:$AK,8,0))),"",VLOOKUP($B160,FFTodayData!$AB:$AK,8,0))</f>
        <v>0</v>
      </c>
      <c r="E160" s="33">
        <f>IF(OR(($A160=Settings!$A$31),($A160=Settings!$A$32),ISERROR(VLOOKUP($B160,FFTodayData!$AB:$AK,9,0))),"",VLOOKUP($B160,FFTodayData!$AB:$AK,9,0))</f>
        <v>0</v>
      </c>
      <c r="F160" s="33">
        <f>IF(OR(($A160=Settings!$A$31),($A160=Settings!$A$32),ISERROR(VLOOKUP($B160,FFTodayData!$AB:$AK,4,0))),"",VLOOKUP($B160,FFTodayData!$AB:$AK,4,0))</f>
        <v>7</v>
      </c>
      <c r="G160" s="33">
        <f>IF(OR(($A160=Settings!$A$31),($A160=Settings!$A$32),ISERROR(VLOOKUP($B160,FFTodayData!$AB:$AK,5,0))),"",VLOOKUP($B160,FFTodayData!$AB:$AK,5,0))</f>
        <v>100</v>
      </c>
      <c r="H160" s="64">
        <f>IF(OR(($A160=Settings!$A$31),($A160=Settings!$A$32),ISERROR(VLOOKUP($B160,FFTodayData!$AB:$AK,6,0))),"",VLOOKUP($B160,FFTodayData!$AB:$AK,6,0))</f>
        <v>1</v>
      </c>
      <c r="I160" s="117" t="str">
        <f>IF(ISERROR(VLOOKUP($A160,ESPNData!$AH:$AU,9,0)),"",VLOOKUP($A160,ESPNData!$AH:$AU,9,0))</f>
        <v>--</v>
      </c>
      <c r="J160" s="33" t="str">
        <f>IF(ISERROR(VLOOKUP($A160,ESPNData!$AH:$AU,10,0)),"",VLOOKUP($A160,ESPNData!$AH:$AU,10,0))</f>
        <v>--</v>
      </c>
      <c r="K160" s="33" t="str">
        <f>IF(ISERROR(VLOOKUP($A160,ESPNData!$AH:$AU,11,0)),"",VLOOKUP($A160,ESPNData!$AH:$AU,11,0))</f>
        <v>--</v>
      </c>
      <c r="L160" s="33" t="str">
        <f>IF(ISERROR(VLOOKUP($A160,ESPNData!$AH:$AU,12,0)),"",VLOOKUP($A160,ESPNData!$AH:$AU,12,0))</f>
        <v>--</v>
      </c>
      <c r="M160" s="64" t="str">
        <f>IF(ISERROR(VLOOKUP($A160,ESPNData!$AH:$AU,13,0)),"",VLOOKUP($A160,ESPNData!$AH:$AU,13,0))</f>
        <v>--</v>
      </c>
      <c r="N160" s="117" t="str">
        <f>IF(OR(($A160=Settings!$A$31),($A160=Settings!$A$32),ISERROR(VLOOKUP($B160,SportslineData!$AD:$AK,3,0))),"",ROUND(VLOOKUP($B160,SportslineData!$AD:$AK,3,0),0))</f>
        <v/>
      </c>
      <c r="O160" s="33" t="str">
        <f>IF(OR(($A160=Settings!$A$31),($A160=Settings!$A$32),ISERROR(VLOOKUP($B160,SportslineData!$AD:$AK,4,0))),"",VLOOKUP($B160,SportslineData!$AD:$AK,4,0))</f>
        <v/>
      </c>
      <c r="P160" s="33" t="str">
        <f>IF(OR(($A160=Settings!$A$31),($A160=Settings!$A$32),ISERROR(VLOOKUP($B160,SportslineData!$AD:$AK,6,0))),"",ROUND(VLOOKUP($B160,SportslineData!$AD:$AK,6,0),0))</f>
        <v/>
      </c>
      <c r="Q160" s="64" t="str">
        <f>IF(OR(($A160=Settings!$A$31),($A160=Settings!$A$32),ISERROR(VLOOKUP($B160,SportslineData!$AD:$AK,7,0))),"",ROUND(VLOOKUP($B160,SportslineData!$AD:$AK,7,0),0))</f>
        <v/>
      </c>
      <c r="R160" s="117"/>
      <c r="S160" s="33"/>
      <c r="T160" s="38">
        <f>IF(ISERROR(ROUND((((((ROUNDDOWN((D160/5),0)*Settings!$F$7)+(E160*Settings!$I$7))+(F160*Settings!$I$11))+(ROUNDDOWN((G160/5),0)*Settings!$F$11))+(H160*Settings!$F$12)),1)),0,ROUND((((((ROUNDDOWN((D160/5),0)*Settings!$F$7)+(E160*Settings!$I$7))+(F160*Settings!$I$11))+(ROUNDDOWN((G160/5),0)*Settings!$F$11))+(H160*Settings!$F$12)),1))</f>
        <v>19.5</v>
      </c>
      <c r="U160" s="38">
        <f>IF(ISERROR(ROUND((((((ROUNDDOWN((I160/5),0)*Settings!$F$7)+(J160*Settings!$I$7))+(K160*Settings!$I$11))+(ROUNDDOWN((L160/5),0)*Settings!$F$11))+(M160*Settings!$F$12)),1)),0,ROUND((((((ROUNDDOWN((I160/5),0)*Settings!$F$7)+(J160*Settings!$I$7))+(K160*Settings!$I$11))+(ROUNDDOWN((L160/5),0)*Settings!$F$11))+(M160*Settings!$F$12)),1))</f>
        <v>0</v>
      </c>
      <c r="V160" s="38">
        <f>IF((N160=""),0,((((N160*Settings!$I$11)+(ROUND((O160/5),0)*Settings!$F$11))+(P160*Settings!$F$12))+(Q160*Settings!$F$15)))</f>
        <v>0</v>
      </c>
      <c r="W160" s="66">
        <f>ROUND((((T160*Settings!$B$21)+(U160*Settings!$B$22))+(V160*Settings!$B$23)),1)</f>
        <v>6.4</v>
      </c>
      <c r="X160" s="66">
        <f>IF(ISERROR(VLOOKUP(RANK(W160,W$4:W$182),X$4:X159,1,0)),RANK(W160,W$4:W$182),IF(ISERROR(VLOOKUP((RANK(W160,W$4:W$182)+1),X$4:X159,1,0)),(RANK(W160,W$4:W$182)+1),IF(ISERROR(VLOOKUP((RANK(W160,W$4:W$182)+2),X$4:X159,1,0)),(RANK(W160,W$4:W$182)+2),(RANK(W160,W$4:W$182)+3))))</f>
        <v>152</v>
      </c>
      <c r="Y160" t="str">
        <f t="shared" si="14"/>
        <v>Plaxico Burress</v>
      </c>
    </row>
    <row r="161" spans="1:25" ht="12.75" customHeight="1">
      <c r="A161" s="33" t="str">
        <f>ESPNData!AH166</f>
        <v>Chad Johnson, FA WR</v>
      </c>
      <c r="B161" s="33" t="str">
        <f t="shared" si="12"/>
        <v>Chad Johnson</v>
      </c>
      <c r="C161" s="64" t="str">
        <f t="shared" si="13"/>
        <v>FA</v>
      </c>
      <c r="D161" s="117" t="str">
        <f>IF(OR(($A161=Settings!$A$31),($A161=Settings!$A$32),ISERROR(VLOOKUP($B161,FFTodayData!$AB:$AK,8,0))),"",VLOOKUP($B161,FFTodayData!$AB:$AK,8,0))</f>
        <v/>
      </c>
      <c r="E161" s="33" t="str">
        <f>IF(OR(($A161=Settings!$A$31),($A161=Settings!$A$32),ISERROR(VLOOKUP($B161,FFTodayData!$AB:$AK,9,0))),"",VLOOKUP($B161,FFTodayData!$AB:$AK,9,0))</f>
        <v/>
      </c>
      <c r="F161" s="33" t="str">
        <f>IF(OR(($A161=Settings!$A$31),($A161=Settings!$A$32),ISERROR(VLOOKUP($B161,FFTodayData!$AB:$AK,4,0))),"",VLOOKUP($B161,FFTodayData!$AB:$AK,4,0))</f>
        <v/>
      </c>
      <c r="G161" s="33" t="str">
        <f>IF(OR(($A161=Settings!$A$31),($A161=Settings!$A$32),ISERROR(VLOOKUP($B161,FFTodayData!$AB:$AK,5,0))),"",VLOOKUP($B161,FFTodayData!$AB:$AK,5,0))</f>
        <v/>
      </c>
      <c r="H161" s="64" t="str">
        <f>IF(OR(($A161=Settings!$A$31),($A161=Settings!$A$32),ISERROR(VLOOKUP($B161,FFTodayData!$AB:$AK,6,0))),"",VLOOKUP($B161,FFTodayData!$AB:$AK,6,0))</f>
        <v/>
      </c>
      <c r="I161" s="117" t="str">
        <f>IF(ISERROR(VLOOKUP($A161,ESPNData!$AH:$AU,9,0)),"",VLOOKUP($A161,ESPNData!$AH:$AU,9,0))</f>
        <v>--</v>
      </c>
      <c r="J161" s="33" t="str">
        <f>IF(ISERROR(VLOOKUP($A161,ESPNData!$AH:$AU,10,0)),"",VLOOKUP($A161,ESPNData!$AH:$AU,10,0))</f>
        <v>--</v>
      </c>
      <c r="K161" s="33" t="str">
        <f>IF(ISERROR(VLOOKUP($A161,ESPNData!$AH:$AU,11,0)),"",VLOOKUP($A161,ESPNData!$AH:$AU,11,0))</f>
        <v>--</v>
      </c>
      <c r="L161" s="33" t="str">
        <f>IF(ISERROR(VLOOKUP($A161,ESPNData!$AH:$AU,12,0)),"",VLOOKUP($A161,ESPNData!$AH:$AU,12,0))</f>
        <v>--</v>
      </c>
      <c r="M161" s="64" t="str">
        <f>IF(ISERROR(VLOOKUP($A161,ESPNData!$AH:$AU,13,0)),"",VLOOKUP($A161,ESPNData!$AH:$AU,13,0))</f>
        <v>--</v>
      </c>
      <c r="N161" s="117" t="str">
        <f>IF(OR(($A161=Settings!$A$31),($A161=Settings!$A$32),ISERROR(VLOOKUP($B161,SportslineData!$AD:$AK,3,0))),"",ROUND(VLOOKUP($B161,SportslineData!$AD:$AK,3,0),0))</f>
        <v/>
      </c>
      <c r="O161" s="33" t="str">
        <f>IF(OR(($A161=Settings!$A$31),($A161=Settings!$A$32),ISERROR(VLOOKUP($B161,SportslineData!$AD:$AK,4,0))),"",VLOOKUP($B161,SportslineData!$AD:$AK,4,0))</f>
        <v/>
      </c>
      <c r="P161" s="33" t="str">
        <f>IF(OR(($A161=Settings!$A$31),($A161=Settings!$A$32),ISERROR(VLOOKUP($B161,SportslineData!$AD:$AK,6,0))),"",ROUND(VLOOKUP($B161,SportslineData!$AD:$AK,6,0),0))</f>
        <v/>
      </c>
      <c r="Q161" s="64" t="str">
        <f>IF(OR(($A161=Settings!$A$31),($A161=Settings!$A$32),ISERROR(VLOOKUP($B161,SportslineData!$AD:$AK,7,0))),"",ROUND(VLOOKUP($B161,SportslineData!$AD:$AK,7,0),0))</f>
        <v/>
      </c>
      <c r="R161" s="117"/>
      <c r="S161" s="33"/>
      <c r="T161" s="38">
        <f>IF(ISERROR(ROUND((((((ROUNDDOWN((D161/5),0)*Settings!$F$7)+(E161*Settings!$I$7))+(F161*Settings!$I$11))+(ROUNDDOWN((G161/5),0)*Settings!$F$11))+(H161*Settings!$F$12)),1)),0,ROUND((((((ROUNDDOWN((D161/5),0)*Settings!$F$7)+(E161*Settings!$I$7))+(F161*Settings!$I$11))+(ROUNDDOWN((G161/5),0)*Settings!$F$11))+(H161*Settings!$F$12)),1))</f>
        <v>0</v>
      </c>
      <c r="U161" s="38">
        <f>IF(ISERROR(ROUND((((((ROUNDDOWN((I161/5),0)*Settings!$F$7)+(J161*Settings!$I$7))+(K161*Settings!$I$11))+(ROUNDDOWN((L161/5),0)*Settings!$F$11))+(M161*Settings!$F$12)),1)),0,ROUND((((((ROUNDDOWN((I161/5),0)*Settings!$F$7)+(J161*Settings!$I$7))+(K161*Settings!$I$11))+(ROUNDDOWN((L161/5),0)*Settings!$F$11))+(M161*Settings!$F$12)),1))</f>
        <v>0</v>
      </c>
      <c r="V161" s="38">
        <f>IF((N161=""),0,((((N161*Settings!$I$11)+(ROUND((O161/5),0)*Settings!$F$11))+(P161*Settings!$F$12))+(Q161*Settings!$F$15)))</f>
        <v>0</v>
      </c>
      <c r="W161" s="66">
        <f>ROUND((((T161*Settings!$B$21)+(U161*Settings!$B$22))+(V161*Settings!$B$23)),1)</f>
        <v>0</v>
      </c>
      <c r="X161" s="66">
        <f>IF(ISERROR(VLOOKUP(RANK(W161,W$4:W$182),X$4:X160,1,0)),RANK(W161,W$4:W$182),IF(ISERROR(VLOOKUP((RANK(W161,W$4:W$182)+1),X$4:X160,1,0)),(RANK(W161,W$4:W$182)+1),IF(ISERROR(VLOOKUP((RANK(W161,W$4:W$182)+2),X$4:X160,1,0)),(RANK(W161,W$4:W$182)+2),(RANK(W161,W$4:W$182)+3))))</f>
        <v>157</v>
      </c>
      <c r="Y161" t="str">
        <f t="shared" si="14"/>
        <v>Chad Johnson</v>
      </c>
    </row>
    <row r="162" spans="1:25" ht="12.75" customHeight="1">
      <c r="A162" s="33" t="str">
        <f>ESPNData!AH167</f>
        <v>Chris Chambers, FA WR</v>
      </c>
      <c r="B162" s="33" t="str">
        <f t="shared" si="12"/>
        <v>Chris Chambers</v>
      </c>
      <c r="C162" s="64" t="str">
        <f t="shared" si="13"/>
        <v>FA</v>
      </c>
      <c r="D162" s="117" t="str">
        <f>IF(OR(($A162=Settings!$A$31),($A162=Settings!$A$32),ISERROR(VLOOKUP($B162,FFTodayData!$AB:$AK,8,0))),"",VLOOKUP($B162,FFTodayData!$AB:$AK,8,0))</f>
        <v/>
      </c>
      <c r="E162" s="33" t="str">
        <f>IF(OR(($A162=Settings!$A$31),($A162=Settings!$A$32),ISERROR(VLOOKUP($B162,FFTodayData!$AB:$AK,9,0))),"",VLOOKUP($B162,FFTodayData!$AB:$AK,9,0))</f>
        <v/>
      </c>
      <c r="F162" s="33" t="str">
        <f>IF(OR(($A162=Settings!$A$31),($A162=Settings!$A$32),ISERROR(VLOOKUP($B162,FFTodayData!$AB:$AK,4,0))),"",VLOOKUP($B162,FFTodayData!$AB:$AK,4,0))</f>
        <v/>
      </c>
      <c r="G162" s="33" t="str">
        <f>IF(OR(($A162=Settings!$A$31),($A162=Settings!$A$32),ISERROR(VLOOKUP($B162,FFTodayData!$AB:$AK,5,0))),"",VLOOKUP($B162,FFTodayData!$AB:$AK,5,0))</f>
        <v/>
      </c>
      <c r="H162" s="64" t="str">
        <f>IF(OR(($A162=Settings!$A$31),($A162=Settings!$A$32),ISERROR(VLOOKUP($B162,FFTodayData!$AB:$AK,6,0))),"",VLOOKUP($B162,FFTodayData!$AB:$AK,6,0))</f>
        <v/>
      </c>
      <c r="I162" s="117" t="str">
        <f>IF(ISERROR(VLOOKUP($A162,ESPNData!$AH:$AU,9,0)),"",VLOOKUP($A162,ESPNData!$AH:$AU,9,0))</f>
        <v>--</v>
      </c>
      <c r="J162" s="33" t="str">
        <f>IF(ISERROR(VLOOKUP($A162,ESPNData!$AH:$AU,10,0)),"",VLOOKUP($A162,ESPNData!$AH:$AU,10,0))</f>
        <v>--</v>
      </c>
      <c r="K162" s="33" t="str">
        <f>IF(ISERROR(VLOOKUP($A162,ESPNData!$AH:$AU,11,0)),"",VLOOKUP($A162,ESPNData!$AH:$AU,11,0))</f>
        <v>--</v>
      </c>
      <c r="L162" s="33" t="str">
        <f>IF(ISERROR(VLOOKUP($A162,ESPNData!$AH:$AU,12,0)),"",VLOOKUP($A162,ESPNData!$AH:$AU,12,0))</f>
        <v>--</v>
      </c>
      <c r="M162" s="64" t="str">
        <f>IF(ISERROR(VLOOKUP($A162,ESPNData!$AH:$AU,13,0)),"",VLOOKUP($A162,ESPNData!$AH:$AU,13,0))</f>
        <v>--</v>
      </c>
      <c r="N162" s="117" t="str">
        <f>IF(OR(($A162=Settings!$A$31),($A162=Settings!$A$32),ISERROR(VLOOKUP($B162,SportslineData!$AD:$AK,3,0))),"",ROUND(VLOOKUP($B162,SportslineData!$AD:$AK,3,0),0))</f>
        <v/>
      </c>
      <c r="O162" s="33" t="str">
        <f>IF(OR(($A162=Settings!$A$31),($A162=Settings!$A$32),ISERROR(VLOOKUP($B162,SportslineData!$AD:$AK,4,0))),"",VLOOKUP($B162,SportslineData!$AD:$AK,4,0))</f>
        <v/>
      </c>
      <c r="P162" s="33" t="str">
        <f>IF(OR(($A162=Settings!$A$31),($A162=Settings!$A$32),ISERROR(VLOOKUP($B162,SportslineData!$AD:$AK,6,0))),"",ROUND(VLOOKUP($B162,SportslineData!$AD:$AK,6,0),0))</f>
        <v/>
      </c>
      <c r="Q162" s="64" t="str">
        <f>IF(OR(($A162=Settings!$A$31),($A162=Settings!$A$32),ISERROR(VLOOKUP($B162,SportslineData!$AD:$AK,7,0))),"",ROUND(VLOOKUP($B162,SportslineData!$AD:$AK,7,0),0))</f>
        <v/>
      </c>
      <c r="R162" s="117"/>
      <c r="S162" s="33"/>
      <c r="T162" s="38">
        <f>IF(ISERROR(ROUND((((((ROUNDDOWN((D162/5),0)*Settings!$F$7)+(E162*Settings!$I$7))+(F162*Settings!$I$11))+(ROUNDDOWN((G162/5),0)*Settings!$F$11))+(H162*Settings!$F$12)),1)),0,ROUND((((((ROUNDDOWN((D162/5),0)*Settings!$F$7)+(E162*Settings!$I$7))+(F162*Settings!$I$11))+(ROUNDDOWN((G162/5),0)*Settings!$F$11))+(H162*Settings!$F$12)),1))</f>
        <v>0</v>
      </c>
      <c r="U162" s="38">
        <f>IF(ISERROR(ROUND((((((ROUNDDOWN((I162/5),0)*Settings!$F$7)+(J162*Settings!$I$7))+(K162*Settings!$I$11))+(ROUNDDOWN((L162/5),0)*Settings!$F$11))+(M162*Settings!$F$12)),1)),0,ROUND((((((ROUNDDOWN((I162/5),0)*Settings!$F$7)+(J162*Settings!$I$7))+(K162*Settings!$I$11))+(ROUNDDOWN((L162/5),0)*Settings!$F$11))+(M162*Settings!$F$12)),1))</f>
        <v>0</v>
      </c>
      <c r="V162" s="38">
        <f>IF((N162=""),0,((((N162*Settings!$I$11)+(ROUND((O162/5),0)*Settings!$F$11))+(P162*Settings!$F$12))+(Q162*Settings!$F$15)))</f>
        <v>0</v>
      </c>
      <c r="W162" s="66">
        <f>ROUND((((T162*Settings!$B$21)+(U162*Settings!$B$22))+(V162*Settings!$B$23)),1)</f>
        <v>0</v>
      </c>
      <c r="X162" s="66">
        <f>IF(ISERROR(VLOOKUP(RANK(W162,W$4:W$182),X$4:X161,1,0)),RANK(W162,W$4:W$182),IF(ISERROR(VLOOKUP((RANK(W162,W$4:W$182)+1),X$4:X161,1,0)),(RANK(W162,W$4:W$182)+1),IF(ISERROR(VLOOKUP((RANK(W162,W$4:W$182)+2),X$4:X161,1,0)),(RANK(W162,W$4:W$182)+2),(RANK(W162,W$4:W$182)+3))))</f>
        <v>157</v>
      </c>
      <c r="Y162" t="str">
        <f t="shared" si="14"/>
        <v>Chris Chambers</v>
      </c>
    </row>
    <row r="163" spans="1:25" ht="12.75" customHeight="1">
      <c r="A163" s="33" t="str">
        <f>ESPNData!AH168</f>
        <v>T.J. Houshmandzadeh, FA WR</v>
      </c>
      <c r="B163" s="33" t="str">
        <f t="shared" si="12"/>
        <v>T.J. Houshmandzadeh</v>
      </c>
      <c r="C163" s="64" t="str">
        <f t="shared" si="13"/>
        <v>FA</v>
      </c>
      <c r="D163" s="117" t="str">
        <f>IF(OR(($A163=Settings!$A$31),($A163=Settings!$A$32),ISERROR(VLOOKUP($B163,FFTodayData!$AB:$AK,8,0))),"",VLOOKUP($B163,FFTodayData!$AB:$AK,8,0))</f>
        <v/>
      </c>
      <c r="E163" s="33" t="str">
        <f>IF(OR(($A163=Settings!$A$31),($A163=Settings!$A$32),ISERROR(VLOOKUP($B163,FFTodayData!$AB:$AK,9,0))),"",VLOOKUP($B163,FFTodayData!$AB:$AK,9,0))</f>
        <v/>
      </c>
      <c r="F163" s="33" t="str">
        <f>IF(OR(($A163=Settings!$A$31),($A163=Settings!$A$32),ISERROR(VLOOKUP($B163,FFTodayData!$AB:$AK,4,0))),"",VLOOKUP($B163,FFTodayData!$AB:$AK,4,0))</f>
        <v/>
      </c>
      <c r="G163" s="33" t="str">
        <f>IF(OR(($A163=Settings!$A$31),($A163=Settings!$A$32),ISERROR(VLOOKUP($B163,FFTodayData!$AB:$AK,5,0))),"",VLOOKUP($B163,FFTodayData!$AB:$AK,5,0))</f>
        <v/>
      </c>
      <c r="H163" s="64" t="str">
        <f>IF(OR(($A163=Settings!$A$31),($A163=Settings!$A$32),ISERROR(VLOOKUP($B163,FFTodayData!$AB:$AK,6,0))),"",VLOOKUP($B163,FFTodayData!$AB:$AK,6,0))</f>
        <v/>
      </c>
      <c r="I163" s="117" t="str">
        <f>IF(ISERROR(VLOOKUP($A163,ESPNData!$AH:$AU,9,0)),"",VLOOKUP($A163,ESPNData!$AH:$AU,9,0))</f>
        <v>--</v>
      </c>
      <c r="J163" s="33" t="str">
        <f>IF(ISERROR(VLOOKUP($A163,ESPNData!$AH:$AU,10,0)),"",VLOOKUP($A163,ESPNData!$AH:$AU,10,0))</f>
        <v>--</v>
      </c>
      <c r="K163" s="33" t="str">
        <f>IF(ISERROR(VLOOKUP($A163,ESPNData!$AH:$AU,11,0)),"",VLOOKUP($A163,ESPNData!$AH:$AU,11,0))</f>
        <v>--</v>
      </c>
      <c r="L163" s="33" t="str">
        <f>IF(ISERROR(VLOOKUP($A163,ESPNData!$AH:$AU,12,0)),"",VLOOKUP($A163,ESPNData!$AH:$AU,12,0))</f>
        <v>--</v>
      </c>
      <c r="M163" s="64" t="str">
        <f>IF(ISERROR(VLOOKUP($A163,ESPNData!$AH:$AU,13,0)),"",VLOOKUP($A163,ESPNData!$AH:$AU,13,0))</f>
        <v>--</v>
      </c>
      <c r="N163" s="117" t="str">
        <f>IF(OR(($A163=Settings!$A$31),($A163=Settings!$A$32),ISERROR(VLOOKUP($B163,SportslineData!$AD:$AK,3,0))),"",ROUND(VLOOKUP($B163,SportslineData!$AD:$AK,3,0),0))</f>
        <v/>
      </c>
      <c r="O163" s="33" t="str">
        <f>IF(OR(($A163=Settings!$A$31),($A163=Settings!$A$32),ISERROR(VLOOKUP($B163,SportslineData!$AD:$AK,4,0))),"",VLOOKUP($B163,SportslineData!$AD:$AK,4,0))</f>
        <v/>
      </c>
      <c r="P163" s="33" t="str">
        <f>IF(OR(($A163=Settings!$A$31),($A163=Settings!$A$32),ISERROR(VLOOKUP($B163,SportslineData!$AD:$AK,6,0))),"",ROUND(VLOOKUP($B163,SportslineData!$AD:$AK,6,0),0))</f>
        <v/>
      </c>
      <c r="Q163" s="64" t="str">
        <f>IF(OR(($A163=Settings!$A$31),($A163=Settings!$A$32),ISERROR(VLOOKUP($B163,SportslineData!$AD:$AK,7,0))),"",ROUND(VLOOKUP($B163,SportslineData!$AD:$AK,7,0),0))</f>
        <v/>
      </c>
      <c r="R163" s="117"/>
      <c r="S163" s="33"/>
      <c r="T163" s="38">
        <f>IF(ISERROR(ROUND((((((ROUNDDOWN((D163/5),0)*Settings!$F$7)+(E163*Settings!$I$7))+(F163*Settings!$I$11))+(ROUNDDOWN((G163/5),0)*Settings!$F$11))+(H163*Settings!$F$12)),1)),0,ROUND((((((ROUNDDOWN((D163/5),0)*Settings!$F$7)+(E163*Settings!$I$7))+(F163*Settings!$I$11))+(ROUNDDOWN((G163/5),0)*Settings!$F$11))+(H163*Settings!$F$12)),1))</f>
        <v>0</v>
      </c>
      <c r="U163" s="38">
        <f>IF(ISERROR(ROUND((((((ROUNDDOWN((I163/5),0)*Settings!$F$7)+(J163*Settings!$I$7))+(K163*Settings!$I$11))+(ROUNDDOWN((L163/5),0)*Settings!$F$11))+(M163*Settings!$F$12)),1)),0,ROUND((((((ROUNDDOWN((I163/5),0)*Settings!$F$7)+(J163*Settings!$I$7))+(K163*Settings!$I$11))+(ROUNDDOWN((L163/5),0)*Settings!$F$11))+(M163*Settings!$F$12)),1))</f>
        <v>0</v>
      </c>
      <c r="V163" s="38">
        <f>IF((N163=""),0,((((N163*Settings!$I$11)+(ROUND((O163/5),0)*Settings!$F$11))+(P163*Settings!$F$12))+(Q163*Settings!$F$15)))</f>
        <v>0</v>
      </c>
      <c r="W163" s="66">
        <f>ROUND((((T163*Settings!$B$21)+(U163*Settings!$B$22))+(V163*Settings!$B$23)),1)</f>
        <v>0</v>
      </c>
      <c r="X163" s="66">
        <f>IF(ISERROR(VLOOKUP(RANK(W163,W$4:W$182),X$4:X162,1,0)),RANK(W163,W$4:W$182),IF(ISERROR(VLOOKUP((RANK(W163,W$4:W$182)+1),X$4:X162,1,0)),(RANK(W163,W$4:W$182)+1),IF(ISERROR(VLOOKUP((RANK(W163,W$4:W$182)+2),X$4:X162,1,0)),(RANK(W163,W$4:W$182)+2),(RANK(W163,W$4:W$182)+3))))</f>
        <v>157</v>
      </c>
      <c r="Y163" t="str">
        <f t="shared" si="14"/>
        <v>T.J. Houshmandzadeh</v>
      </c>
    </row>
    <row r="164" spans="1:25" ht="12.75" customHeight="1">
      <c r="A164" s="33">
        <f>ESPNData!AH303</f>
        <v>0</v>
      </c>
      <c r="B164" s="33" t="str">
        <f t="shared" ref="B164:B195" si="15">IF(OR((A164=""),(A164=0)),"",IF(ISERROR(FIND("*",A164)),LEFT(A164,(FIND(",",A164)-1)),LEFT(A164,(FIND("*",A164)-1))))</f>
        <v/>
      </c>
      <c r="C164" s="64" t="e">
        <f t="shared" ref="C164:C182" si="16">IF((A164=""),"",UPPER(RIGHT(LEFT(A164,(FIND("WR",A164)-2)),(LEN(LEFT(A164,(FIND("WR",A164)-2)))-(FIND(",",LEFT(A164,(FIND("WR",A164)-2)))+1)))))</f>
        <v>#VALUE!</v>
      </c>
      <c r="D164" s="117" t="str">
        <f>IF(OR(($A164=Settings!$A$31),($A164=Settings!$A$32),ISERROR(VLOOKUP($B164,FFTodayData!$AB:$AK,8,0))),"",VLOOKUP($B164,FFTodayData!$AB:$AK,8,0))</f>
        <v/>
      </c>
      <c r="E164" s="33" t="str">
        <f>IF(OR(($A164=Settings!$A$31),($A164=Settings!$A$32),ISERROR(VLOOKUP($B164,FFTodayData!$AB:$AK,9,0))),"",VLOOKUP($B164,FFTodayData!$AB:$AK,9,0))</f>
        <v/>
      </c>
      <c r="F164" s="33" t="str">
        <f>IF(OR(($A164=Settings!$A$31),($A164=Settings!$A$32),ISERROR(VLOOKUP($B164,FFTodayData!$AB:$AK,4,0))),"",VLOOKUP($B164,FFTodayData!$AB:$AK,4,0))</f>
        <v/>
      </c>
      <c r="G164" s="33" t="str">
        <f>IF(OR(($A164=Settings!$A$31),($A164=Settings!$A$32),ISERROR(VLOOKUP($B164,FFTodayData!$AB:$AK,5,0))),"",VLOOKUP($B164,FFTodayData!$AB:$AK,5,0))</f>
        <v/>
      </c>
      <c r="H164" s="64" t="str">
        <f>IF(OR(($A164=Settings!$A$31),($A164=Settings!$A$32),ISERROR(VLOOKUP($B164,FFTodayData!$AB:$AK,6,0))),"",VLOOKUP($B164,FFTodayData!$AB:$AK,6,0))</f>
        <v/>
      </c>
      <c r="I164" s="117" t="str">
        <f>IF(ISERROR(VLOOKUP($A164,ESPNData!$AH:$AU,9,0)),"",VLOOKUP($A164,ESPNData!$AH:$AU,9,0))</f>
        <v/>
      </c>
      <c r="J164" s="33" t="str">
        <f>IF(ISERROR(VLOOKUP($A164,ESPNData!$AH:$AU,10,0)),"",VLOOKUP($A164,ESPNData!$AH:$AU,10,0))</f>
        <v/>
      </c>
      <c r="K164" s="33" t="str">
        <f>IF(ISERROR(VLOOKUP($A164,ESPNData!$AH:$AU,11,0)),"",VLOOKUP($A164,ESPNData!$AH:$AU,11,0))</f>
        <v/>
      </c>
      <c r="L164" s="33" t="str">
        <f>IF(ISERROR(VLOOKUP($A164,ESPNData!$AH:$AU,12,0)),"",VLOOKUP($A164,ESPNData!$AH:$AU,12,0))</f>
        <v/>
      </c>
      <c r="M164" s="64" t="str">
        <f>IF(ISERROR(VLOOKUP($A164,ESPNData!$AH:$AU,13,0)),"",VLOOKUP($A164,ESPNData!$AH:$AU,13,0))</f>
        <v/>
      </c>
      <c r="N164" s="117" t="str">
        <f>IF(OR(($A164=Settings!$A$31),($A164=Settings!$A$32),ISERROR(VLOOKUP($B164,SportslineData!$AD:$AK,3,0))),"",ROUND(VLOOKUP($B164,SportslineData!$AD:$AK,3,0),0))</f>
        <v/>
      </c>
      <c r="O164" s="33" t="str">
        <f>IF(OR(($A164=Settings!$A$31),($A164=Settings!$A$32),ISERROR(VLOOKUP($B164,SportslineData!$AD:$AK,4,0))),"",VLOOKUP($B164,SportslineData!$AD:$AK,4,0))</f>
        <v/>
      </c>
      <c r="P164" s="33" t="str">
        <f>IF(OR(($A164=Settings!$A$31),($A164=Settings!$A$32),ISERROR(VLOOKUP($B164,SportslineData!$AD:$AK,6,0))),"",ROUND(VLOOKUP($B164,SportslineData!$AD:$AK,6,0),0))</f>
        <v/>
      </c>
      <c r="Q164" s="64" t="str">
        <f>IF(OR(($A164=Settings!$A$31),($A164=Settings!$A$32),ISERROR(VLOOKUP($B164,SportslineData!$AD:$AK,7,0))),"",ROUND(VLOOKUP($B164,SportslineData!$AD:$AK,7,0),0))</f>
        <v/>
      </c>
      <c r="R164" s="117"/>
      <c r="S164" s="33"/>
      <c r="T164" s="38">
        <f>IF(ISERROR(ROUND((((((ROUNDDOWN((D164/5),0)*Settings!$F$7)+(E164*Settings!$I$7))+(F164*Settings!$I$11))+(ROUNDDOWN((G164/5),0)*Settings!$F$11))+(H164*Settings!$F$12)),1)),0,ROUND((((((ROUNDDOWN((D164/5),0)*Settings!$F$7)+(E164*Settings!$I$7))+(F164*Settings!$I$11))+(ROUNDDOWN((G164/5),0)*Settings!$F$11))+(H164*Settings!$F$12)),1))</f>
        <v>0</v>
      </c>
      <c r="U164" s="38">
        <f>IF(ISERROR(ROUND((((((ROUNDDOWN((I164/5),0)*Settings!$F$7)+(J164*Settings!$I$7))+(K164*Settings!$I$11))+(ROUNDDOWN((L164/5),0)*Settings!$F$11))+(M164*Settings!$F$12)),1)),0,ROUND((((((ROUNDDOWN((I164/5),0)*Settings!$F$7)+(J164*Settings!$I$7))+(K164*Settings!$I$11))+(ROUNDDOWN((L164/5),0)*Settings!$F$11))+(M164*Settings!$F$12)),1))</f>
        <v>0</v>
      </c>
      <c r="V164" s="38">
        <f>IF((N164=""),0,((((N164*Settings!$I$11)+(ROUND((O164/5),0)*Settings!$F$11))+(P164*Settings!$F$12))+(Q164*Settings!$F$15)))</f>
        <v>0</v>
      </c>
      <c r="W164" s="66">
        <f>ROUND((((T164*Settings!$B$21)+(U164*Settings!$B$22))+(V164*Settings!$B$23)),1)</f>
        <v>0</v>
      </c>
      <c r="X164" s="66">
        <f>IF(ISERROR(VLOOKUP(RANK(W164,W$4:W$182),X$4:X163,1,0)),RANK(W164,W$4:W$182),IF(ISERROR(VLOOKUP((RANK(W164,W$4:W$182)+1),X$4:X163,1,0)),(RANK(W164,W$4:W$182)+1),IF(ISERROR(VLOOKUP((RANK(W164,W$4:W$182)+2),X$4:X163,1,0)),(RANK(W164,W$4:W$182)+2),(RANK(W164,W$4:W$182)+3))))</f>
        <v>157</v>
      </c>
      <c r="Y164" t="str">
        <f t="shared" ref="Y164:Y182" si="17">B164</f>
        <v/>
      </c>
    </row>
    <row r="165" spans="1:25" ht="12.75" customHeight="1">
      <c r="A165" s="33">
        <f>ESPNData!AH304</f>
        <v>0</v>
      </c>
      <c r="B165" s="33" t="str">
        <f t="shared" si="15"/>
        <v/>
      </c>
      <c r="C165" s="64" t="e">
        <f t="shared" si="16"/>
        <v>#VALUE!</v>
      </c>
      <c r="D165" s="117" t="str">
        <f>IF(OR(($A165=Settings!$A$31),($A165=Settings!$A$32),ISERROR(VLOOKUP($B165,FFTodayData!$AB:$AK,8,0))),"",VLOOKUP($B165,FFTodayData!$AB:$AK,8,0))</f>
        <v/>
      </c>
      <c r="E165" s="33" t="str">
        <f>IF(OR(($A165=Settings!$A$31),($A165=Settings!$A$32),ISERROR(VLOOKUP($B165,FFTodayData!$AB:$AK,9,0))),"",VLOOKUP($B165,FFTodayData!$AB:$AK,9,0))</f>
        <v/>
      </c>
      <c r="F165" s="33" t="str">
        <f>IF(OR(($A165=Settings!$A$31),($A165=Settings!$A$32),ISERROR(VLOOKUP($B165,FFTodayData!$AB:$AK,4,0))),"",VLOOKUP($B165,FFTodayData!$AB:$AK,4,0))</f>
        <v/>
      </c>
      <c r="G165" s="33" t="str">
        <f>IF(OR(($A165=Settings!$A$31),($A165=Settings!$A$32),ISERROR(VLOOKUP($B165,FFTodayData!$AB:$AK,5,0))),"",VLOOKUP($B165,FFTodayData!$AB:$AK,5,0))</f>
        <v/>
      </c>
      <c r="H165" s="64" t="str">
        <f>IF(OR(($A165=Settings!$A$31),($A165=Settings!$A$32),ISERROR(VLOOKUP($B165,FFTodayData!$AB:$AK,6,0))),"",VLOOKUP($B165,FFTodayData!$AB:$AK,6,0))</f>
        <v/>
      </c>
      <c r="I165" s="117" t="str">
        <f>IF(ISERROR(VLOOKUP($A165,ESPNData!$AH:$AU,9,0)),"",VLOOKUP($A165,ESPNData!$AH:$AU,9,0))</f>
        <v/>
      </c>
      <c r="J165" s="33" t="str">
        <f>IF(ISERROR(VLOOKUP($A165,ESPNData!$AH:$AU,10,0)),"",VLOOKUP($A165,ESPNData!$AH:$AU,10,0))</f>
        <v/>
      </c>
      <c r="K165" s="33" t="str">
        <f>IF(ISERROR(VLOOKUP($A165,ESPNData!$AH:$AU,11,0)),"",VLOOKUP($A165,ESPNData!$AH:$AU,11,0))</f>
        <v/>
      </c>
      <c r="L165" s="33" t="str">
        <f>IF(ISERROR(VLOOKUP($A165,ESPNData!$AH:$AU,12,0)),"",VLOOKUP($A165,ESPNData!$AH:$AU,12,0))</f>
        <v/>
      </c>
      <c r="M165" s="64" t="str">
        <f>IF(ISERROR(VLOOKUP($A165,ESPNData!$AH:$AU,13,0)),"",VLOOKUP($A165,ESPNData!$AH:$AU,13,0))</f>
        <v/>
      </c>
      <c r="N165" s="117" t="str">
        <f>IF(OR(($A165=Settings!$A$31),($A165=Settings!$A$32),ISERROR(VLOOKUP($B165,SportslineData!$AD:$AK,3,0))),"",ROUND(VLOOKUP($B165,SportslineData!$AD:$AK,3,0),0))</f>
        <v/>
      </c>
      <c r="O165" s="33" t="str">
        <f>IF(OR(($A165=Settings!$A$31),($A165=Settings!$A$32),ISERROR(VLOOKUP($B165,SportslineData!$AD:$AK,4,0))),"",VLOOKUP($B165,SportslineData!$AD:$AK,4,0))</f>
        <v/>
      </c>
      <c r="P165" s="33" t="str">
        <f>IF(OR(($A165=Settings!$A$31),($A165=Settings!$A$32),ISERROR(VLOOKUP($B165,SportslineData!$AD:$AK,6,0))),"",ROUND(VLOOKUP($B165,SportslineData!$AD:$AK,6,0),0))</f>
        <v/>
      </c>
      <c r="Q165" s="64" t="str">
        <f>IF(OR(($A165=Settings!$A$31),($A165=Settings!$A$32),ISERROR(VLOOKUP($B165,SportslineData!$AD:$AK,7,0))),"",ROUND(VLOOKUP($B165,SportslineData!$AD:$AK,7,0),0))</f>
        <v/>
      </c>
      <c r="R165" s="117"/>
      <c r="S165" s="33"/>
      <c r="T165" s="38">
        <f>IF(ISERROR(ROUND((((((ROUNDDOWN((D165/5),0)*Settings!$F$7)+(E165*Settings!$I$7))+(F165*Settings!$I$11))+(ROUNDDOWN((G165/5),0)*Settings!$F$11))+(H165*Settings!$F$12)),1)),0,ROUND((((((ROUNDDOWN((D165/5),0)*Settings!$F$7)+(E165*Settings!$I$7))+(F165*Settings!$I$11))+(ROUNDDOWN((G165/5),0)*Settings!$F$11))+(H165*Settings!$F$12)),1))</f>
        <v>0</v>
      </c>
      <c r="U165" s="38">
        <f>IF(ISERROR(ROUND((((((ROUNDDOWN((I165/5),0)*Settings!$F$7)+(J165*Settings!$I$7))+(K165*Settings!$I$11))+(ROUNDDOWN((L165/5),0)*Settings!$F$11))+(M165*Settings!$F$12)),1)),0,ROUND((((((ROUNDDOWN((I165/5),0)*Settings!$F$7)+(J165*Settings!$I$7))+(K165*Settings!$I$11))+(ROUNDDOWN((L165/5),0)*Settings!$F$11))+(M165*Settings!$F$12)),1))</f>
        <v>0</v>
      </c>
      <c r="V165" s="38">
        <f>IF((N165=""),0,((((N165*Settings!$I$11)+(ROUND((O165/5),0)*Settings!$F$11))+(P165*Settings!$F$12))+(Q165*Settings!$F$15)))</f>
        <v>0</v>
      </c>
      <c r="W165" s="66">
        <f>ROUND((((T165*Settings!$B$21)+(U165*Settings!$B$22))+(V165*Settings!$B$23)),1)</f>
        <v>0</v>
      </c>
      <c r="X165" s="66">
        <f>IF(ISERROR(VLOOKUP(RANK(W165,W$4:W$182),X$4:X164,1,0)),RANK(W165,W$4:W$182),IF(ISERROR(VLOOKUP((RANK(W165,W$4:W$182)+1),X$4:X164,1,0)),(RANK(W165,W$4:W$182)+1),IF(ISERROR(VLOOKUP((RANK(W165,W$4:W$182)+2),X$4:X164,1,0)),(RANK(W165,W$4:W$182)+2),(RANK(W165,W$4:W$182)+3))))</f>
        <v>157</v>
      </c>
      <c r="Y165" t="str">
        <f t="shared" si="17"/>
        <v/>
      </c>
    </row>
    <row r="166" spans="1:25" ht="12.75" customHeight="1">
      <c r="A166" s="33">
        <f>ESPNData!AH305</f>
        <v>0</v>
      </c>
      <c r="B166" s="33" t="str">
        <f t="shared" si="15"/>
        <v/>
      </c>
      <c r="C166" s="64" t="e">
        <f t="shared" si="16"/>
        <v>#VALUE!</v>
      </c>
      <c r="D166" s="117" t="str">
        <f>IF(OR(($A166=Settings!$A$31),($A166=Settings!$A$32),ISERROR(VLOOKUP($B166,FFTodayData!$AB:$AK,8,0))),"",VLOOKUP($B166,FFTodayData!$AB:$AK,8,0))</f>
        <v/>
      </c>
      <c r="E166" s="33" t="str">
        <f>IF(OR(($A166=Settings!$A$31),($A166=Settings!$A$32),ISERROR(VLOOKUP($B166,FFTodayData!$AB:$AK,9,0))),"",VLOOKUP($B166,FFTodayData!$AB:$AK,9,0))</f>
        <v/>
      </c>
      <c r="F166" s="33" t="str">
        <f>IF(OR(($A166=Settings!$A$31),($A166=Settings!$A$32),ISERROR(VLOOKUP($B166,FFTodayData!$AB:$AK,4,0))),"",VLOOKUP($B166,FFTodayData!$AB:$AK,4,0))</f>
        <v/>
      </c>
      <c r="G166" s="33" t="str">
        <f>IF(OR(($A166=Settings!$A$31),($A166=Settings!$A$32),ISERROR(VLOOKUP($B166,FFTodayData!$AB:$AK,5,0))),"",VLOOKUP($B166,FFTodayData!$AB:$AK,5,0))</f>
        <v/>
      </c>
      <c r="H166" s="64" t="str">
        <f>IF(OR(($A166=Settings!$A$31),($A166=Settings!$A$32),ISERROR(VLOOKUP($B166,FFTodayData!$AB:$AK,6,0))),"",VLOOKUP($B166,FFTodayData!$AB:$AK,6,0))</f>
        <v/>
      </c>
      <c r="I166" s="117" t="str">
        <f>IF(ISERROR(VLOOKUP($A166,ESPNData!$AH:$AU,9,0)),"",VLOOKUP($A166,ESPNData!$AH:$AU,9,0))</f>
        <v/>
      </c>
      <c r="J166" s="33" t="str">
        <f>IF(ISERROR(VLOOKUP($A166,ESPNData!$AH:$AU,10,0)),"",VLOOKUP($A166,ESPNData!$AH:$AU,10,0))</f>
        <v/>
      </c>
      <c r="K166" s="33" t="str">
        <f>IF(ISERROR(VLOOKUP($A166,ESPNData!$AH:$AU,11,0)),"",VLOOKUP($A166,ESPNData!$AH:$AU,11,0))</f>
        <v/>
      </c>
      <c r="L166" s="33" t="str">
        <f>IF(ISERROR(VLOOKUP($A166,ESPNData!$AH:$AU,12,0)),"",VLOOKUP($A166,ESPNData!$AH:$AU,12,0))</f>
        <v/>
      </c>
      <c r="M166" s="64" t="str">
        <f>IF(ISERROR(VLOOKUP($A166,ESPNData!$AH:$AU,13,0)),"",VLOOKUP($A166,ESPNData!$AH:$AU,13,0))</f>
        <v/>
      </c>
      <c r="N166" s="117" t="str">
        <f>IF(OR(($A166=Settings!$A$31),($A166=Settings!$A$32),ISERROR(VLOOKUP($B166,SportslineData!$AD:$AK,3,0))),"",ROUND(VLOOKUP($B166,SportslineData!$AD:$AK,3,0),0))</f>
        <v/>
      </c>
      <c r="O166" s="33" t="str">
        <f>IF(OR(($A166=Settings!$A$31),($A166=Settings!$A$32),ISERROR(VLOOKUP($B166,SportslineData!$AD:$AK,4,0))),"",VLOOKUP($B166,SportslineData!$AD:$AK,4,0))</f>
        <v/>
      </c>
      <c r="P166" s="33" t="str">
        <f>IF(OR(($A166=Settings!$A$31),($A166=Settings!$A$32),ISERROR(VLOOKUP($B166,SportslineData!$AD:$AK,6,0))),"",ROUND(VLOOKUP($B166,SportslineData!$AD:$AK,6,0),0))</f>
        <v/>
      </c>
      <c r="Q166" s="64" t="str">
        <f>IF(OR(($A166=Settings!$A$31),($A166=Settings!$A$32),ISERROR(VLOOKUP($B166,SportslineData!$AD:$AK,7,0))),"",ROUND(VLOOKUP($B166,SportslineData!$AD:$AK,7,0),0))</f>
        <v/>
      </c>
      <c r="R166" s="117"/>
      <c r="S166" s="33"/>
      <c r="T166" s="38">
        <f>IF(ISERROR(ROUND((((((ROUNDDOWN((D166/5),0)*Settings!$F$7)+(E166*Settings!$I$7))+(F166*Settings!$I$11))+(ROUNDDOWN((G166/5),0)*Settings!$F$11))+(H166*Settings!$F$12)),1)),0,ROUND((((((ROUNDDOWN((D166/5),0)*Settings!$F$7)+(E166*Settings!$I$7))+(F166*Settings!$I$11))+(ROUNDDOWN((G166/5),0)*Settings!$F$11))+(H166*Settings!$F$12)),1))</f>
        <v>0</v>
      </c>
      <c r="U166" s="38">
        <f>IF(ISERROR(ROUND((((((ROUNDDOWN((I166/5),0)*Settings!$F$7)+(J166*Settings!$I$7))+(K166*Settings!$I$11))+(ROUNDDOWN((L166/5),0)*Settings!$F$11))+(M166*Settings!$F$12)),1)),0,ROUND((((((ROUNDDOWN((I166/5),0)*Settings!$F$7)+(J166*Settings!$I$7))+(K166*Settings!$I$11))+(ROUNDDOWN((L166/5),0)*Settings!$F$11))+(M166*Settings!$F$12)),1))</f>
        <v>0</v>
      </c>
      <c r="V166" s="38">
        <f>IF((N166=""),0,((((N166*Settings!$I$11)+(ROUND((O166/5),0)*Settings!$F$11))+(P166*Settings!$F$12))+(Q166*Settings!$F$15)))</f>
        <v>0</v>
      </c>
      <c r="W166" s="66">
        <f>ROUND((((T166*Settings!$B$21)+(U166*Settings!$B$22))+(V166*Settings!$B$23)),1)</f>
        <v>0</v>
      </c>
      <c r="X166" s="66">
        <f>IF(ISERROR(VLOOKUP(RANK(W166,W$4:W$182),X$4:X165,1,0)),RANK(W166,W$4:W$182),IF(ISERROR(VLOOKUP((RANK(W166,W$4:W$182)+1),X$4:X165,1,0)),(RANK(W166,W$4:W$182)+1),IF(ISERROR(VLOOKUP((RANK(W166,W$4:W$182)+2),X$4:X165,1,0)),(RANK(W166,W$4:W$182)+2),(RANK(W166,W$4:W$182)+3))))</f>
        <v>157</v>
      </c>
      <c r="Y166" t="str">
        <f t="shared" si="17"/>
        <v/>
      </c>
    </row>
    <row r="167" spans="1:25" ht="12.75" customHeight="1">
      <c r="A167" s="33">
        <f>ESPNData!AH306</f>
        <v>0</v>
      </c>
      <c r="B167" s="33" t="str">
        <f t="shared" si="15"/>
        <v/>
      </c>
      <c r="C167" s="64" t="e">
        <f t="shared" si="16"/>
        <v>#VALUE!</v>
      </c>
      <c r="D167" s="117" t="str">
        <f>IF(OR(($A167=Settings!$A$31),($A167=Settings!$A$32),ISERROR(VLOOKUP($B167,FFTodayData!$AB:$AK,8,0))),"",VLOOKUP($B167,FFTodayData!$AB:$AK,8,0))</f>
        <v/>
      </c>
      <c r="E167" s="33" t="str">
        <f>IF(OR(($A167=Settings!$A$31),($A167=Settings!$A$32),ISERROR(VLOOKUP($B167,FFTodayData!$AB:$AK,9,0))),"",VLOOKUP($B167,FFTodayData!$AB:$AK,9,0))</f>
        <v/>
      </c>
      <c r="F167" s="33" t="str">
        <f>IF(OR(($A167=Settings!$A$31),($A167=Settings!$A$32),ISERROR(VLOOKUP($B167,FFTodayData!$AB:$AK,4,0))),"",VLOOKUP($B167,FFTodayData!$AB:$AK,4,0))</f>
        <v/>
      </c>
      <c r="G167" s="33" t="str">
        <f>IF(OR(($A167=Settings!$A$31),($A167=Settings!$A$32),ISERROR(VLOOKUP($B167,FFTodayData!$AB:$AK,5,0))),"",VLOOKUP($B167,FFTodayData!$AB:$AK,5,0))</f>
        <v/>
      </c>
      <c r="H167" s="64" t="str">
        <f>IF(OR(($A167=Settings!$A$31),($A167=Settings!$A$32),ISERROR(VLOOKUP($B167,FFTodayData!$AB:$AK,6,0))),"",VLOOKUP($B167,FFTodayData!$AB:$AK,6,0))</f>
        <v/>
      </c>
      <c r="I167" s="117" t="str">
        <f>IF(ISERROR(VLOOKUP($A167,ESPNData!$AH:$AU,9,0)),"",VLOOKUP($A167,ESPNData!$AH:$AU,9,0))</f>
        <v/>
      </c>
      <c r="J167" s="33" t="str">
        <f>IF(ISERROR(VLOOKUP($A167,ESPNData!$AH:$AU,10,0)),"",VLOOKUP($A167,ESPNData!$AH:$AU,10,0))</f>
        <v/>
      </c>
      <c r="K167" s="33" t="str">
        <f>IF(ISERROR(VLOOKUP($A167,ESPNData!$AH:$AU,11,0)),"",VLOOKUP($A167,ESPNData!$AH:$AU,11,0))</f>
        <v/>
      </c>
      <c r="L167" s="33" t="str">
        <f>IF(ISERROR(VLOOKUP($A167,ESPNData!$AH:$AU,12,0)),"",VLOOKUP($A167,ESPNData!$AH:$AU,12,0))</f>
        <v/>
      </c>
      <c r="M167" s="64" t="str">
        <f>IF(ISERROR(VLOOKUP($A167,ESPNData!$AH:$AU,13,0)),"",VLOOKUP($A167,ESPNData!$AH:$AU,13,0))</f>
        <v/>
      </c>
      <c r="N167" s="117" t="str">
        <f>IF(OR(($A167=Settings!$A$31),($A167=Settings!$A$32),ISERROR(VLOOKUP($B167,SportslineData!$AD:$AK,3,0))),"",ROUND(VLOOKUP($B167,SportslineData!$AD:$AK,3,0),0))</f>
        <v/>
      </c>
      <c r="O167" s="33" t="str">
        <f>IF(OR(($A167=Settings!$A$31),($A167=Settings!$A$32),ISERROR(VLOOKUP($B167,SportslineData!$AD:$AK,4,0))),"",VLOOKUP($B167,SportslineData!$AD:$AK,4,0))</f>
        <v/>
      </c>
      <c r="P167" s="33" t="str">
        <f>IF(OR(($A167=Settings!$A$31),($A167=Settings!$A$32),ISERROR(VLOOKUP($B167,SportslineData!$AD:$AK,6,0))),"",ROUND(VLOOKUP($B167,SportslineData!$AD:$AK,6,0),0))</f>
        <v/>
      </c>
      <c r="Q167" s="64" t="str">
        <f>IF(OR(($A167=Settings!$A$31),($A167=Settings!$A$32),ISERROR(VLOOKUP($B167,SportslineData!$AD:$AK,7,0))),"",ROUND(VLOOKUP($B167,SportslineData!$AD:$AK,7,0),0))</f>
        <v/>
      </c>
      <c r="R167" s="117"/>
      <c r="S167" s="33"/>
      <c r="T167" s="38">
        <f>IF(ISERROR(ROUND((((((ROUNDDOWN((D167/5),0)*Settings!$F$7)+(E167*Settings!$I$7))+(F167*Settings!$I$11))+(ROUNDDOWN((G167/5),0)*Settings!$F$11))+(H167*Settings!$F$12)),1)),0,ROUND((((((ROUNDDOWN((D167/5),0)*Settings!$F$7)+(E167*Settings!$I$7))+(F167*Settings!$I$11))+(ROUNDDOWN((G167/5),0)*Settings!$F$11))+(H167*Settings!$F$12)),1))</f>
        <v>0</v>
      </c>
      <c r="U167" s="38">
        <f>IF(ISERROR(ROUND((((((ROUNDDOWN((I167/5),0)*Settings!$F$7)+(J167*Settings!$I$7))+(K167*Settings!$I$11))+(ROUNDDOWN((L167/5),0)*Settings!$F$11))+(M167*Settings!$F$12)),1)),0,ROUND((((((ROUNDDOWN((I167/5),0)*Settings!$F$7)+(J167*Settings!$I$7))+(K167*Settings!$I$11))+(ROUNDDOWN((L167/5),0)*Settings!$F$11))+(M167*Settings!$F$12)),1))</f>
        <v>0</v>
      </c>
      <c r="V167" s="38">
        <f>IF((N167=""),0,((((N167*Settings!$I$11)+(ROUND((O167/5),0)*Settings!$F$11))+(P167*Settings!$F$12))+(Q167*Settings!$F$15)))</f>
        <v>0</v>
      </c>
      <c r="W167" s="66">
        <f>ROUND((((T167*Settings!$B$21)+(U167*Settings!$B$22))+(V167*Settings!$B$23)),1)</f>
        <v>0</v>
      </c>
      <c r="X167" s="66">
        <f>IF(ISERROR(VLOOKUP(RANK(W167,W$4:W$182),X$4:X166,1,0)),RANK(W167,W$4:W$182),IF(ISERROR(VLOOKUP((RANK(W167,W$4:W$182)+1),X$4:X166,1,0)),(RANK(W167,W$4:W$182)+1),IF(ISERROR(VLOOKUP((RANK(W167,W$4:W$182)+2),X$4:X166,1,0)),(RANK(W167,W$4:W$182)+2),(RANK(W167,W$4:W$182)+3))))</f>
        <v>157</v>
      </c>
      <c r="Y167" t="str">
        <f t="shared" si="17"/>
        <v/>
      </c>
    </row>
    <row r="168" spans="1:25" ht="12.75" customHeight="1">
      <c r="A168" s="33">
        <f>ESPNData!AH307</f>
        <v>0</v>
      </c>
      <c r="B168" s="33" t="str">
        <f t="shared" si="15"/>
        <v/>
      </c>
      <c r="C168" s="64" t="e">
        <f t="shared" si="16"/>
        <v>#VALUE!</v>
      </c>
      <c r="D168" s="117" t="str">
        <f>IF(OR(($A168=Settings!$A$31),($A168=Settings!$A$32),ISERROR(VLOOKUP($B168,FFTodayData!$AB:$AK,8,0))),"",VLOOKUP($B168,FFTodayData!$AB:$AK,8,0))</f>
        <v/>
      </c>
      <c r="E168" s="33" t="str">
        <f>IF(OR(($A168=Settings!$A$31),($A168=Settings!$A$32),ISERROR(VLOOKUP($B168,FFTodayData!$AB:$AK,9,0))),"",VLOOKUP($B168,FFTodayData!$AB:$AK,9,0))</f>
        <v/>
      </c>
      <c r="F168" s="33" t="str">
        <f>IF(OR(($A168=Settings!$A$31),($A168=Settings!$A$32),ISERROR(VLOOKUP($B168,FFTodayData!$AB:$AK,4,0))),"",VLOOKUP($B168,FFTodayData!$AB:$AK,4,0))</f>
        <v/>
      </c>
      <c r="G168" s="33" t="str">
        <f>IF(OR(($A168=Settings!$A$31),($A168=Settings!$A$32),ISERROR(VLOOKUP($B168,FFTodayData!$AB:$AK,5,0))),"",VLOOKUP($B168,FFTodayData!$AB:$AK,5,0))</f>
        <v/>
      </c>
      <c r="H168" s="64" t="str">
        <f>IF(OR(($A168=Settings!$A$31),($A168=Settings!$A$32),ISERROR(VLOOKUP($B168,FFTodayData!$AB:$AK,6,0))),"",VLOOKUP($B168,FFTodayData!$AB:$AK,6,0))</f>
        <v/>
      </c>
      <c r="I168" s="117" t="str">
        <f>IF(ISERROR(VLOOKUP($A168,ESPNData!$AH:$AU,9,0)),"",VLOOKUP($A168,ESPNData!$AH:$AU,9,0))</f>
        <v/>
      </c>
      <c r="J168" s="33" t="str">
        <f>IF(ISERROR(VLOOKUP($A168,ESPNData!$AH:$AU,10,0)),"",VLOOKUP($A168,ESPNData!$AH:$AU,10,0))</f>
        <v/>
      </c>
      <c r="K168" s="33" t="str">
        <f>IF(ISERROR(VLOOKUP($A168,ESPNData!$AH:$AU,11,0)),"",VLOOKUP($A168,ESPNData!$AH:$AU,11,0))</f>
        <v/>
      </c>
      <c r="L168" s="33" t="str">
        <f>IF(ISERROR(VLOOKUP($A168,ESPNData!$AH:$AU,12,0)),"",VLOOKUP($A168,ESPNData!$AH:$AU,12,0))</f>
        <v/>
      </c>
      <c r="M168" s="64" t="str">
        <f>IF(ISERROR(VLOOKUP($A168,ESPNData!$AH:$AU,13,0)),"",VLOOKUP($A168,ESPNData!$AH:$AU,13,0))</f>
        <v/>
      </c>
      <c r="N168" s="117" t="str">
        <f>IF(OR(($A168=Settings!$A$31),($A168=Settings!$A$32),ISERROR(VLOOKUP($B168,SportslineData!$AD:$AK,3,0))),"",ROUND(VLOOKUP($B168,SportslineData!$AD:$AK,3,0),0))</f>
        <v/>
      </c>
      <c r="O168" s="33" t="str">
        <f>IF(OR(($A168=Settings!$A$31),($A168=Settings!$A$32),ISERROR(VLOOKUP($B168,SportslineData!$AD:$AK,4,0))),"",VLOOKUP($B168,SportslineData!$AD:$AK,4,0))</f>
        <v/>
      </c>
      <c r="P168" s="33" t="str">
        <f>IF(OR(($A168=Settings!$A$31),($A168=Settings!$A$32),ISERROR(VLOOKUP($B168,SportslineData!$AD:$AK,6,0))),"",ROUND(VLOOKUP($B168,SportslineData!$AD:$AK,6,0),0))</f>
        <v/>
      </c>
      <c r="Q168" s="64" t="str">
        <f>IF(OR(($A168=Settings!$A$31),($A168=Settings!$A$32),ISERROR(VLOOKUP($B168,SportslineData!$AD:$AK,7,0))),"",ROUND(VLOOKUP($B168,SportslineData!$AD:$AK,7,0),0))</f>
        <v/>
      </c>
      <c r="R168" s="117"/>
      <c r="S168" s="33"/>
      <c r="T168" s="38">
        <f>IF(ISERROR(ROUND((((((ROUNDDOWN((D168/5),0)*Settings!$F$7)+(E168*Settings!$I$7))+(F168*Settings!$I$11))+(ROUNDDOWN((G168/5),0)*Settings!$F$11))+(H168*Settings!$F$12)),1)),0,ROUND((((((ROUNDDOWN((D168/5),0)*Settings!$F$7)+(E168*Settings!$I$7))+(F168*Settings!$I$11))+(ROUNDDOWN((G168/5),0)*Settings!$F$11))+(H168*Settings!$F$12)),1))</f>
        <v>0</v>
      </c>
      <c r="U168" s="38">
        <f>IF(ISERROR(ROUND((((((ROUNDDOWN((I168/5),0)*Settings!$F$7)+(J168*Settings!$I$7))+(K168*Settings!$I$11))+(ROUNDDOWN((L168/5),0)*Settings!$F$11))+(M168*Settings!$F$12)),1)),0,ROUND((((((ROUNDDOWN((I168/5),0)*Settings!$F$7)+(J168*Settings!$I$7))+(K168*Settings!$I$11))+(ROUNDDOWN((L168/5),0)*Settings!$F$11))+(M168*Settings!$F$12)),1))</f>
        <v>0</v>
      </c>
      <c r="V168" s="38">
        <f>IF((N168=""),0,((((N168*Settings!$I$11)+(ROUND((O168/5),0)*Settings!$F$11))+(P168*Settings!$F$12))+(Q168*Settings!$F$15)))</f>
        <v>0</v>
      </c>
      <c r="W168" s="66">
        <f>ROUND((((T168*Settings!$B$21)+(U168*Settings!$B$22))+(V168*Settings!$B$23)),1)</f>
        <v>0</v>
      </c>
      <c r="X168" s="66">
        <f>IF(ISERROR(VLOOKUP(RANK(W168,W$4:W$182),X$4:X167,1,0)),RANK(W168,W$4:W$182),IF(ISERROR(VLOOKUP((RANK(W168,W$4:W$182)+1),X$4:X167,1,0)),(RANK(W168,W$4:W$182)+1),IF(ISERROR(VLOOKUP((RANK(W168,W$4:W$182)+2),X$4:X167,1,0)),(RANK(W168,W$4:W$182)+2),(RANK(W168,W$4:W$182)+3))))</f>
        <v>157</v>
      </c>
      <c r="Y168" t="str">
        <f t="shared" si="17"/>
        <v/>
      </c>
    </row>
    <row r="169" spans="1:25" ht="12.75" customHeight="1">
      <c r="A169" s="33">
        <f>ESPNData!AH308</f>
        <v>0</v>
      </c>
      <c r="B169" s="33" t="str">
        <f t="shared" si="15"/>
        <v/>
      </c>
      <c r="C169" s="64" t="e">
        <f t="shared" si="16"/>
        <v>#VALUE!</v>
      </c>
      <c r="D169" s="117" t="str">
        <f>IF(OR(($A169=Settings!$A$31),($A169=Settings!$A$32),ISERROR(VLOOKUP($B169,FFTodayData!$AB:$AK,8,0))),"",VLOOKUP($B169,FFTodayData!$AB:$AK,8,0))</f>
        <v/>
      </c>
      <c r="E169" s="33" t="str">
        <f>IF(OR(($A169=Settings!$A$31),($A169=Settings!$A$32),ISERROR(VLOOKUP($B169,FFTodayData!$AB:$AK,9,0))),"",VLOOKUP($B169,FFTodayData!$AB:$AK,9,0))</f>
        <v/>
      </c>
      <c r="F169" s="33" t="str">
        <f>IF(OR(($A169=Settings!$A$31),($A169=Settings!$A$32),ISERROR(VLOOKUP($B169,FFTodayData!$AB:$AK,4,0))),"",VLOOKUP($B169,FFTodayData!$AB:$AK,4,0))</f>
        <v/>
      </c>
      <c r="G169" s="33" t="str">
        <f>IF(OR(($A169=Settings!$A$31),($A169=Settings!$A$32),ISERROR(VLOOKUP($B169,FFTodayData!$AB:$AK,5,0))),"",VLOOKUP($B169,FFTodayData!$AB:$AK,5,0))</f>
        <v/>
      </c>
      <c r="H169" s="64" t="str">
        <f>IF(OR(($A169=Settings!$A$31),($A169=Settings!$A$32),ISERROR(VLOOKUP($B169,FFTodayData!$AB:$AK,6,0))),"",VLOOKUP($B169,FFTodayData!$AB:$AK,6,0))</f>
        <v/>
      </c>
      <c r="I169" s="117" t="str">
        <f>IF(ISERROR(VLOOKUP($A169,ESPNData!$AH:$AU,9,0)),"",VLOOKUP($A169,ESPNData!$AH:$AU,9,0))</f>
        <v/>
      </c>
      <c r="J169" s="33" t="str">
        <f>IF(ISERROR(VLOOKUP($A169,ESPNData!$AH:$AU,10,0)),"",VLOOKUP($A169,ESPNData!$AH:$AU,10,0))</f>
        <v/>
      </c>
      <c r="K169" s="33" t="str">
        <f>IF(ISERROR(VLOOKUP($A169,ESPNData!$AH:$AU,11,0)),"",VLOOKUP($A169,ESPNData!$AH:$AU,11,0))</f>
        <v/>
      </c>
      <c r="L169" s="33" t="str">
        <f>IF(ISERROR(VLOOKUP($A169,ESPNData!$AH:$AU,12,0)),"",VLOOKUP($A169,ESPNData!$AH:$AU,12,0))</f>
        <v/>
      </c>
      <c r="M169" s="64" t="str">
        <f>IF(ISERROR(VLOOKUP($A169,ESPNData!$AH:$AU,13,0)),"",VLOOKUP($A169,ESPNData!$AH:$AU,13,0))</f>
        <v/>
      </c>
      <c r="N169" s="117" t="str">
        <f>IF(OR(($A169=Settings!$A$31),($A169=Settings!$A$32),ISERROR(VLOOKUP($B169,SportslineData!$AD:$AK,3,0))),"",ROUND(VLOOKUP($B169,SportslineData!$AD:$AK,3,0),0))</f>
        <v/>
      </c>
      <c r="O169" s="33" t="str">
        <f>IF(OR(($A169=Settings!$A$31),($A169=Settings!$A$32),ISERROR(VLOOKUP($B169,SportslineData!$AD:$AK,4,0))),"",VLOOKUP($B169,SportslineData!$AD:$AK,4,0))</f>
        <v/>
      </c>
      <c r="P169" s="33" t="str">
        <f>IF(OR(($A169=Settings!$A$31),($A169=Settings!$A$32),ISERROR(VLOOKUP($B169,SportslineData!$AD:$AK,6,0))),"",ROUND(VLOOKUP($B169,SportslineData!$AD:$AK,6,0),0))</f>
        <v/>
      </c>
      <c r="Q169" s="64" t="str">
        <f>IF(OR(($A169=Settings!$A$31),($A169=Settings!$A$32),ISERROR(VLOOKUP($B169,SportslineData!$AD:$AK,7,0))),"",ROUND(VLOOKUP($B169,SportslineData!$AD:$AK,7,0),0))</f>
        <v/>
      </c>
      <c r="R169" s="117"/>
      <c r="S169" s="33"/>
      <c r="T169" s="38">
        <f>IF(ISERROR(ROUND((((((ROUNDDOWN((D169/5),0)*Settings!$F$7)+(E169*Settings!$I$7))+(F169*Settings!$I$11))+(ROUNDDOWN((G169/5),0)*Settings!$F$11))+(H169*Settings!$F$12)),1)),0,ROUND((((((ROUNDDOWN((D169/5),0)*Settings!$F$7)+(E169*Settings!$I$7))+(F169*Settings!$I$11))+(ROUNDDOWN((G169/5),0)*Settings!$F$11))+(H169*Settings!$F$12)),1))</f>
        <v>0</v>
      </c>
      <c r="U169" s="38">
        <f>IF(ISERROR(ROUND((((((ROUNDDOWN((I169/5),0)*Settings!$F$7)+(J169*Settings!$I$7))+(K169*Settings!$I$11))+(ROUNDDOWN((L169/5),0)*Settings!$F$11))+(M169*Settings!$F$12)),1)),0,ROUND((((((ROUNDDOWN((I169/5),0)*Settings!$F$7)+(J169*Settings!$I$7))+(K169*Settings!$I$11))+(ROUNDDOWN((L169/5),0)*Settings!$F$11))+(M169*Settings!$F$12)),1))</f>
        <v>0</v>
      </c>
      <c r="V169" s="38">
        <f>IF((N169=""),0,((((N169*Settings!$I$11)+(ROUND((O169/5),0)*Settings!$F$11))+(P169*Settings!$F$12))+(Q169*Settings!$F$15)))</f>
        <v>0</v>
      </c>
      <c r="W169" s="66">
        <f>ROUND((((T169*Settings!$B$21)+(U169*Settings!$B$22))+(V169*Settings!$B$23)),1)</f>
        <v>0</v>
      </c>
      <c r="X169" s="66">
        <f>IF(ISERROR(VLOOKUP(RANK(W169,W$4:W$182),X$4:X168,1,0)),RANK(W169,W$4:W$182),IF(ISERROR(VLOOKUP((RANK(W169,W$4:W$182)+1),X$4:X168,1,0)),(RANK(W169,W$4:W$182)+1),IF(ISERROR(VLOOKUP((RANK(W169,W$4:W$182)+2),X$4:X168,1,0)),(RANK(W169,W$4:W$182)+2),(RANK(W169,W$4:W$182)+3))))</f>
        <v>157</v>
      </c>
      <c r="Y169" t="str">
        <f t="shared" si="17"/>
        <v/>
      </c>
    </row>
    <row r="170" spans="1:25" ht="12.75" customHeight="1">
      <c r="A170" s="33">
        <f>ESPNData!AH309</f>
        <v>0</v>
      </c>
      <c r="B170" s="33" t="str">
        <f t="shared" si="15"/>
        <v/>
      </c>
      <c r="C170" s="64" t="e">
        <f t="shared" si="16"/>
        <v>#VALUE!</v>
      </c>
      <c r="D170" s="117" t="str">
        <f>IF(OR(($A170=Settings!$A$31),($A170=Settings!$A$32),ISERROR(VLOOKUP($B170,FFTodayData!$AB:$AK,8,0))),"",VLOOKUP($B170,FFTodayData!$AB:$AK,8,0))</f>
        <v/>
      </c>
      <c r="E170" s="33" t="str">
        <f>IF(OR(($A170=Settings!$A$31),($A170=Settings!$A$32),ISERROR(VLOOKUP($B170,FFTodayData!$AB:$AK,9,0))),"",VLOOKUP($B170,FFTodayData!$AB:$AK,9,0))</f>
        <v/>
      </c>
      <c r="F170" s="33" t="str">
        <f>IF(OR(($A170=Settings!$A$31),($A170=Settings!$A$32),ISERROR(VLOOKUP($B170,FFTodayData!$AB:$AK,4,0))),"",VLOOKUP($B170,FFTodayData!$AB:$AK,4,0))</f>
        <v/>
      </c>
      <c r="G170" s="33" t="str">
        <f>IF(OR(($A170=Settings!$A$31),($A170=Settings!$A$32),ISERROR(VLOOKUP($B170,FFTodayData!$AB:$AK,5,0))),"",VLOOKUP($B170,FFTodayData!$AB:$AK,5,0))</f>
        <v/>
      </c>
      <c r="H170" s="64" t="str">
        <f>IF(OR(($A170=Settings!$A$31),($A170=Settings!$A$32),ISERROR(VLOOKUP($B170,FFTodayData!$AB:$AK,6,0))),"",VLOOKUP($B170,FFTodayData!$AB:$AK,6,0))</f>
        <v/>
      </c>
      <c r="I170" s="117" t="str">
        <f>IF(ISERROR(VLOOKUP($A170,ESPNData!$AH:$AU,9,0)),"",VLOOKUP($A170,ESPNData!$AH:$AU,9,0))</f>
        <v/>
      </c>
      <c r="J170" s="33" t="str">
        <f>IF(ISERROR(VLOOKUP($A170,ESPNData!$AH:$AU,10,0)),"",VLOOKUP($A170,ESPNData!$AH:$AU,10,0))</f>
        <v/>
      </c>
      <c r="K170" s="33" t="str">
        <f>IF(ISERROR(VLOOKUP($A170,ESPNData!$AH:$AU,11,0)),"",VLOOKUP($A170,ESPNData!$AH:$AU,11,0))</f>
        <v/>
      </c>
      <c r="L170" s="33" t="str">
        <f>IF(ISERROR(VLOOKUP($A170,ESPNData!$AH:$AU,12,0)),"",VLOOKUP($A170,ESPNData!$AH:$AU,12,0))</f>
        <v/>
      </c>
      <c r="M170" s="64" t="str">
        <f>IF(ISERROR(VLOOKUP($A170,ESPNData!$AH:$AU,13,0)),"",VLOOKUP($A170,ESPNData!$AH:$AU,13,0))</f>
        <v/>
      </c>
      <c r="N170" s="117" t="str">
        <f>IF(OR(($A170=Settings!$A$31),($A170=Settings!$A$32),ISERROR(VLOOKUP($B170,SportslineData!$AD:$AK,3,0))),"",ROUND(VLOOKUP($B170,SportslineData!$AD:$AK,3,0),0))</f>
        <v/>
      </c>
      <c r="O170" s="33" t="str">
        <f>IF(OR(($A170=Settings!$A$31),($A170=Settings!$A$32),ISERROR(VLOOKUP($B170,SportslineData!$AD:$AK,4,0))),"",VLOOKUP($B170,SportslineData!$AD:$AK,4,0))</f>
        <v/>
      </c>
      <c r="P170" s="33" t="str">
        <f>IF(OR(($A170=Settings!$A$31),($A170=Settings!$A$32),ISERROR(VLOOKUP($B170,SportslineData!$AD:$AK,6,0))),"",ROUND(VLOOKUP($B170,SportslineData!$AD:$AK,6,0),0))</f>
        <v/>
      </c>
      <c r="Q170" s="64" t="str">
        <f>IF(OR(($A170=Settings!$A$31),($A170=Settings!$A$32),ISERROR(VLOOKUP($B170,SportslineData!$AD:$AK,7,0))),"",ROUND(VLOOKUP($B170,SportslineData!$AD:$AK,7,0),0))</f>
        <v/>
      </c>
      <c r="R170" s="117"/>
      <c r="S170" s="33"/>
      <c r="T170" s="38">
        <f>IF(ISERROR(ROUND((((((ROUNDDOWN((D170/5),0)*Settings!$F$7)+(E170*Settings!$I$7))+(F170*Settings!$I$11))+(ROUNDDOWN((G170/5),0)*Settings!$F$11))+(H170*Settings!$F$12)),1)),0,ROUND((((((ROUNDDOWN((D170/5),0)*Settings!$F$7)+(E170*Settings!$I$7))+(F170*Settings!$I$11))+(ROUNDDOWN((G170/5),0)*Settings!$F$11))+(H170*Settings!$F$12)),1))</f>
        <v>0</v>
      </c>
      <c r="U170" s="38">
        <f>IF(ISERROR(ROUND((((((ROUNDDOWN((I170/5),0)*Settings!$F$7)+(J170*Settings!$I$7))+(K170*Settings!$I$11))+(ROUNDDOWN((L170/5),0)*Settings!$F$11))+(M170*Settings!$F$12)),1)),0,ROUND((((((ROUNDDOWN((I170/5),0)*Settings!$F$7)+(J170*Settings!$I$7))+(K170*Settings!$I$11))+(ROUNDDOWN((L170/5),0)*Settings!$F$11))+(M170*Settings!$F$12)),1))</f>
        <v>0</v>
      </c>
      <c r="V170" s="38">
        <f>IF((N170=""),0,((((N170*Settings!$I$11)+(ROUND((O170/5),0)*Settings!$F$11))+(P170*Settings!$F$12))+(Q170*Settings!$F$15)))</f>
        <v>0</v>
      </c>
      <c r="W170" s="66">
        <f>ROUND((((T170*Settings!$B$21)+(U170*Settings!$B$22))+(V170*Settings!$B$23)),1)</f>
        <v>0</v>
      </c>
      <c r="X170" s="66">
        <f>IF(ISERROR(VLOOKUP(RANK(W170,W$4:W$182),X$4:X169,1,0)),RANK(W170,W$4:W$182),IF(ISERROR(VLOOKUP((RANK(W170,W$4:W$182)+1),X$4:X169,1,0)),(RANK(W170,W$4:W$182)+1),IF(ISERROR(VLOOKUP((RANK(W170,W$4:W$182)+2),X$4:X169,1,0)),(RANK(W170,W$4:W$182)+2),(RANK(W170,W$4:W$182)+3))))</f>
        <v>157</v>
      </c>
      <c r="Y170" t="str">
        <f t="shared" si="17"/>
        <v/>
      </c>
    </row>
    <row r="171" spans="1:25" ht="12.75" customHeight="1">
      <c r="A171" s="33">
        <f>ESPNData!AH310</f>
        <v>0</v>
      </c>
      <c r="B171" s="33" t="str">
        <f t="shared" si="15"/>
        <v/>
      </c>
      <c r="C171" s="64" t="e">
        <f t="shared" si="16"/>
        <v>#VALUE!</v>
      </c>
      <c r="D171" s="117" t="str">
        <f>IF(OR(($A171=Settings!$A$31),($A171=Settings!$A$32),ISERROR(VLOOKUP($B171,FFTodayData!$AB:$AK,8,0))),"",VLOOKUP($B171,FFTodayData!$AB:$AK,8,0))</f>
        <v/>
      </c>
      <c r="E171" s="33" t="str">
        <f>IF(OR(($A171=Settings!$A$31),($A171=Settings!$A$32),ISERROR(VLOOKUP($B171,FFTodayData!$AB:$AK,9,0))),"",VLOOKUP($B171,FFTodayData!$AB:$AK,9,0))</f>
        <v/>
      </c>
      <c r="F171" s="33" t="str">
        <f>IF(OR(($A171=Settings!$A$31),($A171=Settings!$A$32),ISERROR(VLOOKUP($B171,FFTodayData!$AB:$AK,4,0))),"",VLOOKUP($B171,FFTodayData!$AB:$AK,4,0))</f>
        <v/>
      </c>
      <c r="G171" s="33" t="str">
        <f>IF(OR(($A171=Settings!$A$31),($A171=Settings!$A$32),ISERROR(VLOOKUP($B171,FFTodayData!$AB:$AK,5,0))),"",VLOOKUP($B171,FFTodayData!$AB:$AK,5,0))</f>
        <v/>
      </c>
      <c r="H171" s="64" t="str">
        <f>IF(OR(($A171=Settings!$A$31),($A171=Settings!$A$32),ISERROR(VLOOKUP($B171,FFTodayData!$AB:$AK,6,0))),"",VLOOKUP($B171,FFTodayData!$AB:$AK,6,0))</f>
        <v/>
      </c>
      <c r="I171" s="117" t="str">
        <f>IF(ISERROR(VLOOKUP($A171,ESPNData!$AH:$AU,9,0)),"",VLOOKUP($A171,ESPNData!$AH:$AU,9,0))</f>
        <v/>
      </c>
      <c r="J171" s="33" t="str">
        <f>IF(ISERROR(VLOOKUP($A171,ESPNData!$AH:$AU,10,0)),"",VLOOKUP($A171,ESPNData!$AH:$AU,10,0))</f>
        <v/>
      </c>
      <c r="K171" s="33" t="str">
        <f>IF(ISERROR(VLOOKUP($A171,ESPNData!$AH:$AU,11,0)),"",VLOOKUP($A171,ESPNData!$AH:$AU,11,0))</f>
        <v/>
      </c>
      <c r="L171" s="33" t="str">
        <f>IF(ISERROR(VLOOKUP($A171,ESPNData!$AH:$AU,12,0)),"",VLOOKUP($A171,ESPNData!$AH:$AU,12,0))</f>
        <v/>
      </c>
      <c r="M171" s="64" t="str">
        <f>IF(ISERROR(VLOOKUP($A171,ESPNData!$AH:$AU,13,0)),"",VLOOKUP($A171,ESPNData!$AH:$AU,13,0))</f>
        <v/>
      </c>
      <c r="N171" s="117" t="str">
        <f>IF(OR(($A171=Settings!$A$31),($A171=Settings!$A$32),ISERROR(VLOOKUP($B171,SportslineData!$AD:$AK,3,0))),"",ROUND(VLOOKUP($B171,SportslineData!$AD:$AK,3,0),0))</f>
        <v/>
      </c>
      <c r="O171" s="33" t="str">
        <f>IF(OR(($A171=Settings!$A$31),($A171=Settings!$A$32),ISERROR(VLOOKUP($B171,SportslineData!$AD:$AK,4,0))),"",VLOOKUP($B171,SportslineData!$AD:$AK,4,0))</f>
        <v/>
      </c>
      <c r="P171" s="33" t="str">
        <f>IF(OR(($A171=Settings!$A$31),($A171=Settings!$A$32),ISERROR(VLOOKUP($B171,SportslineData!$AD:$AK,6,0))),"",ROUND(VLOOKUP($B171,SportslineData!$AD:$AK,6,0),0))</f>
        <v/>
      </c>
      <c r="Q171" s="64" t="str">
        <f>IF(OR(($A171=Settings!$A$31),($A171=Settings!$A$32),ISERROR(VLOOKUP($B171,SportslineData!$AD:$AK,7,0))),"",ROUND(VLOOKUP($B171,SportslineData!$AD:$AK,7,0),0))</f>
        <v/>
      </c>
      <c r="R171" s="117"/>
      <c r="S171" s="33"/>
      <c r="T171" s="38">
        <f>IF(ISERROR(ROUND((((((ROUNDDOWN((D171/5),0)*Settings!$F$7)+(E171*Settings!$I$7))+(F171*Settings!$I$11))+(ROUNDDOWN((G171/5),0)*Settings!$F$11))+(H171*Settings!$F$12)),1)),0,ROUND((((((ROUNDDOWN((D171/5),0)*Settings!$F$7)+(E171*Settings!$I$7))+(F171*Settings!$I$11))+(ROUNDDOWN((G171/5),0)*Settings!$F$11))+(H171*Settings!$F$12)),1))</f>
        <v>0</v>
      </c>
      <c r="U171" s="38">
        <f>IF(ISERROR(ROUND((((((ROUNDDOWN((I171/5),0)*Settings!$F$7)+(J171*Settings!$I$7))+(K171*Settings!$I$11))+(ROUNDDOWN((L171/5),0)*Settings!$F$11))+(M171*Settings!$F$12)),1)),0,ROUND((((((ROUNDDOWN((I171/5),0)*Settings!$F$7)+(J171*Settings!$I$7))+(K171*Settings!$I$11))+(ROUNDDOWN((L171/5),0)*Settings!$F$11))+(M171*Settings!$F$12)),1))</f>
        <v>0</v>
      </c>
      <c r="V171" s="38">
        <f>IF((N171=""),0,((((N171*Settings!$I$11)+(ROUND((O171/5),0)*Settings!$F$11))+(P171*Settings!$F$12))+(Q171*Settings!$F$15)))</f>
        <v>0</v>
      </c>
      <c r="W171" s="66">
        <f>ROUND((((T171*Settings!$B$21)+(U171*Settings!$B$22))+(V171*Settings!$B$23)),1)</f>
        <v>0</v>
      </c>
      <c r="X171" s="66">
        <f>IF(ISERROR(VLOOKUP(RANK(W171,W$4:W$182),X$4:X170,1,0)),RANK(W171,W$4:W$182),IF(ISERROR(VLOOKUP((RANK(W171,W$4:W$182)+1),X$4:X170,1,0)),(RANK(W171,W$4:W$182)+1),IF(ISERROR(VLOOKUP((RANK(W171,W$4:W$182)+2),X$4:X170,1,0)),(RANK(W171,W$4:W$182)+2),(RANK(W171,W$4:W$182)+3))))</f>
        <v>157</v>
      </c>
      <c r="Y171" t="str">
        <f t="shared" si="17"/>
        <v/>
      </c>
    </row>
    <row r="172" spans="1:25" ht="12.75" customHeight="1">
      <c r="A172" s="33">
        <f>ESPNData!AH311</f>
        <v>0</v>
      </c>
      <c r="B172" s="33" t="str">
        <f t="shared" si="15"/>
        <v/>
      </c>
      <c r="C172" s="64" t="e">
        <f t="shared" si="16"/>
        <v>#VALUE!</v>
      </c>
      <c r="D172" s="117" t="str">
        <f>IF(OR(($A172=Settings!$A$31),($A172=Settings!$A$32),ISERROR(VLOOKUP($B172,FFTodayData!$AB:$AK,8,0))),"",VLOOKUP($B172,FFTodayData!$AB:$AK,8,0))</f>
        <v/>
      </c>
      <c r="E172" s="33" t="str">
        <f>IF(OR(($A172=Settings!$A$31),($A172=Settings!$A$32),ISERROR(VLOOKUP($B172,FFTodayData!$AB:$AK,9,0))),"",VLOOKUP($B172,FFTodayData!$AB:$AK,9,0))</f>
        <v/>
      </c>
      <c r="F172" s="33" t="str">
        <f>IF(OR(($A172=Settings!$A$31),($A172=Settings!$A$32),ISERROR(VLOOKUP($B172,FFTodayData!$AB:$AK,4,0))),"",VLOOKUP($B172,FFTodayData!$AB:$AK,4,0))</f>
        <v/>
      </c>
      <c r="G172" s="33" t="str">
        <f>IF(OR(($A172=Settings!$A$31),($A172=Settings!$A$32),ISERROR(VLOOKUP($B172,FFTodayData!$AB:$AK,5,0))),"",VLOOKUP($B172,FFTodayData!$AB:$AK,5,0))</f>
        <v/>
      </c>
      <c r="H172" s="64" t="str">
        <f>IF(OR(($A172=Settings!$A$31),($A172=Settings!$A$32),ISERROR(VLOOKUP($B172,FFTodayData!$AB:$AK,6,0))),"",VLOOKUP($B172,FFTodayData!$AB:$AK,6,0))</f>
        <v/>
      </c>
      <c r="I172" s="117" t="str">
        <f>IF(ISERROR(VLOOKUP($A172,ESPNData!$AH:$AU,9,0)),"",VLOOKUP($A172,ESPNData!$AH:$AU,9,0))</f>
        <v/>
      </c>
      <c r="J172" s="33" t="str">
        <f>IF(ISERROR(VLOOKUP($A172,ESPNData!$AH:$AU,10,0)),"",VLOOKUP($A172,ESPNData!$AH:$AU,10,0))</f>
        <v/>
      </c>
      <c r="K172" s="33" t="str">
        <f>IF(ISERROR(VLOOKUP($A172,ESPNData!$AH:$AU,11,0)),"",VLOOKUP($A172,ESPNData!$AH:$AU,11,0))</f>
        <v/>
      </c>
      <c r="L172" s="33" t="str">
        <f>IF(ISERROR(VLOOKUP($A172,ESPNData!$AH:$AU,12,0)),"",VLOOKUP($A172,ESPNData!$AH:$AU,12,0))</f>
        <v/>
      </c>
      <c r="M172" s="64" t="str">
        <f>IF(ISERROR(VLOOKUP($A172,ESPNData!$AH:$AU,13,0)),"",VLOOKUP($A172,ESPNData!$AH:$AU,13,0))</f>
        <v/>
      </c>
      <c r="N172" s="117" t="str">
        <f>IF(OR(($A172=Settings!$A$31),($A172=Settings!$A$32),ISERROR(VLOOKUP($B172,SportslineData!$AD:$AK,3,0))),"",ROUND(VLOOKUP($B172,SportslineData!$AD:$AK,3,0),0))</f>
        <v/>
      </c>
      <c r="O172" s="33" t="str">
        <f>IF(OR(($A172=Settings!$A$31),($A172=Settings!$A$32),ISERROR(VLOOKUP($B172,SportslineData!$AD:$AK,4,0))),"",VLOOKUP($B172,SportslineData!$AD:$AK,4,0))</f>
        <v/>
      </c>
      <c r="P172" s="33" t="str">
        <f>IF(OR(($A172=Settings!$A$31),($A172=Settings!$A$32),ISERROR(VLOOKUP($B172,SportslineData!$AD:$AK,6,0))),"",ROUND(VLOOKUP($B172,SportslineData!$AD:$AK,6,0),0))</f>
        <v/>
      </c>
      <c r="Q172" s="64" t="str">
        <f>IF(OR(($A172=Settings!$A$31),($A172=Settings!$A$32),ISERROR(VLOOKUP($B172,SportslineData!$AD:$AK,7,0))),"",ROUND(VLOOKUP($B172,SportslineData!$AD:$AK,7,0),0))</f>
        <v/>
      </c>
      <c r="R172" s="117"/>
      <c r="S172" s="33"/>
      <c r="T172" s="38">
        <f>IF(ISERROR(ROUND((((((ROUNDDOWN((D172/5),0)*Settings!$F$7)+(E172*Settings!$I$7))+(F172*Settings!$I$11))+(ROUNDDOWN((G172/5),0)*Settings!$F$11))+(H172*Settings!$F$12)),1)),0,ROUND((((((ROUNDDOWN((D172/5),0)*Settings!$F$7)+(E172*Settings!$I$7))+(F172*Settings!$I$11))+(ROUNDDOWN((G172/5),0)*Settings!$F$11))+(H172*Settings!$F$12)),1))</f>
        <v>0</v>
      </c>
      <c r="U172" s="38">
        <f>IF(ISERROR(ROUND((((((ROUNDDOWN((I172/5),0)*Settings!$F$7)+(J172*Settings!$I$7))+(K172*Settings!$I$11))+(ROUNDDOWN((L172/5),0)*Settings!$F$11))+(M172*Settings!$F$12)),1)),0,ROUND((((((ROUNDDOWN((I172/5),0)*Settings!$F$7)+(J172*Settings!$I$7))+(K172*Settings!$I$11))+(ROUNDDOWN((L172/5),0)*Settings!$F$11))+(M172*Settings!$F$12)),1))</f>
        <v>0</v>
      </c>
      <c r="V172" s="38">
        <f>IF((N172=""),0,((((N172*Settings!$I$11)+(ROUND((O172/5),0)*Settings!$F$11))+(P172*Settings!$F$12))+(Q172*Settings!$F$15)))</f>
        <v>0</v>
      </c>
      <c r="W172" s="66">
        <f>ROUND((((T172*Settings!$B$21)+(U172*Settings!$B$22))+(V172*Settings!$B$23)),1)</f>
        <v>0</v>
      </c>
      <c r="X172" s="66">
        <f>IF(ISERROR(VLOOKUP(RANK(W172,W$4:W$182),X$4:X171,1,0)),RANK(W172,W$4:W$182),IF(ISERROR(VLOOKUP((RANK(W172,W$4:W$182)+1),X$4:X171,1,0)),(RANK(W172,W$4:W$182)+1),IF(ISERROR(VLOOKUP((RANK(W172,W$4:W$182)+2),X$4:X171,1,0)),(RANK(W172,W$4:W$182)+2),(RANK(W172,W$4:W$182)+3))))</f>
        <v>157</v>
      </c>
      <c r="Y172" t="str">
        <f t="shared" si="17"/>
        <v/>
      </c>
    </row>
    <row r="173" spans="1:25" ht="12.75" customHeight="1">
      <c r="A173" s="33">
        <f>ESPNData!AH312</f>
        <v>0</v>
      </c>
      <c r="B173" s="33" t="str">
        <f t="shared" si="15"/>
        <v/>
      </c>
      <c r="C173" s="64" t="e">
        <f t="shared" si="16"/>
        <v>#VALUE!</v>
      </c>
      <c r="D173" s="117" t="str">
        <f>IF(OR(($A173=Settings!$A$31),($A173=Settings!$A$32),ISERROR(VLOOKUP($B173,FFTodayData!$AB:$AK,8,0))),"",VLOOKUP($B173,FFTodayData!$AB:$AK,8,0))</f>
        <v/>
      </c>
      <c r="E173" s="33" t="str">
        <f>IF(OR(($A173=Settings!$A$31),($A173=Settings!$A$32),ISERROR(VLOOKUP($B173,FFTodayData!$AB:$AK,9,0))),"",VLOOKUP($B173,FFTodayData!$AB:$AK,9,0))</f>
        <v/>
      </c>
      <c r="F173" s="33" t="str">
        <f>IF(OR(($A173=Settings!$A$31),($A173=Settings!$A$32),ISERROR(VLOOKUP($B173,FFTodayData!$AB:$AK,4,0))),"",VLOOKUP($B173,FFTodayData!$AB:$AK,4,0))</f>
        <v/>
      </c>
      <c r="G173" s="33" t="str">
        <f>IF(OR(($A173=Settings!$A$31),($A173=Settings!$A$32),ISERROR(VLOOKUP($B173,FFTodayData!$AB:$AK,5,0))),"",VLOOKUP($B173,FFTodayData!$AB:$AK,5,0))</f>
        <v/>
      </c>
      <c r="H173" s="64" t="str">
        <f>IF(OR(($A173=Settings!$A$31),($A173=Settings!$A$32),ISERROR(VLOOKUP($B173,FFTodayData!$AB:$AK,6,0))),"",VLOOKUP($B173,FFTodayData!$AB:$AK,6,0))</f>
        <v/>
      </c>
      <c r="I173" s="117" t="str">
        <f>IF(ISERROR(VLOOKUP($A173,ESPNData!$AH:$AU,9,0)),"",VLOOKUP($A173,ESPNData!$AH:$AU,9,0))</f>
        <v/>
      </c>
      <c r="J173" s="33" t="str">
        <f>IF(ISERROR(VLOOKUP($A173,ESPNData!$AH:$AU,10,0)),"",VLOOKUP($A173,ESPNData!$AH:$AU,10,0))</f>
        <v/>
      </c>
      <c r="K173" s="33" t="str">
        <f>IF(ISERROR(VLOOKUP($A173,ESPNData!$AH:$AU,11,0)),"",VLOOKUP($A173,ESPNData!$AH:$AU,11,0))</f>
        <v/>
      </c>
      <c r="L173" s="33" t="str">
        <f>IF(ISERROR(VLOOKUP($A173,ESPNData!$AH:$AU,12,0)),"",VLOOKUP($A173,ESPNData!$AH:$AU,12,0))</f>
        <v/>
      </c>
      <c r="M173" s="64" t="str">
        <f>IF(ISERROR(VLOOKUP($A173,ESPNData!$AH:$AU,13,0)),"",VLOOKUP($A173,ESPNData!$AH:$AU,13,0))</f>
        <v/>
      </c>
      <c r="N173" s="117" t="str">
        <f>IF(OR(($A173=Settings!$A$31),($A173=Settings!$A$32),ISERROR(VLOOKUP($B173,SportslineData!$AD:$AK,3,0))),"",ROUND(VLOOKUP($B173,SportslineData!$AD:$AK,3,0),0))</f>
        <v/>
      </c>
      <c r="O173" s="33" t="str">
        <f>IF(OR(($A173=Settings!$A$31),($A173=Settings!$A$32),ISERROR(VLOOKUP($B173,SportslineData!$AD:$AK,4,0))),"",VLOOKUP($B173,SportslineData!$AD:$AK,4,0))</f>
        <v/>
      </c>
      <c r="P173" s="33" t="str">
        <f>IF(OR(($A173=Settings!$A$31),($A173=Settings!$A$32),ISERROR(VLOOKUP($B173,SportslineData!$AD:$AK,6,0))),"",ROUND(VLOOKUP($B173,SportslineData!$AD:$AK,6,0),0))</f>
        <v/>
      </c>
      <c r="Q173" s="64" t="str">
        <f>IF(OR(($A173=Settings!$A$31),($A173=Settings!$A$32),ISERROR(VLOOKUP($B173,SportslineData!$AD:$AK,7,0))),"",ROUND(VLOOKUP($B173,SportslineData!$AD:$AK,7,0),0))</f>
        <v/>
      </c>
      <c r="R173" s="117"/>
      <c r="S173" s="33"/>
      <c r="T173" s="38">
        <f>IF(ISERROR(ROUND((((((ROUNDDOWN((D173/5),0)*Settings!$F$7)+(E173*Settings!$I$7))+(F173*Settings!$I$11))+(ROUNDDOWN((G173/5),0)*Settings!$F$11))+(H173*Settings!$F$12)),1)),0,ROUND((((((ROUNDDOWN((D173/5),0)*Settings!$F$7)+(E173*Settings!$I$7))+(F173*Settings!$I$11))+(ROUNDDOWN((G173/5),0)*Settings!$F$11))+(H173*Settings!$F$12)),1))</f>
        <v>0</v>
      </c>
      <c r="U173" s="38">
        <f>IF(ISERROR(ROUND((((((ROUNDDOWN((I173/5),0)*Settings!$F$7)+(J173*Settings!$I$7))+(K173*Settings!$I$11))+(ROUNDDOWN((L173/5),0)*Settings!$F$11))+(M173*Settings!$F$12)),1)),0,ROUND((((((ROUNDDOWN((I173/5),0)*Settings!$F$7)+(J173*Settings!$I$7))+(K173*Settings!$I$11))+(ROUNDDOWN((L173/5),0)*Settings!$F$11))+(M173*Settings!$F$12)),1))</f>
        <v>0</v>
      </c>
      <c r="V173" s="38">
        <f>IF((N173=""),0,((((N173*Settings!$I$11)+(ROUND((O173/5),0)*Settings!$F$11))+(P173*Settings!$F$12))+(Q173*Settings!$F$15)))</f>
        <v>0</v>
      </c>
      <c r="W173" s="66">
        <f>ROUND((((T173*Settings!$B$21)+(U173*Settings!$B$22))+(V173*Settings!$B$23)),1)</f>
        <v>0</v>
      </c>
      <c r="X173" s="66">
        <f>IF(ISERROR(VLOOKUP(RANK(W173,W$4:W$182),X$4:X172,1,0)),RANK(W173,W$4:W$182),IF(ISERROR(VLOOKUP((RANK(W173,W$4:W$182)+1),X$4:X172,1,0)),(RANK(W173,W$4:W$182)+1),IF(ISERROR(VLOOKUP((RANK(W173,W$4:W$182)+2),X$4:X172,1,0)),(RANK(W173,W$4:W$182)+2),(RANK(W173,W$4:W$182)+3))))</f>
        <v>157</v>
      </c>
      <c r="Y173" t="str">
        <f t="shared" si="17"/>
        <v/>
      </c>
    </row>
    <row r="174" spans="1:25" ht="12.75" customHeight="1">
      <c r="A174" s="33">
        <f>ESPNData!AH313</f>
        <v>0</v>
      </c>
      <c r="B174" s="33" t="str">
        <f t="shared" si="15"/>
        <v/>
      </c>
      <c r="C174" s="64" t="e">
        <f t="shared" si="16"/>
        <v>#VALUE!</v>
      </c>
      <c r="D174" s="117" t="str">
        <f>IF(OR(($A174=Settings!$A$31),($A174=Settings!$A$32),ISERROR(VLOOKUP($B174,FFTodayData!$AB:$AK,8,0))),"",VLOOKUP($B174,FFTodayData!$AB:$AK,8,0))</f>
        <v/>
      </c>
      <c r="E174" s="33" t="str">
        <f>IF(OR(($A174=Settings!$A$31),($A174=Settings!$A$32),ISERROR(VLOOKUP($B174,FFTodayData!$AB:$AK,9,0))),"",VLOOKUP($B174,FFTodayData!$AB:$AK,9,0))</f>
        <v/>
      </c>
      <c r="F174" s="33" t="str">
        <f>IF(OR(($A174=Settings!$A$31),($A174=Settings!$A$32),ISERROR(VLOOKUP($B174,FFTodayData!$AB:$AK,4,0))),"",VLOOKUP($B174,FFTodayData!$AB:$AK,4,0))</f>
        <v/>
      </c>
      <c r="G174" s="33" t="str">
        <f>IF(OR(($A174=Settings!$A$31),($A174=Settings!$A$32),ISERROR(VLOOKUP($B174,FFTodayData!$AB:$AK,5,0))),"",VLOOKUP($B174,FFTodayData!$AB:$AK,5,0))</f>
        <v/>
      </c>
      <c r="H174" s="64" t="str">
        <f>IF(OR(($A174=Settings!$A$31),($A174=Settings!$A$32),ISERROR(VLOOKUP($B174,FFTodayData!$AB:$AK,6,0))),"",VLOOKUP($B174,FFTodayData!$AB:$AK,6,0))</f>
        <v/>
      </c>
      <c r="I174" s="117" t="str">
        <f>IF(ISERROR(VLOOKUP($A174,ESPNData!$AH:$AU,9,0)),"",VLOOKUP($A174,ESPNData!$AH:$AU,9,0))</f>
        <v/>
      </c>
      <c r="J174" s="33" t="str">
        <f>IF(ISERROR(VLOOKUP($A174,ESPNData!$AH:$AU,10,0)),"",VLOOKUP($A174,ESPNData!$AH:$AU,10,0))</f>
        <v/>
      </c>
      <c r="K174" s="33" t="str">
        <f>IF(ISERROR(VLOOKUP($A174,ESPNData!$AH:$AU,11,0)),"",VLOOKUP($A174,ESPNData!$AH:$AU,11,0))</f>
        <v/>
      </c>
      <c r="L174" s="33" t="str">
        <f>IF(ISERROR(VLOOKUP($A174,ESPNData!$AH:$AU,12,0)),"",VLOOKUP($A174,ESPNData!$AH:$AU,12,0))</f>
        <v/>
      </c>
      <c r="M174" s="64" t="str">
        <f>IF(ISERROR(VLOOKUP($A174,ESPNData!$AH:$AU,13,0)),"",VLOOKUP($A174,ESPNData!$AH:$AU,13,0))</f>
        <v/>
      </c>
      <c r="N174" s="117" t="str">
        <f>IF(OR(($A174=Settings!$A$31),($A174=Settings!$A$32),ISERROR(VLOOKUP($B174,SportslineData!$AD:$AK,3,0))),"",ROUND(VLOOKUP($B174,SportslineData!$AD:$AK,3,0),0))</f>
        <v/>
      </c>
      <c r="O174" s="33" t="str">
        <f>IF(OR(($A174=Settings!$A$31),($A174=Settings!$A$32),ISERROR(VLOOKUP($B174,SportslineData!$AD:$AK,4,0))),"",VLOOKUP($B174,SportslineData!$AD:$AK,4,0))</f>
        <v/>
      </c>
      <c r="P174" s="33" t="str">
        <f>IF(OR(($A174=Settings!$A$31),($A174=Settings!$A$32),ISERROR(VLOOKUP($B174,SportslineData!$AD:$AK,6,0))),"",ROUND(VLOOKUP($B174,SportslineData!$AD:$AK,6,0),0))</f>
        <v/>
      </c>
      <c r="Q174" s="64" t="str">
        <f>IF(OR(($A174=Settings!$A$31),($A174=Settings!$A$32),ISERROR(VLOOKUP($B174,SportslineData!$AD:$AK,7,0))),"",ROUND(VLOOKUP($B174,SportslineData!$AD:$AK,7,0),0))</f>
        <v/>
      </c>
      <c r="R174" s="117"/>
      <c r="S174" s="33"/>
      <c r="T174" s="38">
        <f>IF(ISERROR(ROUND((((((ROUNDDOWN((D174/5),0)*Settings!$F$7)+(E174*Settings!$I$7))+(F174*Settings!$I$11))+(ROUNDDOWN((G174/5),0)*Settings!$F$11))+(H174*Settings!$F$12)),1)),0,ROUND((((((ROUNDDOWN((D174/5),0)*Settings!$F$7)+(E174*Settings!$I$7))+(F174*Settings!$I$11))+(ROUNDDOWN((G174/5),0)*Settings!$F$11))+(H174*Settings!$F$12)),1))</f>
        <v>0</v>
      </c>
      <c r="U174" s="38">
        <f>IF(ISERROR(ROUND((((((ROUNDDOWN((I174/5),0)*Settings!$F$7)+(J174*Settings!$I$7))+(K174*Settings!$I$11))+(ROUNDDOWN((L174/5),0)*Settings!$F$11))+(M174*Settings!$F$12)),1)),0,ROUND((((((ROUNDDOWN((I174/5),0)*Settings!$F$7)+(J174*Settings!$I$7))+(K174*Settings!$I$11))+(ROUNDDOWN((L174/5),0)*Settings!$F$11))+(M174*Settings!$F$12)),1))</f>
        <v>0</v>
      </c>
      <c r="V174" s="38">
        <f>IF((N174=""),0,((((N174*Settings!$I$11)+(ROUND((O174/5),0)*Settings!$F$11))+(P174*Settings!$F$12))+(Q174*Settings!$F$15)))</f>
        <v>0</v>
      </c>
      <c r="W174" s="66">
        <f>ROUND((((T174*Settings!$B$21)+(U174*Settings!$B$22))+(V174*Settings!$B$23)),1)</f>
        <v>0</v>
      </c>
      <c r="X174" s="66">
        <f>IF(ISERROR(VLOOKUP(RANK(W174,W$4:W$182),X$4:X173,1,0)),RANK(W174,W$4:W$182),IF(ISERROR(VLOOKUP((RANK(W174,W$4:W$182)+1),X$4:X173,1,0)),(RANK(W174,W$4:W$182)+1),IF(ISERROR(VLOOKUP((RANK(W174,W$4:W$182)+2),X$4:X173,1,0)),(RANK(W174,W$4:W$182)+2),(RANK(W174,W$4:W$182)+3))))</f>
        <v>157</v>
      </c>
      <c r="Y174" t="str">
        <f t="shared" si="17"/>
        <v/>
      </c>
    </row>
    <row r="175" spans="1:25" ht="12.75" customHeight="1">
      <c r="A175" s="33">
        <f>ESPNData!AH314</f>
        <v>0</v>
      </c>
      <c r="B175" s="33" t="str">
        <f t="shared" si="15"/>
        <v/>
      </c>
      <c r="C175" s="64" t="e">
        <f t="shared" si="16"/>
        <v>#VALUE!</v>
      </c>
      <c r="D175" s="117" t="str">
        <f>IF(OR(($A175=Settings!$A$31),($A175=Settings!$A$32),ISERROR(VLOOKUP($B175,FFTodayData!$AB:$AK,8,0))),"",VLOOKUP($B175,FFTodayData!$AB:$AK,8,0))</f>
        <v/>
      </c>
      <c r="E175" s="33" t="str">
        <f>IF(OR(($A175=Settings!$A$31),($A175=Settings!$A$32),ISERROR(VLOOKUP($B175,FFTodayData!$AB:$AK,9,0))),"",VLOOKUP($B175,FFTodayData!$AB:$AK,9,0))</f>
        <v/>
      </c>
      <c r="F175" s="33" t="str">
        <f>IF(OR(($A175=Settings!$A$31),($A175=Settings!$A$32),ISERROR(VLOOKUP($B175,FFTodayData!$AB:$AK,4,0))),"",VLOOKUP($B175,FFTodayData!$AB:$AK,4,0))</f>
        <v/>
      </c>
      <c r="G175" s="33" t="str">
        <f>IF(OR(($A175=Settings!$A$31),($A175=Settings!$A$32),ISERROR(VLOOKUP($B175,FFTodayData!$AB:$AK,5,0))),"",VLOOKUP($B175,FFTodayData!$AB:$AK,5,0))</f>
        <v/>
      </c>
      <c r="H175" s="64" t="str">
        <f>IF(OR(($A175=Settings!$A$31),($A175=Settings!$A$32),ISERROR(VLOOKUP($B175,FFTodayData!$AB:$AK,6,0))),"",VLOOKUP($B175,FFTodayData!$AB:$AK,6,0))</f>
        <v/>
      </c>
      <c r="I175" s="117" t="str">
        <f>IF(ISERROR(VLOOKUP($A175,ESPNData!$AH:$AU,9,0)),"",VLOOKUP($A175,ESPNData!$AH:$AU,9,0))</f>
        <v/>
      </c>
      <c r="J175" s="33" t="str">
        <f>IF(ISERROR(VLOOKUP($A175,ESPNData!$AH:$AU,10,0)),"",VLOOKUP($A175,ESPNData!$AH:$AU,10,0))</f>
        <v/>
      </c>
      <c r="K175" s="33" t="str">
        <f>IF(ISERROR(VLOOKUP($A175,ESPNData!$AH:$AU,11,0)),"",VLOOKUP($A175,ESPNData!$AH:$AU,11,0))</f>
        <v/>
      </c>
      <c r="L175" s="33" t="str">
        <f>IF(ISERROR(VLOOKUP($A175,ESPNData!$AH:$AU,12,0)),"",VLOOKUP($A175,ESPNData!$AH:$AU,12,0))</f>
        <v/>
      </c>
      <c r="M175" s="64" t="str">
        <f>IF(ISERROR(VLOOKUP($A175,ESPNData!$AH:$AU,13,0)),"",VLOOKUP($A175,ESPNData!$AH:$AU,13,0))</f>
        <v/>
      </c>
      <c r="N175" s="117" t="str">
        <f>IF(OR(($A175=Settings!$A$31),($A175=Settings!$A$32),ISERROR(VLOOKUP($B175,SportslineData!$AD:$AK,3,0))),"",ROUND(VLOOKUP($B175,SportslineData!$AD:$AK,3,0),0))</f>
        <v/>
      </c>
      <c r="O175" s="33" t="str">
        <f>IF(OR(($A175=Settings!$A$31),($A175=Settings!$A$32),ISERROR(VLOOKUP($B175,SportslineData!$AD:$AK,4,0))),"",VLOOKUP($B175,SportslineData!$AD:$AK,4,0))</f>
        <v/>
      </c>
      <c r="P175" s="33" t="str">
        <f>IF(OR(($A175=Settings!$A$31),($A175=Settings!$A$32),ISERROR(VLOOKUP($B175,SportslineData!$AD:$AK,6,0))),"",ROUND(VLOOKUP($B175,SportslineData!$AD:$AK,6,0),0))</f>
        <v/>
      </c>
      <c r="Q175" s="64" t="str">
        <f>IF(OR(($A175=Settings!$A$31),($A175=Settings!$A$32),ISERROR(VLOOKUP($B175,SportslineData!$AD:$AK,7,0))),"",ROUND(VLOOKUP($B175,SportslineData!$AD:$AK,7,0),0))</f>
        <v/>
      </c>
      <c r="R175" s="117"/>
      <c r="S175" s="33"/>
      <c r="T175" s="38">
        <f>IF(ISERROR(ROUND((((((ROUNDDOWN((D175/5),0)*Settings!$F$7)+(E175*Settings!$I$7))+(F175*Settings!$I$11))+(ROUNDDOWN((G175/5),0)*Settings!$F$11))+(H175*Settings!$F$12)),1)),0,ROUND((((((ROUNDDOWN((D175/5),0)*Settings!$F$7)+(E175*Settings!$I$7))+(F175*Settings!$I$11))+(ROUNDDOWN((G175/5),0)*Settings!$F$11))+(H175*Settings!$F$12)),1))</f>
        <v>0</v>
      </c>
      <c r="U175" s="38">
        <f>IF(ISERROR(ROUND((((((ROUNDDOWN((I175/5),0)*Settings!$F$7)+(J175*Settings!$I$7))+(K175*Settings!$I$11))+(ROUNDDOWN((L175/5),0)*Settings!$F$11))+(M175*Settings!$F$12)),1)),0,ROUND((((((ROUNDDOWN((I175/5),0)*Settings!$F$7)+(J175*Settings!$I$7))+(K175*Settings!$I$11))+(ROUNDDOWN((L175/5),0)*Settings!$F$11))+(M175*Settings!$F$12)),1))</f>
        <v>0</v>
      </c>
      <c r="V175" s="38">
        <f>IF((N175=""),0,((((N175*Settings!$I$11)+(ROUND((O175/5),0)*Settings!$F$11))+(P175*Settings!$F$12))+(Q175*Settings!$F$15)))</f>
        <v>0</v>
      </c>
      <c r="W175" s="66">
        <f>ROUND((((T175*Settings!$B$21)+(U175*Settings!$B$22))+(V175*Settings!$B$23)),1)</f>
        <v>0</v>
      </c>
      <c r="X175" s="66">
        <f>IF(ISERROR(VLOOKUP(RANK(W175,W$4:W$182),X$4:X174,1,0)),RANK(W175,W$4:W$182),IF(ISERROR(VLOOKUP((RANK(W175,W$4:W$182)+1),X$4:X174,1,0)),(RANK(W175,W$4:W$182)+1),IF(ISERROR(VLOOKUP((RANK(W175,W$4:W$182)+2),X$4:X174,1,0)),(RANK(W175,W$4:W$182)+2),(RANK(W175,W$4:W$182)+3))))</f>
        <v>157</v>
      </c>
      <c r="Y175" t="str">
        <f t="shared" si="17"/>
        <v/>
      </c>
    </row>
    <row r="176" spans="1:25" ht="12.75" customHeight="1">
      <c r="A176" s="33">
        <f>ESPNData!AH315</f>
        <v>0</v>
      </c>
      <c r="B176" s="33" t="str">
        <f t="shared" si="15"/>
        <v/>
      </c>
      <c r="C176" s="64" t="e">
        <f t="shared" si="16"/>
        <v>#VALUE!</v>
      </c>
      <c r="D176" s="117" t="str">
        <f>IF(OR(($A176=Settings!$A$31),($A176=Settings!$A$32),ISERROR(VLOOKUP($B176,FFTodayData!$AB:$AK,8,0))),"",VLOOKUP($B176,FFTodayData!$AB:$AK,8,0))</f>
        <v/>
      </c>
      <c r="E176" s="33" t="str">
        <f>IF(OR(($A176=Settings!$A$31),($A176=Settings!$A$32),ISERROR(VLOOKUP($B176,FFTodayData!$AB:$AK,9,0))),"",VLOOKUP($B176,FFTodayData!$AB:$AK,9,0))</f>
        <v/>
      </c>
      <c r="F176" s="33" t="str">
        <f>IF(OR(($A176=Settings!$A$31),($A176=Settings!$A$32),ISERROR(VLOOKUP($B176,FFTodayData!$AB:$AK,4,0))),"",VLOOKUP($B176,FFTodayData!$AB:$AK,4,0))</f>
        <v/>
      </c>
      <c r="G176" s="33" t="str">
        <f>IF(OR(($A176=Settings!$A$31),($A176=Settings!$A$32),ISERROR(VLOOKUP($B176,FFTodayData!$AB:$AK,5,0))),"",VLOOKUP($B176,FFTodayData!$AB:$AK,5,0))</f>
        <v/>
      </c>
      <c r="H176" s="64" t="str">
        <f>IF(OR(($A176=Settings!$A$31),($A176=Settings!$A$32),ISERROR(VLOOKUP($B176,FFTodayData!$AB:$AK,6,0))),"",VLOOKUP($B176,FFTodayData!$AB:$AK,6,0))</f>
        <v/>
      </c>
      <c r="I176" s="117" t="str">
        <f>IF(ISERROR(VLOOKUP($A176,ESPNData!$AH:$AU,9,0)),"",VLOOKUP($A176,ESPNData!$AH:$AU,9,0))</f>
        <v/>
      </c>
      <c r="J176" s="33" t="str">
        <f>IF(ISERROR(VLOOKUP($A176,ESPNData!$AH:$AU,10,0)),"",VLOOKUP($A176,ESPNData!$AH:$AU,10,0))</f>
        <v/>
      </c>
      <c r="K176" s="33" t="str">
        <f>IF(ISERROR(VLOOKUP($A176,ESPNData!$AH:$AU,11,0)),"",VLOOKUP($A176,ESPNData!$AH:$AU,11,0))</f>
        <v/>
      </c>
      <c r="L176" s="33" t="str">
        <f>IF(ISERROR(VLOOKUP($A176,ESPNData!$AH:$AU,12,0)),"",VLOOKUP($A176,ESPNData!$AH:$AU,12,0))</f>
        <v/>
      </c>
      <c r="M176" s="64" t="str">
        <f>IF(ISERROR(VLOOKUP($A176,ESPNData!$AH:$AU,13,0)),"",VLOOKUP($A176,ESPNData!$AH:$AU,13,0))</f>
        <v/>
      </c>
      <c r="N176" s="117" t="str">
        <f>IF(OR(($A176=Settings!$A$31),($A176=Settings!$A$32),ISERROR(VLOOKUP($B176,SportslineData!$AD:$AK,3,0))),"",ROUND(VLOOKUP($B176,SportslineData!$AD:$AK,3,0),0))</f>
        <v/>
      </c>
      <c r="O176" s="33" t="str">
        <f>IF(OR(($A176=Settings!$A$31),($A176=Settings!$A$32),ISERROR(VLOOKUP($B176,SportslineData!$AD:$AK,4,0))),"",VLOOKUP($B176,SportslineData!$AD:$AK,4,0))</f>
        <v/>
      </c>
      <c r="P176" s="33" t="str">
        <f>IF(OR(($A176=Settings!$A$31),($A176=Settings!$A$32),ISERROR(VLOOKUP($B176,SportslineData!$AD:$AK,6,0))),"",ROUND(VLOOKUP($B176,SportslineData!$AD:$AK,6,0),0))</f>
        <v/>
      </c>
      <c r="Q176" s="64" t="str">
        <f>IF(OR(($A176=Settings!$A$31),($A176=Settings!$A$32),ISERROR(VLOOKUP($B176,SportslineData!$AD:$AK,7,0))),"",ROUND(VLOOKUP($B176,SportslineData!$AD:$AK,7,0),0))</f>
        <v/>
      </c>
      <c r="R176" s="117"/>
      <c r="S176" s="33"/>
      <c r="T176" s="38">
        <f>IF(ISERROR(ROUND((((((ROUNDDOWN((D176/5),0)*Settings!$F$7)+(E176*Settings!$I$7))+(F176*Settings!$I$11))+(ROUNDDOWN((G176/5),0)*Settings!$F$11))+(H176*Settings!$F$12)),1)),0,ROUND((((((ROUNDDOWN((D176/5),0)*Settings!$F$7)+(E176*Settings!$I$7))+(F176*Settings!$I$11))+(ROUNDDOWN((G176/5),0)*Settings!$F$11))+(H176*Settings!$F$12)),1))</f>
        <v>0</v>
      </c>
      <c r="U176" s="38">
        <f>IF(ISERROR(ROUND((((((ROUNDDOWN((I176/5),0)*Settings!$F$7)+(J176*Settings!$I$7))+(K176*Settings!$I$11))+(ROUNDDOWN((L176/5),0)*Settings!$F$11))+(M176*Settings!$F$12)),1)),0,ROUND((((((ROUNDDOWN((I176/5),0)*Settings!$F$7)+(J176*Settings!$I$7))+(K176*Settings!$I$11))+(ROUNDDOWN((L176/5),0)*Settings!$F$11))+(M176*Settings!$F$12)),1))</f>
        <v>0</v>
      </c>
      <c r="V176" s="38">
        <f>IF((N176=""),0,((((N176*Settings!$I$11)+(ROUND((O176/5),0)*Settings!$F$11))+(P176*Settings!$F$12))+(Q176*Settings!$F$15)))</f>
        <v>0</v>
      </c>
      <c r="W176" s="66">
        <f>ROUND((((T176*Settings!$B$21)+(U176*Settings!$B$22))+(V176*Settings!$B$23)),1)</f>
        <v>0</v>
      </c>
      <c r="X176" s="66">
        <f>IF(ISERROR(VLOOKUP(RANK(W176,W$4:W$182),X$4:X175,1,0)),RANK(W176,W$4:W$182),IF(ISERROR(VLOOKUP((RANK(W176,W$4:W$182)+1),X$4:X175,1,0)),(RANK(W176,W$4:W$182)+1),IF(ISERROR(VLOOKUP((RANK(W176,W$4:W$182)+2),X$4:X175,1,0)),(RANK(W176,W$4:W$182)+2),(RANK(W176,W$4:W$182)+3))))</f>
        <v>157</v>
      </c>
      <c r="Y176" t="str">
        <f t="shared" si="17"/>
        <v/>
      </c>
    </row>
    <row r="177" spans="1:25" ht="12.75" customHeight="1">
      <c r="A177" s="33">
        <f>ESPNData!AH316</f>
        <v>0</v>
      </c>
      <c r="B177" s="33" t="str">
        <f t="shared" si="15"/>
        <v/>
      </c>
      <c r="C177" s="64" t="e">
        <f t="shared" si="16"/>
        <v>#VALUE!</v>
      </c>
      <c r="D177" s="117" t="str">
        <f>IF(OR(($A177=Settings!$A$31),($A177=Settings!$A$32),ISERROR(VLOOKUP($B177,FFTodayData!$AB:$AK,8,0))),"",VLOOKUP($B177,FFTodayData!$AB:$AK,8,0))</f>
        <v/>
      </c>
      <c r="E177" s="33" t="str">
        <f>IF(OR(($A177=Settings!$A$31),($A177=Settings!$A$32),ISERROR(VLOOKUP($B177,FFTodayData!$AB:$AK,9,0))),"",VLOOKUP($B177,FFTodayData!$AB:$AK,9,0))</f>
        <v/>
      </c>
      <c r="F177" s="33" t="str">
        <f>IF(OR(($A177=Settings!$A$31),($A177=Settings!$A$32),ISERROR(VLOOKUP($B177,FFTodayData!$AB:$AK,4,0))),"",VLOOKUP($B177,FFTodayData!$AB:$AK,4,0))</f>
        <v/>
      </c>
      <c r="G177" s="33" t="str">
        <f>IF(OR(($A177=Settings!$A$31),($A177=Settings!$A$32),ISERROR(VLOOKUP($B177,FFTodayData!$AB:$AK,5,0))),"",VLOOKUP($B177,FFTodayData!$AB:$AK,5,0))</f>
        <v/>
      </c>
      <c r="H177" s="64" t="str">
        <f>IF(OR(($A177=Settings!$A$31),($A177=Settings!$A$32),ISERROR(VLOOKUP($B177,FFTodayData!$AB:$AK,6,0))),"",VLOOKUP($B177,FFTodayData!$AB:$AK,6,0))</f>
        <v/>
      </c>
      <c r="I177" s="117" t="str">
        <f>IF(ISERROR(VLOOKUP($A177,ESPNData!$AH:$AU,9,0)),"",VLOOKUP($A177,ESPNData!$AH:$AU,9,0))</f>
        <v/>
      </c>
      <c r="J177" s="33" t="str">
        <f>IF(ISERROR(VLOOKUP($A177,ESPNData!$AH:$AU,10,0)),"",VLOOKUP($A177,ESPNData!$AH:$AU,10,0))</f>
        <v/>
      </c>
      <c r="K177" s="33" t="str">
        <f>IF(ISERROR(VLOOKUP($A177,ESPNData!$AH:$AU,11,0)),"",VLOOKUP($A177,ESPNData!$AH:$AU,11,0))</f>
        <v/>
      </c>
      <c r="L177" s="33" t="str">
        <f>IF(ISERROR(VLOOKUP($A177,ESPNData!$AH:$AU,12,0)),"",VLOOKUP($A177,ESPNData!$AH:$AU,12,0))</f>
        <v/>
      </c>
      <c r="M177" s="64" t="str">
        <f>IF(ISERROR(VLOOKUP($A177,ESPNData!$AH:$AU,13,0)),"",VLOOKUP($A177,ESPNData!$AH:$AU,13,0))</f>
        <v/>
      </c>
      <c r="N177" s="117" t="str">
        <f>IF(OR(($A177=Settings!$A$31),($A177=Settings!$A$32),ISERROR(VLOOKUP($B177,SportslineData!$AD:$AK,3,0))),"",ROUND(VLOOKUP($B177,SportslineData!$AD:$AK,3,0),0))</f>
        <v/>
      </c>
      <c r="O177" s="33" t="str">
        <f>IF(OR(($A177=Settings!$A$31),($A177=Settings!$A$32),ISERROR(VLOOKUP($B177,SportslineData!$AD:$AK,4,0))),"",VLOOKUP($B177,SportslineData!$AD:$AK,4,0))</f>
        <v/>
      </c>
      <c r="P177" s="33" t="str">
        <f>IF(OR(($A177=Settings!$A$31),($A177=Settings!$A$32),ISERROR(VLOOKUP($B177,SportslineData!$AD:$AK,6,0))),"",ROUND(VLOOKUP($B177,SportslineData!$AD:$AK,6,0),0))</f>
        <v/>
      </c>
      <c r="Q177" s="64" t="str">
        <f>IF(OR(($A177=Settings!$A$31),($A177=Settings!$A$32),ISERROR(VLOOKUP($B177,SportslineData!$AD:$AK,7,0))),"",ROUND(VLOOKUP($B177,SportslineData!$AD:$AK,7,0),0))</f>
        <v/>
      </c>
      <c r="R177" s="117"/>
      <c r="S177" s="33"/>
      <c r="T177" s="38">
        <f>IF(ISERROR(ROUND((((((ROUNDDOWN((D177/5),0)*Settings!$F$7)+(E177*Settings!$I$7))+(F177*Settings!$I$11))+(ROUNDDOWN((G177/5),0)*Settings!$F$11))+(H177*Settings!$F$12)),1)),0,ROUND((((((ROUNDDOWN((D177/5),0)*Settings!$F$7)+(E177*Settings!$I$7))+(F177*Settings!$I$11))+(ROUNDDOWN((G177/5),0)*Settings!$F$11))+(H177*Settings!$F$12)),1))</f>
        <v>0</v>
      </c>
      <c r="U177" s="38">
        <f>IF(ISERROR(ROUND((((((ROUNDDOWN((I177/5),0)*Settings!$F$7)+(J177*Settings!$I$7))+(K177*Settings!$I$11))+(ROUNDDOWN((L177/5),0)*Settings!$F$11))+(M177*Settings!$F$12)),1)),0,ROUND((((((ROUNDDOWN((I177/5),0)*Settings!$F$7)+(J177*Settings!$I$7))+(K177*Settings!$I$11))+(ROUNDDOWN((L177/5),0)*Settings!$F$11))+(M177*Settings!$F$12)),1))</f>
        <v>0</v>
      </c>
      <c r="V177" s="38">
        <f>IF((N177=""),0,((((N177*Settings!$I$11)+(ROUND((O177/5),0)*Settings!$F$11))+(P177*Settings!$F$12))+(Q177*Settings!$F$15)))</f>
        <v>0</v>
      </c>
      <c r="W177" s="66">
        <f>ROUND((((T177*Settings!$B$21)+(U177*Settings!$B$22))+(V177*Settings!$B$23)),1)</f>
        <v>0</v>
      </c>
      <c r="X177" s="66">
        <f>IF(ISERROR(VLOOKUP(RANK(W177,W$4:W$182),X$4:X176,1,0)),RANK(W177,W$4:W$182),IF(ISERROR(VLOOKUP((RANK(W177,W$4:W$182)+1),X$4:X176,1,0)),(RANK(W177,W$4:W$182)+1),IF(ISERROR(VLOOKUP((RANK(W177,W$4:W$182)+2),X$4:X176,1,0)),(RANK(W177,W$4:W$182)+2),(RANK(W177,W$4:W$182)+3))))</f>
        <v>157</v>
      </c>
      <c r="Y177" t="str">
        <f t="shared" si="17"/>
        <v/>
      </c>
    </row>
    <row r="178" spans="1:25" ht="12.75" customHeight="1">
      <c r="A178" s="33">
        <f>ESPNData!AH317</f>
        <v>0</v>
      </c>
      <c r="B178" s="33" t="str">
        <f t="shared" si="15"/>
        <v/>
      </c>
      <c r="C178" s="64" t="e">
        <f t="shared" si="16"/>
        <v>#VALUE!</v>
      </c>
      <c r="D178" s="117" t="str">
        <f>IF(OR(($A178=Settings!$A$31),($A178=Settings!$A$32),ISERROR(VLOOKUP($B178,FFTodayData!$AB:$AK,8,0))),"",VLOOKUP($B178,FFTodayData!$AB:$AK,8,0))</f>
        <v/>
      </c>
      <c r="E178" s="33" t="str">
        <f>IF(OR(($A178=Settings!$A$31),($A178=Settings!$A$32),ISERROR(VLOOKUP($B178,FFTodayData!$AB:$AK,9,0))),"",VLOOKUP($B178,FFTodayData!$AB:$AK,9,0))</f>
        <v/>
      </c>
      <c r="F178" s="33" t="str">
        <f>IF(OR(($A178=Settings!$A$31),($A178=Settings!$A$32),ISERROR(VLOOKUP($B178,FFTodayData!$AB:$AK,4,0))),"",VLOOKUP($B178,FFTodayData!$AB:$AK,4,0))</f>
        <v/>
      </c>
      <c r="G178" s="33" t="str">
        <f>IF(OR(($A178=Settings!$A$31),($A178=Settings!$A$32),ISERROR(VLOOKUP($B178,FFTodayData!$AB:$AK,5,0))),"",VLOOKUP($B178,FFTodayData!$AB:$AK,5,0))</f>
        <v/>
      </c>
      <c r="H178" s="64" t="str">
        <f>IF(OR(($A178=Settings!$A$31),($A178=Settings!$A$32),ISERROR(VLOOKUP($B178,FFTodayData!$AB:$AK,6,0))),"",VLOOKUP($B178,FFTodayData!$AB:$AK,6,0))</f>
        <v/>
      </c>
      <c r="I178" s="117" t="str">
        <f>IF(ISERROR(VLOOKUP($A178,ESPNData!$AH:$AU,9,0)),"",VLOOKUP($A178,ESPNData!$AH:$AU,9,0))</f>
        <v/>
      </c>
      <c r="J178" s="33" t="str">
        <f>IF(ISERROR(VLOOKUP($A178,ESPNData!$AH:$AU,10,0)),"",VLOOKUP($A178,ESPNData!$AH:$AU,10,0))</f>
        <v/>
      </c>
      <c r="K178" s="33" t="str">
        <f>IF(ISERROR(VLOOKUP($A178,ESPNData!$AH:$AU,11,0)),"",VLOOKUP($A178,ESPNData!$AH:$AU,11,0))</f>
        <v/>
      </c>
      <c r="L178" s="33" t="str">
        <f>IF(ISERROR(VLOOKUP($A178,ESPNData!$AH:$AU,12,0)),"",VLOOKUP($A178,ESPNData!$AH:$AU,12,0))</f>
        <v/>
      </c>
      <c r="M178" s="64" t="str">
        <f>IF(ISERROR(VLOOKUP($A178,ESPNData!$AH:$AU,13,0)),"",VLOOKUP($A178,ESPNData!$AH:$AU,13,0))</f>
        <v/>
      </c>
      <c r="N178" s="117" t="str">
        <f>IF(OR(($A178=Settings!$A$31),($A178=Settings!$A$32),ISERROR(VLOOKUP($B178,SportslineData!$AD:$AK,3,0))),"",ROUND(VLOOKUP($B178,SportslineData!$AD:$AK,3,0),0))</f>
        <v/>
      </c>
      <c r="O178" s="33" t="str">
        <f>IF(OR(($A178=Settings!$A$31),($A178=Settings!$A$32),ISERROR(VLOOKUP($B178,SportslineData!$AD:$AK,4,0))),"",VLOOKUP($B178,SportslineData!$AD:$AK,4,0))</f>
        <v/>
      </c>
      <c r="P178" s="33" t="str">
        <f>IF(OR(($A178=Settings!$A$31),($A178=Settings!$A$32),ISERROR(VLOOKUP($B178,SportslineData!$AD:$AK,6,0))),"",ROUND(VLOOKUP($B178,SportslineData!$AD:$AK,6,0),0))</f>
        <v/>
      </c>
      <c r="Q178" s="64" t="str">
        <f>IF(OR(($A178=Settings!$A$31),($A178=Settings!$A$32),ISERROR(VLOOKUP($B178,SportslineData!$AD:$AK,7,0))),"",ROUND(VLOOKUP($B178,SportslineData!$AD:$AK,7,0),0))</f>
        <v/>
      </c>
      <c r="R178" s="117"/>
      <c r="S178" s="33"/>
      <c r="T178" s="38">
        <f>IF(ISERROR(ROUND((((((ROUNDDOWN((D178/5),0)*Settings!$F$7)+(E178*Settings!$I$7))+(F178*Settings!$I$11))+(ROUNDDOWN((G178/5),0)*Settings!$F$11))+(H178*Settings!$F$12)),1)),0,ROUND((((((ROUNDDOWN((D178/5),0)*Settings!$F$7)+(E178*Settings!$I$7))+(F178*Settings!$I$11))+(ROUNDDOWN((G178/5),0)*Settings!$F$11))+(H178*Settings!$F$12)),1))</f>
        <v>0</v>
      </c>
      <c r="U178" s="38">
        <f>IF(ISERROR(ROUND((((((ROUNDDOWN((I178/5),0)*Settings!$F$7)+(J178*Settings!$I$7))+(K178*Settings!$I$11))+(ROUNDDOWN((L178/5),0)*Settings!$F$11))+(M178*Settings!$F$12)),1)),0,ROUND((((((ROUNDDOWN((I178/5),0)*Settings!$F$7)+(J178*Settings!$I$7))+(K178*Settings!$I$11))+(ROUNDDOWN((L178/5),0)*Settings!$F$11))+(M178*Settings!$F$12)),1))</f>
        <v>0</v>
      </c>
      <c r="V178" s="38">
        <f>IF((N178=""),0,((((N178*Settings!$I$11)+(ROUND((O178/5),0)*Settings!$F$11))+(P178*Settings!$F$12))+(Q178*Settings!$F$15)))</f>
        <v>0</v>
      </c>
      <c r="W178" s="66">
        <f>ROUND((((T178*Settings!$B$21)+(U178*Settings!$B$22))+(V178*Settings!$B$23)),1)</f>
        <v>0</v>
      </c>
      <c r="X178" s="66">
        <f>IF(ISERROR(VLOOKUP(RANK(W178,W$4:W$182),X$4:X177,1,0)),RANK(W178,W$4:W$182),IF(ISERROR(VLOOKUP((RANK(W178,W$4:W$182)+1),X$4:X177,1,0)),(RANK(W178,W$4:W$182)+1),IF(ISERROR(VLOOKUP((RANK(W178,W$4:W$182)+2),X$4:X177,1,0)),(RANK(W178,W$4:W$182)+2),(RANK(W178,W$4:W$182)+3))))</f>
        <v>157</v>
      </c>
      <c r="Y178" t="str">
        <f t="shared" si="17"/>
        <v/>
      </c>
    </row>
    <row r="179" spans="1:25" ht="12.75" customHeight="1">
      <c r="A179" s="33">
        <f>ESPNData!AH318</f>
        <v>0</v>
      </c>
      <c r="B179" s="33" t="str">
        <f t="shared" si="15"/>
        <v/>
      </c>
      <c r="C179" s="64" t="e">
        <f t="shared" si="16"/>
        <v>#VALUE!</v>
      </c>
      <c r="D179" s="117" t="str">
        <f>IF(OR(($A179=Settings!$A$31),($A179=Settings!$A$32),ISERROR(VLOOKUP($B179,FFTodayData!$AB:$AK,8,0))),"",VLOOKUP($B179,FFTodayData!$AB:$AK,8,0))</f>
        <v/>
      </c>
      <c r="E179" s="33" t="str">
        <f>IF(OR(($A179=Settings!$A$31),($A179=Settings!$A$32),ISERROR(VLOOKUP($B179,FFTodayData!$AB:$AK,9,0))),"",VLOOKUP($B179,FFTodayData!$AB:$AK,9,0))</f>
        <v/>
      </c>
      <c r="F179" s="33" t="str">
        <f>IF(OR(($A179=Settings!$A$31),($A179=Settings!$A$32),ISERROR(VLOOKUP($B179,FFTodayData!$AB:$AK,4,0))),"",VLOOKUP($B179,FFTodayData!$AB:$AK,4,0))</f>
        <v/>
      </c>
      <c r="G179" s="33" t="str">
        <f>IF(OR(($A179=Settings!$A$31),($A179=Settings!$A$32),ISERROR(VLOOKUP($B179,FFTodayData!$AB:$AK,5,0))),"",VLOOKUP($B179,FFTodayData!$AB:$AK,5,0))</f>
        <v/>
      </c>
      <c r="H179" s="64" t="str">
        <f>IF(OR(($A179=Settings!$A$31),($A179=Settings!$A$32),ISERROR(VLOOKUP($B179,FFTodayData!$AB:$AK,6,0))),"",VLOOKUP($B179,FFTodayData!$AB:$AK,6,0))</f>
        <v/>
      </c>
      <c r="I179" s="117" t="str">
        <f>IF(ISERROR(VLOOKUP($A179,ESPNData!$AH:$AU,9,0)),"",VLOOKUP($A179,ESPNData!$AH:$AU,9,0))</f>
        <v/>
      </c>
      <c r="J179" s="33" t="str">
        <f>IF(ISERROR(VLOOKUP($A179,ESPNData!$AH:$AU,10,0)),"",VLOOKUP($A179,ESPNData!$AH:$AU,10,0))</f>
        <v/>
      </c>
      <c r="K179" s="33" t="str">
        <f>IF(ISERROR(VLOOKUP($A179,ESPNData!$AH:$AU,11,0)),"",VLOOKUP($A179,ESPNData!$AH:$AU,11,0))</f>
        <v/>
      </c>
      <c r="L179" s="33" t="str">
        <f>IF(ISERROR(VLOOKUP($A179,ESPNData!$AH:$AU,12,0)),"",VLOOKUP($A179,ESPNData!$AH:$AU,12,0))</f>
        <v/>
      </c>
      <c r="M179" s="64" t="str">
        <f>IF(ISERROR(VLOOKUP($A179,ESPNData!$AH:$AU,13,0)),"",VLOOKUP($A179,ESPNData!$AH:$AU,13,0))</f>
        <v/>
      </c>
      <c r="N179" s="117" t="str">
        <f>IF(OR(($A179=Settings!$A$31),($A179=Settings!$A$32),ISERROR(VLOOKUP($B179,SportslineData!$AD:$AK,3,0))),"",ROUND(VLOOKUP($B179,SportslineData!$AD:$AK,3,0),0))</f>
        <v/>
      </c>
      <c r="O179" s="33" t="str">
        <f>IF(OR(($A179=Settings!$A$31),($A179=Settings!$A$32),ISERROR(VLOOKUP($B179,SportslineData!$AD:$AK,4,0))),"",VLOOKUP($B179,SportslineData!$AD:$AK,4,0))</f>
        <v/>
      </c>
      <c r="P179" s="33" t="str">
        <f>IF(OR(($A179=Settings!$A$31),($A179=Settings!$A$32),ISERROR(VLOOKUP($B179,SportslineData!$AD:$AK,6,0))),"",ROUND(VLOOKUP($B179,SportslineData!$AD:$AK,6,0),0))</f>
        <v/>
      </c>
      <c r="Q179" s="64" t="str">
        <f>IF(OR(($A179=Settings!$A$31),($A179=Settings!$A$32),ISERROR(VLOOKUP($B179,SportslineData!$AD:$AK,7,0))),"",ROUND(VLOOKUP($B179,SportslineData!$AD:$AK,7,0),0))</f>
        <v/>
      </c>
      <c r="R179" s="117"/>
      <c r="S179" s="33"/>
      <c r="T179" s="38">
        <f>IF(ISERROR(ROUND((((((ROUNDDOWN((D179/5),0)*Settings!$F$7)+(E179*Settings!$I$7))+(F179*Settings!$I$11))+(ROUNDDOWN((G179/5),0)*Settings!$F$11))+(H179*Settings!$F$12)),1)),0,ROUND((((((ROUNDDOWN((D179/5),0)*Settings!$F$7)+(E179*Settings!$I$7))+(F179*Settings!$I$11))+(ROUNDDOWN((G179/5),0)*Settings!$F$11))+(H179*Settings!$F$12)),1))</f>
        <v>0</v>
      </c>
      <c r="U179" s="38">
        <f>IF(ISERROR(ROUND((((((ROUNDDOWN((I179/5),0)*Settings!$F$7)+(J179*Settings!$I$7))+(K179*Settings!$I$11))+(ROUNDDOWN((L179/5),0)*Settings!$F$11))+(M179*Settings!$F$12)),1)),0,ROUND((((((ROUNDDOWN((I179/5),0)*Settings!$F$7)+(J179*Settings!$I$7))+(K179*Settings!$I$11))+(ROUNDDOWN((L179/5),0)*Settings!$F$11))+(M179*Settings!$F$12)),1))</f>
        <v>0</v>
      </c>
      <c r="V179" s="38">
        <f>IF((N179=""),0,((((N179*Settings!$I$11)+(ROUND((O179/5),0)*Settings!$F$11))+(P179*Settings!$F$12))+(Q179*Settings!$F$15)))</f>
        <v>0</v>
      </c>
      <c r="W179" s="66">
        <f>ROUND((((T179*Settings!$B$21)+(U179*Settings!$B$22))+(V179*Settings!$B$23)),1)</f>
        <v>0</v>
      </c>
      <c r="X179" s="66">
        <f>IF(ISERROR(VLOOKUP(RANK(W179,W$4:W$182),X$4:X178,1,0)),RANK(W179,W$4:W$182),IF(ISERROR(VLOOKUP((RANK(W179,W$4:W$182)+1),X$4:X178,1,0)),(RANK(W179,W$4:W$182)+1),IF(ISERROR(VLOOKUP((RANK(W179,W$4:W$182)+2),X$4:X178,1,0)),(RANK(W179,W$4:W$182)+2),(RANK(W179,W$4:W$182)+3))))</f>
        <v>157</v>
      </c>
      <c r="Y179" t="str">
        <f t="shared" si="17"/>
        <v/>
      </c>
    </row>
    <row r="180" spans="1:25" ht="12.75" customHeight="1">
      <c r="A180" s="33">
        <f>ESPNData!AH319</f>
        <v>0</v>
      </c>
      <c r="B180" s="33" t="str">
        <f t="shared" si="15"/>
        <v/>
      </c>
      <c r="C180" s="64" t="e">
        <f t="shared" si="16"/>
        <v>#VALUE!</v>
      </c>
      <c r="D180" s="117" t="str">
        <f>IF(OR(($A180=Settings!$A$31),($A180=Settings!$A$32),ISERROR(VLOOKUP($B180,FFTodayData!$AB:$AK,8,0))),"",VLOOKUP($B180,FFTodayData!$AB:$AK,8,0))</f>
        <v/>
      </c>
      <c r="E180" s="33" t="str">
        <f>IF(OR(($A180=Settings!$A$31),($A180=Settings!$A$32),ISERROR(VLOOKUP($B180,FFTodayData!$AB:$AK,9,0))),"",VLOOKUP($B180,FFTodayData!$AB:$AK,9,0))</f>
        <v/>
      </c>
      <c r="F180" s="33" t="str">
        <f>IF(OR(($A180=Settings!$A$31),($A180=Settings!$A$32),ISERROR(VLOOKUP($B180,FFTodayData!$AB:$AK,4,0))),"",VLOOKUP($B180,FFTodayData!$AB:$AK,4,0))</f>
        <v/>
      </c>
      <c r="G180" s="33" t="str">
        <f>IF(OR(($A180=Settings!$A$31),($A180=Settings!$A$32),ISERROR(VLOOKUP($B180,FFTodayData!$AB:$AK,5,0))),"",VLOOKUP($B180,FFTodayData!$AB:$AK,5,0))</f>
        <v/>
      </c>
      <c r="H180" s="64" t="str">
        <f>IF(OR(($A180=Settings!$A$31),($A180=Settings!$A$32),ISERROR(VLOOKUP($B180,FFTodayData!$AB:$AK,6,0))),"",VLOOKUP($B180,FFTodayData!$AB:$AK,6,0))</f>
        <v/>
      </c>
      <c r="I180" s="117" t="str">
        <f>IF(ISERROR(VLOOKUP($A180,ESPNData!$AH:$AU,9,0)),"",VLOOKUP($A180,ESPNData!$AH:$AU,9,0))</f>
        <v/>
      </c>
      <c r="J180" s="33" t="str">
        <f>IF(ISERROR(VLOOKUP($A180,ESPNData!$AH:$AU,10,0)),"",VLOOKUP($A180,ESPNData!$AH:$AU,10,0))</f>
        <v/>
      </c>
      <c r="K180" s="33" t="str">
        <f>IF(ISERROR(VLOOKUP($A180,ESPNData!$AH:$AU,11,0)),"",VLOOKUP($A180,ESPNData!$AH:$AU,11,0))</f>
        <v/>
      </c>
      <c r="L180" s="33" t="str">
        <f>IF(ISERROR(VLOOKUP($A180,ESPNData!$AH:$AU,12,0)),"",VLOOKUP($A180,ESPNData!$AH:$AU,12,0))</f>
        <v/>
      </c>
      <c r="M180" s="64" t="str">
        <f>IF(ISERROR(VLOOKUP($A180,ESPNData!$AH:$AU,13,0)),"",VLOOKUP($A180,ESPNData!$AH:$AU,13,0))</f>
        <v/>
      </c>
      <c r="N180" s="117" t="str">
        <f>IF(OR(($A180=Settings!$A$31),($A180=Settings!$A$32),ISERROR(VLOOKUP($B180,SportslineData!$AD:$AK,3,0))),"",ROUND(VLOOKUP($B180,SportslineData!$AD:$AK,3,0),0))</f>
        <v/>
      </c>
      <c r="O180" s="33" t="str">
        <f>IF(OR(($A180=Settings!$A$31),($A180=Settings!$A$32),ISERROR(VLOOKUP($B180,SportslineData!$AD:$AK,4,0))),"",VLOOKUP($B180,SportslineData!$AD:$AK,4,0))</f>
        <v/>
      </c>
      <c r="P180" s="33" t="str">
        <f>IF(OR(($A180=Settings!$A$31),($A180=Settings!$A$32),ISERROR(VLOOKUP($B180,SportslineData!$AD:$AK,6,0))),"",ROUND(VLOOKUP($B180,SportslineData!$AD:$AK,6,0),0))</f>
        <v/>
      </c>
      <c r="Q180" s="64" t="str">
        <f>IF(OR(($A180=Settings!$A$31),($A180=Settings!$A$32),ISERROR(VLOOKUP($B180,SportslineData!$AD:$AK,7,0))),"",ROUND(VLOOKUP($B180,SportslineData!$AD:$AK,7,0),0))</f>
        <v/>
      </c>
      <c r="R180" s="117"/>
      <c r="S180" s="33"/>
      <c r="T180" s="38">
        <f>IF(ISERROR(ROUND((((((ROUNDDOWN((D180/5),0)*Settings!$F$7)+(E180*Settings!$I$7))+(F180*Settings!$I$11))+(ROUNDDOWN((G180/5),0)*Settings!$F$11))+(H180*Settings!$F$12)),1)),0,ROUND((((((ROUNDDOWN((D180/5),0)*Settings!$F$7)+(E180*Settings!$I$7))+(F180*Settings!$I$11))+(ROUNDDOWN((G180/5),0)*Settings!$F$11))+(H180*Settings!$F$12)),1))</f>
        <v>0</v>
      </c>
      <c r="U180" s="38">
        <f>IF(ISERROR(ROUND((((((ROUNDDOWN((I180/5),0)*Settings!$F$7)+(J180*Settings!$I$7))+(K180*Settings!$I$11))+(ROUNDDOWN((L180/5),0)*Settings!$F$11))+(M180*Settings!$F$12)),1)),0,ROUND((((((ROUNDDOWN((I180/5),0)*Settings!$F$7)+(J180*Settings!$I$7))+(K180*Settings!$I$11))+(ROUNDDOWN((L180/5),0)*Settings!$F$11))+(M180*Settings!$F$12)),1))</f>
        <v>0</v>
      </c>
      <c r="V180" s="38">
        <f>IF((N180=""),0,((((N180*Settings!$I$11)+(ROUND((O180/5),0)*Settings!$F$11))+(P180*Settings!$F$12))+(Q180*Settings!$F$15)))</f>
        <v>0</v>
      </c>
      <c r="W180" s="66">
        <f>ROUND((((T180*Settings!$B$21)+(U180*Settings!$B$22))+(V180*Settings!$B$23)),1)</f>
        <v>0</v>
      </c>
      <c r="X180" s="66">
        <f>IF(ISERROR(VLOOKUP(RANK(W180,W$4:W$182),X$4:X179,1,0)),RANK(W180,W$4:W$182),IF(ISERROR(VLOOKUP((RANK(W180,W$4:W$182)+1),X$4:X179,1,0)),(RANK(W180,W$4:W$182)+1),IF(ISERROR(VLOOKUP((RANK(W180,W$4:W$182)+2),X$4:X179,1,0)),(RANK(W180,W$4:W$182)+2),(RANK(W180,W$4:W$182)+3))))</f>
        <v>157</v>
      </c>
      <c r="Y180" t="str">
        <f t="shared" si="17"/>
        <v/>
      </c>
    </row>
    <row r="181" spans="1:25" ht="12.75" customHeight="1">
      <c r="A181" s="33">
        <f>ESPNData!AH320</f>
        <v>0</v>
      </c>
      <c r="B181" s="33" t="str">
        <f t="shared" si="15"/>
        <v/>
      </c>
      <c r="C181" s="64" t="e">
        <f t="shared" si="16"/>
        <v>#VALUE!</v>
      </c>
      <c r="D181" s="117" t="str">
        <f>IF(OR(($A181=Settings!$A$31),($A181=Settings!$A$32),ISERROR(VLOOKUP($B181,FFTodayData!$AB:$AK,8,0))),"",VLOOKUP($B181,FFTodayData!$AB:$AK,8,0))</f>
        <v/>
      </c>
      <c r="E181" s="33" t="str">
        <f>IF(OR(($A181=Settings!$A$31),($A181=Settings!$A$32),ISERROR(VLOOKUP($B181,FFTodayData!$AB:$AK,9,0))),"",VLOOKUP($B181,FFTodayData!$AB:$AK,9,0))</f>
        <v/>
      </c>
      <c r="F181" s="33" t="str">
        <f>IF(OR(($A181=Settings!$A$31),($A181=Settings!$A$32),ISERROR(VLOOKUP($B181,FFTodayData!$AB:$AK,4,0))),"",VLOOKUP($B181,FFTodayData!$AB:$AK,4,0))</f>
        <v/>
      </c>
      <c r="G181" s="33" t="str">
        <f>IF(OR(($A181=Settings!$A$31),($A181=Settings!$A$32),ISERROR(VLOOKUP($B181,FFTodayData!$AB:$AK,5,0))),"",VLOOKUP($B181,FFTodayData!$AB:$AK,5,0))</f>
        <v/>
      </c>
      <c r="H181" s="64" t="str">
        <f>IF(OR(($A181=Settings!$A$31),($A181=Settings!$A$32),ISERROR(VLOOKUP($B181,FFTodayData!$AB:$AK,6,0))),"",VLOOKUP($B181,FFTodayData!$AB:$AK,6,0))</f>
        <v/>
      </c>
      <c r="I181" s="117" t="str">
        <f>IF(ISERROR(VLOOKUP($A181,ESPNData!$AH:$AU,9,0)),"",VLOOKUP($A181,ESPNData!$AH:$AU,9,0))</f>
        <v/>
      </c>
      <c r="J181" s="33" t="str">
        <f>IF(ISERROR(VLOOKUP($A181,ESPNData!$AH:$AU,10,0)),"",VLOOKUP($A181,ESPNData!$AH:$AU,10,0))</f>
        <v/>
      </c>
      <c r="K181" s="33" t="str">
        <f>IF(ISERROR(VLOOKUP($A181,ESPNData!$AH:$AU,11,0)),"",VLOOKUP($A181,ESPNData!$AH:$AU,11,0))</f>
        <v/>
      </c>
      <c r="L181" s="33" t="str">
        <f>IF(ISERROR(VLOOKUP($A181,ESPNData!$AH:$AU,12,0)),"",VLOOKUP($A181,ESPNData!$AH:$AU,12,0))</f>
        <v/>
      </c>
      <c r="M181" s="64" t="str">
        <f>IF(ISERROR(VLOOKUP($A181,ESPNData!$AH:$AU,13,0)),"",VLOOKUP($A181,ESPNData!$AH:$AU,13,0))</f>
        <v/>
      </c>
      <c r="N181" s="117" t="str">
        <f>IF(OR(($A181=Settings!$A$31),($A181=Settings!$A$32),ISERROR(VLOOKUP($B181,SportslineData!$AD:$AK,3,0))),"",ROUND(VLOOKUP($B181,SportslineData!$AD:$AK,3,0),0))</f>
        <v/>
      </c>
      <c r="O181" s="33" t="str">
        <f>IF(OR(($A181=Settings!$A$31),($A181=Settings!$A$32),ISERROR(VLOOKUP($B181,SportslineData!$AD:$AK,4,0))),"",VLOOKUP($B181,SportslineData!$AD:$AK,4,0))</f>
        <v/>
      </c>
      <c r="P181" s="33" t="str">
        <f>IF(OR(($A181=Settings!$A$31),($A181=Settings!$A$32),ISERROR(VLOOKUP($B181,SportslineData!$AD:$AK,6,0))),"",ROUND(VLOOKUP($B181,SportslineData!$AD:$AK,6,0),0))</f>
        <v/>
      </c>
      <c r="Q181" s="64" t="str">
        <f>IF(OR(($A181=Settings!$A$31),($A181=Settings!$A$32),ISERROR(VLOOKUP($B181,SportslineData!$AD:$AK,7,0))),"",ROUND(VLOOKUP($B181,SportslineData!$AD:$AK,7,0),0))</f>
        <v/>
      </c>
      <c r="R181" s="117"/>
      <c r="S181" s="33"/>
      <c r="T181" s="38">
        <f>IF(ISERROR(ROUND((((((ROUNDDOWN((D181/5),0)*Settings!$F$7)+(E181*Settings!$I$7))+(F181*Settings!$I$11))+(ROUNDDOWN((G181/5),0)*Settings!$F$11))+(H181*Settings!$F$12)),1)),0,ROUND((((((ROUNDDOWN((D181/5),0)*Settings!$F$7)+(E181*Settings!$I$7))+(F181*Settings!$I$11))+(ROUNDDOWN((G181/5),0)*Settings!$F$11))+(H181*Settings!$F$12)),1))</f>
        <v>0</v>
      </c>
      <c r="U181" s="38">
        <f>IF(ISERROR(ROUND((((((ROUNDDOWN((I181/5),0)*Settings!$F$7)+(J181*Settings!$I$7))+(K181*Settings!$I$11))+(ROUNDDOWN((L181/5),0)*Settings!$F$11))+(M181*Settings!$F$12)),1)),0,ROUND((((((ROUNDDOWN((I181/5),0)*Settings!$F$7)+(J181*Settings!$I$7))+(K181*Settings!$I$11))+(ROUNDDOWN((L181/5),0)*Settings!$F$11))+(M181*Settings!$F$12)),1))</f>
        <v>0</v>
      </c>
      <c r="V181" s="38">
        <f>IF((N181=""),0,((((N181*Settings!$I$11)+(ROUND((O181/5),0)*Settings!$F$11))+(P181*Settings!$F$12))+(Q181*Settings!$F$15)))</f>
        <v>0</v>
      </c>
      <c r="W181" s="66">
        <f>ROUND((((T181*Settings!$B$21)+(U181*Settings!$B$22))+(V181*Settings!$B$23)),1)</f>
        <v>0</v>
      </c>
      <c r="X181" s="66">
        <f>IF(ISERROR(VLOOKUP(RANK(W181,W$4:W$182),X$4:X180,1,0)),RANK(W181,W$4:W$182),IF(ISERROR(VLOOKUP((RANK(W181,W$4:W$182)+1),X$4:X180,1,0)),(RANK(W181,W$4:W$182)+1),IF(ISERROR(VLOOKUP((RANK(W181,W$4:W$182)+2),X$4:X180,1,0)),(RANK(W181,W$4:W$182)+2),(RANK(W181,W$4:W$182)+3))))</f>
        <v>157</v>
      </c>
      <c r="Y181" t="str">
        <f t="shared" si="17"/>
        <v/>
      </c>
    </row>
    <row r="182" spans="1:25" ht="12.75" customHeight="1">
      <c r="A182" s="33">
        <f>ESPNData!AH321</f>
        <v>0</v>
      </c>
      <c r="B182" s="33" t="str">
        <f t="shared" si="15"/>
        <v/>
      </c>
      <c r="C182" s="64" t="e">
        <f t="shared" si="16"/>
        <v>#VALUE!</v>
      </c>
      <c r="D182" s="117" t="str">
        <f>IF(OR(($A182=Settings!$A$31),($A182=Settings!$A$32),ISERROR(VLOOKUP($B182,FFTodayData!$AB:$AK,8,0))),"",VLOOKUP($B182,FFTodayData!$AB:$AK,8,0))</f>
        <v/>
      </c>
      <c r="E182" s="33" t="str">
        <f>IF(OR(($A182=Settings!$A$31),($A182=Settings!$A$32),ISERROR(VLOOKUP($B182,FFTodayData!$AB:$AK,9,0))),"",VLOOKUP($B182,FFTodayData!$AB:$AK,9,0))</f>
        <v/>
      </c>
      <c r="F182" s="33" t="str">
        <f>IF(OR(($A182=Settings!$A$31),($A182=Settings!$A$32),ISERROR(VLOOKUP($B182,FFTodayData!$AB:$AK,4,0))),"",VLOOKUP($B182,FFTodayData!$AB:$AK,4,0))</f>
        <v/>
      </c>
      <c r="G182" s="33" t="str">
        <f>IF(OR(($A182=Settings!$A$31),($A182=Settings!$A$32),ISERROR(VLOOKUP($B182,FFTodayData!$AB:$AK,5,0))),"",VLOOKUP($B182,FFTodayData!$AB:$AK,5,0))</f>
        <v/>
      </c>
      <c r="H182" s="64" t="str">
        <f>IF(OR(($A182=Settings!$A$31),($A182=Settings!$A$32),ISERROR(VLOOKUP($B182,FFTodayData!$AB:$AK,6,0))),"",VLOOKUP($B182,FFTodayData!$AB:$AK,6,0))</f>
        <v/>
      </c>
      <c r="I182" s="117" t="str">
        <f>IF(ISERROR(VLOOKUP($A182,ESPNData!$AH:$AU,9,0)),"",VLOOKUP($A182,ESPNData!$AH:$AU,9,0))</f>
        <v/>
      </c>
      <c r="J182" s="33" t="str">
        <f>IF(ISERROR(VLOOKUP($A182,ESPNData!$AH:$AU,10,0)),"",VLOOKUP($A182,ESPNData!$AH:$AU,10,0))</f>
        <v/>
      </c>
      <c r="K182" s="33" t="str">
        <f>IF(ISERROR(VLOOKUP($A182,ESPNData!$AH:$AU,11,0)),"",VLOOKUP($A182,ESPNData!$AH:$AU,11,0))</f>
        <v/>
      </c>
      <c r="L182" s="33" t="str">
        <f>IF(ISERROR(VLOOKUP($A182,ESPNData!$AH:$AU,12,0)),"",VLOOKUP($A182,ESPNData!$AH:$AU,12,0))</f>
        <v/>
      </c>
      <c r="M182" s="64" t="str">
        <f>IF(ISERROR(VLOOKUP($A182,ESPNData!$AH:$AU,13,0)),"",VLOOKUP($A182,ESPNData!$AH:$AU,13,0))</f>
        <v/>
      </c>
      <c r="N182" s="117" t="str">
        <f>IF(OR(($A182=Settings!$A$31),($A182=Settings!$A$32),ISERROR(VLOOKUP($B182,SportslineData!$AD:$AK,3,0))),"",ROUND(VLOOKUP($B182,SportslineData!$AD:$AK,3,0),0))</f>
        <v/>
      </c>
      <c r="O182" s="33" t="str">
        <f>IF(OR(($A182=Settings!$A$31),($A182=Settings!$A$32),ISERROR(VLOOKUP($B182,SportslineData!$AD:$AK,4,0))),"",VLOOKUP($B182,SportslineData!$AD:$AK,4,0))</f>
        <v/>
      </c>
      <c r="P182" s="33" t="str">
        <f>IF(OR(($A182=Settings!$A$31),($A182=Settings!$A$32),ISERROR(VLOOKUP($B182,SportslineData!$AD:$AK,6,0))),"",ROUND(VLOOKUP($B182,SportslineData!$AD:$AK,6,0),0))</f>
        <v/>
      </c>
      <c r="Q182" s="64" t="str">
        <f>IF(OR(($A182=Settings!$A$31),($A182=Settings!$A$32),ISERROR(VLOOKUP($B182,SportslineData!$AD:$AK,7,0))),"",ROUND(VLOOKUP($B182,SportslineData!$AD:$AK,7,0),0))</f>
        <v/>
      </c>
      <c r="R182" s="117"/>
      <c r="S182" s="33"/>
      <c r="T182" s="38">
        <f>IF(ISERROR(ROUND((((((ROUNDDOWN((D182/5),0)*Settings!$F$7)+(E182*Settings!$I$7))+(F182*Settings!$I$11))+(ROUNDDOWN((G182/5),0)*Settings!$F$11))+(H182*Settings!$F$12)),1)),0,ROUND((((((ROUNDDOWN((D182/5),0)*Settings!$F$7)+(E182*Settings!$I$7))+(F182*Settings!$I$11))+(ROUNDDOWN((G182/5),0)*Settings!$F$11))+(H182*Settings!$F$12)),1))</f>
        <v>0</v>
      </c>
      <c r="U182" s="38">
        <f>IF(ISERROR(ROUND((((((ROUNDDOWN((I182/5),0)*Settings!$F$7)+(J182*Settings!$I$7))+(K182*Settings!$I$11))+(ROUNDDOWN((L182/5),0)*Settings!$F$11))+(M182*Settings!$F$12)),1)),0,ROUND((((((ROUNDDOWN((I182/5),0)*Settings!$F$7)+(J182*Settings!$I$7))+(K182*Settings!$I$11))+(ROUNDDOWN((L182/5),0)*Settings!$F$11))+(M182*Settings!$F$12)),1))</f>
        <v>0</v>
      </c>
      <c r="V182" s="38">
        <f>IF((N182=""),0,((((N182*Settings!$I$11)+(ROUND((O182/5),0)*Settings!$F$11))+(P182*Settings!$F$12))+(Q182*Settings!$F$15)))</f>
        <v>0</v>
      </c>
      <c r="W182" s="66">
        <f>ROUND((((T182*Settings!$B$21)+(U182*Settings!$B$22))+(V182*Settings!$B$23)),1)</f>
        <v>0</v>
      </c>
      <c r="X182" s="66">
        <f>IF(ISERROR(VLOOKUP(RANK(W182,W$4:W$182),X$4:X181,1,0)),RANK(W182,W$4:W$182),IF(ISERROR(VLOOKUP((RANK(W182,W$4:W$182)+1),X$4:X181,1,0)),(RANK(W182,W$4:W$182)+1),IF(ISERROR(VLOOKUP((RANK(W182,W$4:W$182)+2),X$4:X181,1,0)),(RANK(W182,W$4:W$182)+2),(RANK(W182,W$4:W$182)+3))))</f>
        <v>157</v>
      </c>
      <c r="Y182" t="str">
        <f t="shared" si="17"/>
        <v/>
      </c>
    </row>
  </sheetData>
  <mergeCells count="8">
    <mergeCell ref="D1:H1"/>
    <mergeCell ref="I1:M1"/>
    <mergeCell ref="N1:Q1"/>
    <mergeCell ref="D2:E2"/>
    <mergeCell ref="F2:H2"/>
    <mergeCell ref="I2:J2"/>
    <mergeCell ref="K2:M2"/>
    <mergeCell ref="N2:P2"/>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2"/>
  <sheetViews>
    <sheetView showGridLines="0"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7.1640625" defaultRowHeight="12.75" customHeight="1" x14ac:dyDescent="0"/>
  <cols>
    <col min="1" max="1" width="30.5" hidden="1" customWidth="1"/>
    <col min="2" max="2" width="21.5" customWidth="1"/>
    <col min="3" max="3" width="5" customWidth="1"/>
    <col min="4" max="4" width="8.83203125" customWidth="1"/>
    <col min="5" max="5" width="4.5" customWidth="1"/>
    <col min="6" max="6" width="2.5" customWidth="1"/>
    <col min="7" max="7" width="8.83203125" customWidth="1"/>
    <col min="8" max="8" width="4.5" customWidth="1"/>
    <col min="9" max="9" width="2.5" customWidth="1"/>
    <col min="10" max="10" width="9.1640625" customWidth="1"/>
    <col min="11" max="11" width="6.1640625" customWidth="1"/>
    <col min="12" max="12" width="2.5" customWidth="1"/>
    <col min="13" max="13" width="2.33203125" customWidth="1"/>
    <col min="14" max="15" width="4.1640625" customWidth="1"/>
    <col min="16" max="16" width="7.83203125" customWidth="1"/>
    <col min="17" max="17" width="4.6640625" customWidth="1"/>
    <col min="18" max="18" width="9.1640625" customWidth="1"/>
    <col min="19" max="19" width="7.5" customWidth="1"/>
    <col min="20" max="20" width="2.83203125" customWidth="1"/>
  </cols>
  <sheetData>
    <row r="1" spans="1:21" ht="12.75" customHeight="1">
      <c r="A1" s="181"/>
      <c r="B1" s="181"/>
      <c r="C1" s="31"/>
      <c r="D1" s="221" t="s">
        <v>155</v>
      </c>
      <c r="E1" s="222"/>
      <c r="F1" s="223"/>
      <c r="G1" s="221" t="s">
        <v>1</v>
      </c>
      <c r="H1" s="222"/>
      <c r="I1" s="223"/>
      <c r="J1" s="221" t="s">
        <v>162</v>
      </c>
      <c r="K1" s="222"/>
      <c r="L1" s="222"/>
      <c r="M1" s="223"/>
      <c r="N1" s="114"/>
      <c r="O1" s="181"/>
      <c r="P1" s="37"/>
      <c r="Q1" s="37"/>
      <c r="R1" s="37"/>
      <c r="S1" s="66"/>
      <c r="T1" s="189"/>
    </row>
    <row r="2" spans="1:21" ht="12.75" customHeight="1">
      <c r="A2" s="181"/>
      <c r="B2" s="181"/>
      <c r="C2" s="31"/>
      <c r="D2" s="228" t="s">
        <v>116</v>
      </c>
      <c r="E2" s="226"/>
      <c r="F2" s="227"/>
      <c r="G2" s="228" t="s">
        <v>116</v>
      </c>
      <c r="H2" s="226"/>
      <c r="I2" s="227"/>
      <c r="J2" s="225" t="s">
        <v>116</v>
      </c>
      <c r="K2" s="226"/>
      <c r="L2" s="226"/>
      <c r="M2" s="47"/>
      <c r="N2" s="114"/>
      <c r="O2" s="181"/>
      <c r="P2" s="37"/>
      <c r="Q2" s="37"/>
      <c r="R2" s="37"/>
      <c r="S2" s="66"/>
      <c r="T2" s="189"/>
    </row>
    <row r="3" spans="1:21" ht="12.75" customHeight="1">
      <c r="A3" s="181"/>
      <c r="B3" s="181" t="s">
        <v>6</v>
      </c>
      <c r="C3" s="31" t="s">
        <v>7</v>
      </c>
      <c r="D3" s="113" t="s">
        <v>789</v>
      </c>
      <c r="E3" s="133" t="s">
        <v>784</v>
      </c>
      <c r="F3" s="47" t="s">
        <v>785</v>
      </c>
      <c r="G3" s="113" t="s">
        <v>789</v>
      </c>
      <c r="H3" s="133" t="s">
        <v>784</v>
      </c>
      <c r="I3" s="47" t="s">
        <v>785</v>
      </c>
      <c r="J3" s="113" t="s">
        <v>789</v>
      </c>
      <c r="K3" s="133" t="s">
        <v>784</v>
      </c>
      <c r="L3" s="133" t="s">
        <v>785</v>
      </c>
      <c r="M3" s="47" t="s">
        <v>787</v>
      </c>
      <c r="N3" s="114"/>
      <c r="O3" s="181"/>
      <c r="P3" s="37" t="s">
        <v>155</v>
      </c>
      <c r="Q3" s="37" t="s">
        <v>1</v>
      </c>
      <c r="R3" s="37" t="s">
        <v>162</v>
      </c>
      <c r="S3" s="66" t="s">
        <v>788</v>
      </c>
      <c r="T3" s="189" t="s">
        <v>5</v>
      </c>
    </row>
    <row r="4" spans="1:21" ht="12.75" customHeight="1">
      <c r="A4" s="33" t="str">
        <f>ESPNData!AX3</f>
        <v>Jimmy Graham, NO TE</v>
      </c>
      <c r="B4" s="33" t="str">
        <f t="shared" ref="B4:B35" si="0">IF(OR((A4=""),(A4=0)),"",IF(ISERROR(FIND("*",A4)),LEFT(A4,(FIND(",",A4)-1)),LEFT(A4,(FIND("*",A4)-1))))</f>
        <v>Jimmy Graham</v>
      </c>
      <c r="C4" s="64" t="str">
        <f t="shared" ref="C4:C35" si="1">IF((A4=""),"",UPPER(RIGHT(LEFT(A4,(FIND("TE",A4)-2)),(LEN(LEFT(A4,(FIND("TE",A4)-2)))-(FIND(",",LEFT(A4,(FIND("TE",A4)-2)))+1)))))</f>
        <v>NO</v>
      </c>
      <c r="D4" s="117">
        <f>IF(ISERROR(VLOOKUP($B4,FFTodayData!$AN:$AT,4,0)),"",VLOOKUP($B4,FFTodayData!$AN:$AT,4,0))</f>
        <v>92</v>
      </c>
      <c r="E4" s="33">
        <f>IF(ISERROR(VLOOKUP($B4,FFTodayData!$AN:$AT,5,0)),"",VLOOKUP($B4,FFTodayData!$AN:$AT,5,0))</f>
        <v>1146</v>
      </c>
      <c r="F4" s="64">
        <f>IF(ISERROR(VLOOKUP($B4,FFTodayData!$AN:$AT,6,0)),"",VLOOKUP($B4,FFTodayData!$AN:$AT,6,0))</f>
        <v>11</v>
      </c>
      <c r="G4" s="117">
        <f>IF(ISERROR(VLOOKUP($A4,ESPNData!$AX:$BK,11,0)),"",VLOOKUP($A4,ESPNData!$AX:$BK,11,0))</f>
        <v>84</v>
      </c>
      <c r="H4" s="33">
        <f>IF(ISERROR(VLOOKUP($A4,ESPNData!$AX:$BK,12,0)),"",VLOOKUP($A4,ESPNData!$AX:$BK,12,0))</f>
        <v>1115</v>
      </c>
      <c r="I4" s="64">
        <f>IF(ISERROR(VLOOKUP($A4,ESPNData!$AX:$BK,13,0)),"",VLOOKUP($A4,ESPNData!$AX:$BK,13,0))</f>
        <v>13</v>
      </c>
      <c r="J4" s="117">
        <f>IF(ISERROR(VLOOKUP($B4,SportslineData!$AM:$AT,3,0)),"",ROUND(VLOOKUP($B4,SportslineData!$AM:$AT,3,0),0))</f>
        <v>88</v>
      </c>
      <c r="K4" s="33">
        <f>IF(ISERROR(VLOOKUP($B4,SportslineData!$AM:$AT,4,0)),"",VLOOKUP($B4,SportslineData!$AM:$AT,4,0))</f>
        <v>1213.5</v>
      </c>
      <c r="L4" s="33">
        <f>IF(ISERROR(VLOOKUP($B4,SportslineData!$AM:$AT,6,0)),"",ROUND(VLOOKUP($B4,SportslineData!$AM:$AT,6,0),0))</f>
        <v>14</v>
      </c>
      <c r="M4" s="64">
        <f>IF(ISERROR(VLOOKUP($B4,SportslineData!$AM:$AT,7,0)),"",ROUND(VLOOKUP($B4,SportslineData!$AM:$AT,7,0),0))</f>
        <v>0</v>
      </c>
      <c r="N4" s="117"/>
      <c r="O4" s="33"/>
      <c r="P4" s="38">
        <f>IF(ISERROR(ROUND((((ROUNDDOWN((E4/5),0)*Settings!$F$11)+(D4*Settings!$I$11))+(F4*Settings!$F$12)),1)),0,ROUND((((ROUNDDOWN((E4/5),0)*Settings!$F$11)+(D4*Settings!$I$11))+(F4*Settings!$F$12)),1))</f>
        <v>226.5</v>
      </c>
      <c r="Q4" s="38">
        <f>IF(ISERROR(ROUND((((ROUNDDOWN((H4/5),0)*Settings!$F$11)+(G4*Settings!$I$11))+(I4*Settings!$F$12)),1)),0,ROUND((((ROUNDDOWN((H4/5),0)*Settings!$F$11)+(G4*Settings!$I$11))+(I4*Settings!$F$12)),1))</f>
        <v>231.5</v>
      </c>
      <c r="R4" s="38">
        <f>IF((J4=""),0,((((J4*Settings!$I$11)+(ROUND((K4/5),0)*Settings!$F$11))+(L4*Settings!$F$12))+(M4*Settings!$F$15)))</f>
        <v>249.5</v>
      </c>
      <c r="S4" s="66">
        <f>ROUND((((P4*Settings!$B$21)+(Q4*Settings!$B$22))+(R4*Settings!$B$23)),1)</f>
        <v>236</v>
      </c>
      <c r="T4" s="189">
        <f>RANK(S4,$S$4:$S$182)</f>
        <v>1</v>
      </c>
      <c r="U4" t="str">
        <f t="shared" ref="U4:U35" si="2">B4</f>
        <v>Jimmy Graham</v>
      </c>
    </row>
    <row r="5" spans="1:21" ht="12.75" customHeight="1">
      <c r="A5" s="33" t="str">
        <f>ESPNData!AX4</f>
        <v>Julius Thomas, Den TE</v>
      </c>
      <c r="B5" s="33" t="str">
        <f t="shared" si="0"/>
        <v>Julius Thomas</v>
      </c>
      <c r="C5" s="64" t="str">
        <f t="shared" si="1"/>
        <v>DEN</v>
      </c>
      <c r="D5" s="117">
        <f>IF(ISERROR(VLOOKUP($B5,FFTodayData!$AN:$AT,4,0)),"",VLOOKUP($B5,FFTodayData!$AN:$AT,4,0))</f>
        <v>78</v>
      </c>
      <c r="E5" s="33">
        <f>IF(ISERROR(VLOOKUP($B5,FFTodayData!$AN:$AT,5,0)),"",VLOOKUP($B5,FFTodayData!$AN:$AT,5,0))</f>
        <v>895</v>
      </c>
      <c r="F5" s="64">
        <f>IF(ISERROR(VLOOKUP($B5,FFTodayData!$AN:$AT,6,0)),"",VLOOKUP($B5,FFTodayData!$AN:$AT,6,0))</f>
        <v>11</v>
      </c>
      <c r="G5" s="117">
        <f>IF(ISERROR(VLOOKUP($A5,ESPNData!$AX:$BK,11,0)),"",VLOOKUP($A5,ESPNData!$AX:$BK,11,0))</f>
        <v>72</v>
      </c>
      <c r="H5" s="33">
        <f>IF(ISERROR(VLOOKUP($A5,ESPNData!$AX:$BK,12,0)),"",VLOOKUP($A5,ESPNData!$AX:$BK,12,0))</f>
        <v>923</v>
      </c>
      <c r="I5" s="64">
        <f>IF(ISERROR(VLOOKUP($A5,ESPNData!$AX:$BK,13,0)),"",VLOOKUP($A5,ESPNData!$AX:$BK,13,0))</f>
        <v>12</v>
      </c>
      <c r="J5" s="117">
        <f>IF(ISERROR(VLOOKUP($B5,SportslineData!$AM:$AT,3,0)),"",ROUND(VLOOKUP($B5,SportslineData!$AM:$AT,3,0),0))</f>
        <v>77</v>
      </c>
      <c r="K5" s="33">
        <f>IF(ISERROR(VLOOKUP($B5,SportslineData!$AM:$AT,4,0)),"",VLOOKUP($B5,SportslineData!$AM:$AT,4,0))</f>
        <v>957</v>
      </c>
      <c r="L5" s="33">
        <f>IF(ISERROR(VLOOKUP($B5,SportslineData!$AM:$AT,6,0)),"",ROUND(VLOOKUP($B5,SportslineData!$AM:$AT,6,0),0))</f>
        <v>11</v>
      </c>
      <c r="M5" s="64">
        <f>IF(ISERROR(VLOOKUP($B5,SportslineData!$AM:$AT,7,0)),"",ROUND(VLOOKUP($B5,SportslineData!$AM:$AT,7,0),0))</f>
        <v>1</v>
      </c>
      <c r="N5" s="117"/>
      <c r="O5" s="33"/>
      <c r="P5" s="38">
        <f>IF(ISERROR(ROUND((((ROUNDDOWN((E5/5),0)*Settings!$F$11)+(D5*Settings!$I$11))+(F5*Settings!$F$12)),1)),0,ROUND((((ROUNDDOWN((E5/5),0)*Settings!$F$11)+(D5*Settings!$I$11))+(F5*Settings!$F$12)),1))</f>
        <v>194.5</v>
      </c>
      <c r="Q5" s="38">
        <f>IF(ISERROR(ROUND((((ROUNDDOWN((H5/5),0)*Settings!$F$11)+(G5*Settings!$I$11))+(I5*Settings!$F$12)),1)),0,ROUND((((ROUNDDOWN((H5/5),0)*Settings!$F$11)+(G5*Settings!$I$11))+(I5*Settings!$F$12)),1))</f>
        <v>200</v>
      </c>
      <c r="R5" s="38">
        <f>IF((J5=""),0,((((J5*Settings!$I$11)+(ROUND((K5/5),0)*Settings!$F$11))+(L5*Settings!$F$12))+(M5*Settings!$F$15)))</f>
        <v>199</v>
      </c>
      <c r="S5" s="66">
        <f>ROUND((((P5*Settings!$B$21)+(Q5*Settings!$B$22))+(R5*Settings!$B$23)),1)</f>
        <v>197.8</v>
      </c>
      <c r="T5" s="66">
        <f>IF(ISERROR(VLOOKUP(RANK(S5,S$4:S$182),T$4:T4,1,0)),RANK(S5,S$4:S$182),IF(ISERROR(VLOOKUP((RANK(S5,S$4:S$182)+1),T$4:T4,1,0)),(RANK(S5,S$4:S$182)+1),IF(ISERROR(VLOOKUP((RANK(S5,S$4:S$182)+2),T$4:T4,1,0)),(RANK(S5,S$4:S$182)+2),(RANK(S5,S$4:S$182)+3))))</f>
        <v>2</v>
      </c>
      <c r="U5" t="str">
        <f t="shared" si="2"/>
        <v>Julius Thomas</v>
      </c>
    </row>
    <row r="6" spans="1:21" ht="12.75" customHeight="1">
      <c r="A6" s="33" t="str">
        <f>ESPNData!AX5</f>
        <v>Rob Gronkowski, NE TE  Q</v>
      </c>
      <c r="B6" s="33" t="str">
        <f t="shared" si="0"/>
        <v>Rob Gronkowski</v>
      </c>
      <c r="C6" s="64" t="str">
        <f t="shared" si="1"/>
        <v>NE</v>
      </c>
      <c r="D6" s="117">
        <f>IF(ISERROR(VLOOKUP($B6,FFTodayData!$AN:$AT,4,0)),"",VLOOKUP($B6,FFTodayData!$AN:$AT,4,0))</f>
        <v>52</v>
      </c>
      <c r="E6" s="33">
        <f>IF(ISERROR(VLOOKUP($B6,FFTodayData!$AN:$AT,5,0)),"",VLOOKUP($B6,FFTodayData!$AN:$AT,5,0))</f>
        <v>737</v>
      </c>
      <c r="F6" s="64">
        <f>IF(ISERROR(VLOOKUP($B6,FFTodayData!$AN:$AT,6,0)),"",VLOOKUP($B6,FFTodayData!$AN:$AT,6,0))</f>
        <v>8</v>
      </c>
      <c r="G6" s="117">
        <f>IF(ISERROR(VLOOKUP($A6,ESPNData!$AX:$BK,11,0)),"",VLOOKUP($A6,ESPNData!$AX:$BK,11,0))</f>
        <v>63</v>
      </c>
      <c r="H6" s="33">
        <f>IF(ISERROR(VLOOKUP($A6,ESPNData!$AX:$BK,12,0)),"",VLOOKUP($A6,ESPNData!$AX:$BK,12,0))</f>
        <v>920</v>
      </c>
      <c r="I6" s="64">
        <f>IF(ISERROR(VLOOKUP($A6,ESPNData!$AX:$BK,13,0)),"",VLOOKUP($A6,ESPNData!$AX:$BK,13,0))</f>
        <v>8</v>
      </c>
      <c r="J6" s="117">
        <f>IF(ISERROR(VLOOKUP($B6,SportslineData!$AM:$AT,3,0)),"",ROUND(VLOOKUP($B6,SportslineData!$AM:$AT,3,0),0))</f>
        <v>76</v>
      </c>
      <c r="K6" s="33">
        <f>IF(ISERROR(VLOOKUP($B6,SportslineData!$AM:$AT,4,0)),"",VLOOKUP($B6,SportslineData!$AM:$AT,4,0))</f>
        <v>988.5</v>
      </c>
      <c r="L6" s="33">
        <f>IF(ISERROR(VLOOKUP($B6,SportslineData!$AM:$AT,6,0)),"",ROUND(VLOOKUP($B6,SportslineData!$AM:$AT,6,0),0))</f>
        <v>11</v>
      </c>
      <c r="M6" s="64">
        <f>IF(ISERROR(VLOOKUP($B6,SportslineData!$AM:$AT,7,0)),"",ROUND(VLOOKUP($B6,SportslineData!$AM:$AT,7,0),0))</f>
        <v>0</v>
      </c>
      <c r="N6" s="117"/>
      <c r="O6" s="33"/>
      <c r="P6" s="38">
        <f>IF(ISERROR(ROUND((((ROUNDDOWN((E6/5),0)*Settings!$F$11)+(D6*Settings!$I$11))+(F6*Settings!$F$12)),1)),0,ROUND((((ROUNDDOWN((E6/5),0)*Settings!$F$11)+(D6*Settings!$I$11))+(F6*Settings!$F$12)),1))</f>
        <v>147.5</v>
      </c>
      <c r="Q6" s="38">
        <f>IF(ISERROR(ROUND((((ROUNDDOWN((H6/5),0)*Settings!$F$11)+(G6*Settings!$I$11))+(I6*Settings!$F$12)),1)),0,ROUND((((ROUNDDOWN((H6/5),0)*Settings!$F$11)+(G6*Settings!$I$11))+(I6*Settings!$F$12)),1))</f>
        <v>171.5</v>
      </c>
      <c r="R6" s="38">
        <f>IF((J6=""),0,((((J6*Settings!$I$11)+(ROUND((K6/5),0)*Settings!$F$11))+(L6*Settings!$F$12))+(M6*Settings!$F$15)))</f>
        <v>203</v>
      </c>
      <c r="S6" s="66">
        <f>ROUND((((P6*Settings!$B$21)+(Q6*Settings!$B$22))+(R6*Settings!$B$23)),1)</f>
        <v>174.3</v>
      </c>
      <c r="T6" s="66">
        <f>IF(ISERROR(VLOOKUP(RANK(S6,S$4:S$182),T$4:T5,1,0)),RANK(S6,S$4:S$182),IF(ISERROR(VLOOKUP((RANK(S6,S$4:S$182)+1),T$4:T5,1,0)),(RANK(S6,S$4:S$182)+1),IF(ISERROR(VLOOKUP((RANK(S6,S$4:S$182)+2),T$4:T5,1,0)),(RANK(S6,S$4:S$182)+2),(RANK(S6,S$4:S$182)+3))))</f>
        <v>3</v>
      </c>
      <c r="U6" t="str">
        <f t="shared" si="2"/>
        <v>Rob Gronkowski</v>
      </c>
    </row>
    <row r="7" spans="1:21" ht="12.75" customHeight="1">
      <c r="A7" s="33" t="str">
        <f>ESPNData!AX6</f>
        <v>Vernon Davis, SF TE</v>
      </c>
      <c r="B7" s="33" t="str">
        <f t="shared" si="0"/>
        <v>Vernon Davis</v>
      </c>
      <c r="C7" s="64" t="str">
        <f t="shared" si="1"/>
        <v>SF</v>
      </c>
      <c r="D7" s="117">
        <f>IF(ISERROR(VLOOKUP($B7,FFTodayData!$AN:$AT,4,0)),"",VLOOKUP($B7,FFTodayData!$AN:$AT,4,0))</f>
        <v>58</v>
      </c>
      <c r="E7" s="33">
        <f>IF(ISERROR(VLOOKUP($B7,FFTodayData!$AN:$AT,5,0)),"",VLOOKUP($B7,FFTodayData!$AN:$AT,5,0))</f>
        <v>777</v>
      </c>
      <c r="F7" s="64">
        <f>IF(ISERROR(VLOOKUP($B7,FFTodayData!$AN:$AT,6,0)),"",VLOOKUP($B7,FFTodayData!$AN:$AT,6,0))</f>
        <v>8</v>
      </c>
      <c r="G7" s="117">
        <f>IF(ISERROR(VLOOKUP($A7,ESPNData!$AX:$BK,11,0)),"",VLOOKUP($A7,ESPNData!$AX:$BK,11,0))</f>
        <v>56</v>
      </c>
      <c r="H7" s="33">
        <f>IF(ISERROR(VLOOKUP($A7,ESPNData!$AX:$BK,12,0)),"",VLOOKUP($A7,ESPNData!$AX:$BK,12,0))</f>
        <v>835</v>
      </c>
      <c r="I7" s="64">
        <f>IF(ISERROR(VLOOKUP($A7,ESPNData!$AX:$BK,13,0)),"",VLOOKUP($A7,ESPNData!$AX:$BK,13,0))</f>
        <v>11</v>
      </c>
      <c r="J7" s="117">
        <f>IF(ISERROR(VLOOKUP($B7,SportslineData!$AM:$AT,3,0)),"",ROUND(VLOOKUP($B7,SportslineData!$AM:$AT,3,0),0))</f>
        <v>62</v>
      </c>
      <c r="K7" s="33">
        <f>IF(ISERROR(VLOOKUP($B7,SportslineData!$AM:$AT,4,0)),"",VLOOKUP($B7,SportslineData!$AM:$AT,4,0))</f>
        <v>828.5</v>
      </c>
      <c r="L7" s="33">
        <f>IF(ISERROR(VLOOKUP($B7,SportslineData!$AM:$AT,6,0)),"",ROUND(VLOOKUP($B7,SportslineData!$AM:$AT,6,0),0))</f>
        <v>10</v>
      </c>
      <c r="M7" s="64">
        <f>IF(ISERROR(VLOOKUP($B7,SportslineData!$AM:$AT,7,0)),"",ROUND(VLOOKUP($B7,SportslineData!$AM:$AT,7,0),0))</f>
        <v>1</v>
      </c>
      <c r="N7" s="117"/>
      <c r="O7" s="33"/>
      <c r="P7" s="38">
        <f>IF(ISERROR(ROUND((((ROUNDDOWN((E7/5),0)*Settings!$F$11)+(D7*Settings!$I$11))+(F7*Settings!$F$12)),1)),0,ROUND((((ROUNDDOWN((E7/5),0)*Settings!$F$11)+(D7*Settings!$I$11))+(F7*Settings!$F$12)),1))</f>
        <v>154.5</v>
      </c>
      <c r="Q7" s="38">
        <f>IF(ISERROR(ROUND((((ROUNDDOWN((H7/5),0)*Settings!$F$11)+(G7*Settings!$I$11))+(I7*Settings!$F$12)),1)),0,ROUND((((ROUNDDOWN((H7/5),0)*Settings!$F$11)+(G7*Settings!$I$11))+(I7*Settings!$F$12)),1))</f>
        <v>177.5</v>
      </c>
      <c r="R7" s="38">
        <f>IF((J7=""),0,((((J7*Settings!$I$11)+(ROUND((K7/5),0)*Settings!$F$11))+(L7*Settings!$F$12))+(M7*Settings!$F$15)))</f>
        <v>173</v>
      </c>
      <c r="S7" s="66">
        <f>ROUND((((P7*Settings!$B$21)+(Q7*Settings!$B$22))+(R7*Settings!$B$23)),1)</f>
        <v>168.4</v>
      </c>
      <c r="T7" s="66">
        <f>IF(ISERROR(VLOOKUP(RANK(S7,S$4:S$182),T$4:T6,1,0)),RANK(S7,S$4:S$182),IF(ISERROR(VLOOKUP((RANK(S7,S$4:S$182)+1),T$4:T6,1,0)),(RANK(S7,S$4:S$182)+1),IF(ISERROR(VLOOKUP((RANK(S7,S$4:S$182)+2),T$4:T6,1,0)),(RANK(S7,S$4:S$182)+2),(RANK(S7,S$4:S$182)+3))))</f>
        <v>4</v>
      </c>
      <c r="U7" t="str">
        <f t="shared" si="2"/>
        <v>Vernon Davis</v>
      </c>
    </row>
    <row r="8" spans="1:21" ht="12.75" customHeight="1">
      <c r="A8" s="33" t="str">
        <f>ESPNData!AX7</f>
        <v>Jason Witten, Dal TE</v>
      </c>
      <c r="B8" s="33" t="str">
        <f t="shared" si="0"/>
        <v>Jason Witten</v>
      </c>
      <c r="C8" s="64" t="str">
        <f t="shared" si="1"/>
        <v>DAL</v>
      </c>
      <c r="D8" s="117">
        <f>IF(ISERROR(VLOOKUP($B8,FFTodayData!$AN:$AT,4,0)),"",VLOOKUP($B8,FFTodayData!$AN:$AT,4,0))</f>
        <v>68</v>
      </c>
      <c r="E8" s="33">
        <f>IF(ISERROR(VLOOKUP($B8,FFTodayData!$AN:$AT,5,0)),"",VLOOKUP($B8,FFTodayData!$AN:$AT,5,0))</f>
        <v>744</v>
      </c>
      <c r="F8" s="64">
        <f>IF(ISERROR(VLOOKUP($B8,FFTodayData!$AN:$AT,6,0)),"",VLOOKUP($B8,FFTodayData!$AN:$AT,6,0))</f>
        <v>6</v>
      </c>
      <c r="G8" s="117">
        <f>IF(ISERROR(VLOOKUP($A8,ESPNData!$AX:$BK,11,0)),"",VLOOKUP($A8,ESPNData!$AX:$BK,11,0))</f>
        <v>74</v>
      </c>
      <c r="H8" s="33">
        <f>IF(ISERROR(VLOOKUP($A8,ESPNData!$AX:$BK,12,0)),"",VLOOKUP($A8,ESPNData!$AX:$BK,12,0))</f>
        <v>818</v>
      </c>
      <c r="I8" s="64">
        <f>IF(ISERROR(VLOOKUP($A8,ESPNData!$AX:$BK,13,0)),"",VLOOKUP($A8,ESPNData!$AX:$BK,13,0))</f>
        <v>7</v>
      </c>
      <c r="J8" s="117">
        <f>IF(ISERROR(VLOOKUP($B8,SportslineData!$AM:$AT,3,0)),"",ROUND(VLOOKUP($B8,SportslineData!$AM:$AT,3,0),0))</f>
        <v>81</v>
      </c>
      <c r="K8" s="33">
        <f>IF(ISERROR(VLOOKUP($B8,SportslineData!$AM:$AT,4,0)),"",VLOOKUP($B8,SportslineData!$AM:$AT,4,0))</f>
        <v>897.5</v>
      </c>
      <c r="L8" s="33">
        <f>IF(ISERROR(VLOOKUP($B8,SportslineData!$AM:$AT,6,0)),"",ROUND(VLOOKUP($B8,SportslineData!$AM:$AT,6,0),0))</f>
        <v>7</v>
      </c>
      <c r="M8" s="64">
        <f>IF(ISERROR(VLOOKUP($B8,SportslineData!$AM:$AT,7,0)),"",ROUND(VLOOKUP($B8,SportslineData!$AM:$AT,7,0),0))</f>
        <v>0</v>
      </c>
      <c r="N8" s="117"/>
      <c r="O8" s="33"/>
      <c r="P8" s="38">
        <f>IF(ISERROR(ROUND((((ROUNDDOWN((E8/5),0)*Settings!$F$11)+(D8*Settings!$I$11))+(F8*Settings!$F$12)),1)),0,ROUND((((ROUNDDOWN((E8/5),0)*Settings!$F$11)+(D8*Settings!$I$11))+(F8*Settings!$F$12)),1))</f>
        <v>144</v>
      </c>
      <c r="Q8" s="38">
        <f>IF(ISERROR(ROUND((((ROUNDDOWN((H8/5),0)*Settings!$F$11)+(G8*Settings!$I$11))+(I8*Settings!$F$12)),1)),0,ROUND((((ROUNDDOWN((H8/5),0)*Settings!$F$11)+(G8*Settings!$I$11))+(I8*Settings!$F$12)),1))</f>
        <v>160.5</v>
      </c>
      <c r="R8" s="38">
        <f>IF((J8=""),0,((((J8*Settings!$I$11)+(ROUND((K8/5),0)*Settings!$F$11))+(L8*Settings!$F$12))+(M8*Settings!$F$15)))</f>
        <v>172.5</v>
      </c>
      <c r="S8" s="66">
        <f>ROUND((((P8*Settings!$B$21)+(Q8*Settings!$B$22))+(R8*Settings!$B$23)),1)</f>
        <v>159.1</v>
      </c>
      <c r="T8" s="66">
        <f>IF(ISERROR(VLOOKUP(RANK(S8,S$4:S$182),T$4:T7,1,0)),RANK(S8,S$4:S$182),IF(ISERROR(VLOOKUP((RANK(S8,S$4:S$182)+1),T$4:T7,1,0)),(RANK(S8,S$4:S$182)+1),IF(ISERROR(VLOOKUP((RANK(S8,S$4:S$182)+2),T$4:T7,1,0)),(RANK(S8,S$4:S$182)+2),(RANK(S8,S$4:S$182)+3))))</f>
        <v>6</v>
      </c>
      <c r="U8" t="str">
        <f t="shared" si="2"/>
        <v>Jason Witten</v>
      </c>
    </row>
    <row r="9" spans="1:21" ht="12.75" customHeight="1">
      <c r="A9" s="33" t="str">
        <f>ESPNData!AX8</f>
        <v>Jordan Cameron, Cle TE  P</v>
      </c>
      <c r="B9" s="33" t="str">
        <f t="shared" si="0"/>
        <v>Jordan Cameron</v>
      </c>
      <c r="C9" s="64" t="str">
        <f t="shared" si="1"/>
        <v>CLE</v>
      </c>
      <c r="D9" s="117">
        <f>IF(ISERROR(VLOOKUP($B9,FFTodayData!$AN:$AT,4,0)),"",VLOOKUP($B9,FFTodayData!$AN:$AT,4,0))</f>
        <v>75</v>
      </c>
      <c r="E9" s="33">
        <f>IF(ISERROR(VLOOKUP($B9,FFTodayData!$AN:$AT,5,0)),"",VLOOKUP($B9,FFTodayData!$AN:$AT,5,0))</f>
        <v>845</v>
      </c>
      <c r="F9" s="64">
        <f>IF(ISERROR(VLOOKUP($B9,FFTodayData!$AN:$AT,6,0)),"",VLOOKUP($B9,FFTodayData!$AN:$AT,6,0))</f>
        <v>6</v>
      </c>
      <c r="G9" s="117">
        <f>IF(ISERROR(VLOOKUP($A9,ESPNData!$AX:$BK,11,0)),"",VLOOKUP($A9,ESPNData!$AX:$BK,11,0))</f>
        <v>74</v>
      </c>
      <c r="H9" s="33">
        <f>IF(ISERROR(VLOOKUP($A9,ESPNData!$AX:$BK,12,0)),"",VLOOKUP($A9,ESPNData!$AX:$BK,12,0))</f>
        <v>879</v>
      </c>
      <c r="I9" s="64">
        <f>IF(ISERROR(VLOOKUP($A9,ESPNData!$AX:$BK,13,0)),"",VLOOKUP($A9,ESPNData!$AX:$BK,13,0))</f>
        <v>7</v>
      </c>
      <c r="J9" s="117">
        <f>IF(ISERROR(VLOOKUP($B9,SportslineData!$AM:$AT,3,0)),"",ROUND(VLOOKUP($B9,SportslineData!$AM:$AT,3,0),0))</f>
        <v>75</v>
      </c>
      <c r="K9" s="33">
        <f>IF(ISERROR(VLOOKUP($B9,SportslineData!$AM:$AT,4,0)),"",VLOOKUP($B9,SportslineData!$AM:$AT,4,0))</f>
        <v>892</v>
      </c>
      <c r="L9" s="33">
        <f>IF(ISERROR(VLOOKUP($B9,SportslineData!$AM:$AT,6,0)),"",ROUND(VLOOKUP($B9,SportslineData!$AM:$AT,6,0),0))</f>
        <v>6</v>
      </c>
      <c r="M9" s="64">
        <f>IF(ISERROR(VLOOKUP($B9,SportslineData!$AM:$AT,7,0)),"",ROUND(VLOOKUP($B9,SportslineData!$AM:$AT,7,0),0))</f>
        <v>1</v>
      </c>
      <c r="N9" s="117"/>
      <c r="O9" s="33"/>
      <c r="P9" s="38">
        <f>IF(ISERROR(ROUND((((ROUNDDOWN((E9/5),0)*Settings!$F$11)+(D9*Settings!$I$11))+(F9*Settings!$F$12)),1)),0,ROUND((((ROUNDDOWN((E9/5),0)*Settings!$F$11)+(D9*Settings!$I$11))+(F9*Settings!$F$12)),1))</f>
        <v>158</v>
      </c>
      <c r="Q9" s="38">
        <f>IF(ISERROR(ROUND((((ROUNDDOWN((H9/5),0)*Settings!$F$11)+(G9*Settings!$I$11))+(I9*Settings!$F$12)),1)),0,ROUND((((ROUNDDOWN((H9/5),0)*Settings!$F$11)+(G9*Settings!$I$11))+(I9*Settings!$F$12)),1))</f>
        <v>166.5</v>
      </c>
      <c r="R9" s="38">
        <f>IF((J9=""),0,((((J9*Settings!$I$11)+(ROUND((K9/5),0)*Settings!$F$11))+(L9*Settings!$F$12))+(M9*Settings!$F$15)))</f>
        <v>161.5</v>
      </c>
      <c r="S9" s="66">
        <f>ROUND((((P9*Settings!$B$21)+(Q9*Settings!$B$22))+(R9*Settings!$B$23)),1)</f>
        <v>162</v>
      </c>
      <c r="T9" s="66">
        <f>IF(ISERROR(VLOOKUP(RANK(S9,S$4:S$182),T$4:T8,1,0)),RANK(S9,S$4:S$182),IF(ISERROR(VLOOKUP((RANK(S9,S$4:S$182)+1),T$4:T8,1,0)),(RANK(S9,S$4:S$182)+1),IF(ISERROR(VLOOKUP((RANK(S9,S$4:S$182)+2),T$4:T8,1,0)),(RANK(S9,S$4:S$182)+2),(RANK(S9,S$4:S$182)+3))))</f>
        <v>5</v>
      </c>
      <c r="U9" t="str">
        <f t="shared" si="2"/>
        <v>Jordan Cameron</v>
      </c>
    </row>
    <row r="10" spans="1:21" ht="12.75" customHeight="1">
      <c r="A10" s="33" t="str">
        <f>ESPNData!AX9</f>
        <v>Greg Olsen, Car TE</v>
      </c>
      <c r="B10" s="33" t="str">
        <f t="shared" si="0"/>
        <v>Greg Olsen</v>
      </c>
      <c r="C10" s="64" t="str">
        <f t="shared" si="1"/>
        <v>CAR</v>
      </c>
      <c r="D10" s="117">
        <f>IF(ISERROR(VLOOKUP($B10,FFTodayData!$AN:$AT,4,0)),"",VLOOKUP($B10,FFTodayData!$AN:$AT,4,0))</f>
        <v>71</v>
      </c>
      <c r="E10" s="33">
        <f>IF(ISERROR(VLOOKUP($B10,FFTodayData!$AN:$AT,5,0)),"",VLOOKUP($B10,FFTodayData!$AN:$AT,5,0))</f>
        <v>814</v>
      </c>
      <c r="F10" s="64">
        <f>IF(ISERROR(VLOOKUP($B10,FFTodayData!$AN:$AT,6,0)),"",VLOOKUP($B10,FFTodayData!$AN:$AT,6,0))</f>
        <v>6</v>
      </c>
      <c r="G10" s="117">
        <f>IF(ISERROR(VLOOKUP($A10,ESPNData!$AX:$BK,11,0)),"",VLOOKUP($A10,ESPNData!$AX:$BK,11,0))</f>
        <v>70</v>
      </c>
      <c r="H10" s="33">
        <f>IF(ISERROR(VLOOKUP($A10,ESPNData!$AX:$BK,12,0)),"",VLOOKUP($A10,ESPNData!$AX:$BK,12,0))</f>
        <v>842</v>
      </c>
      <c r="I10" s="64">
        <f>IF(ISERROR(VLOOKUP($A10,ESPNData!$AX:$BK,13,0)),"",VLOOKUP($A10,ESPNData!$AX:$BK,13,0))</f>
        <v>5</v>
      </c>
      <c r="J10" s="117">
        <f>IF(ISERROR(VLOOKUP($B10,SportslineData!$AM:$AT,3,0)),"",ROUND(VLOOKUP($B10,SportslineData!$AM:$AT,3,0),0))</f>
        <v>71</v>
      </c>
      <c r="K10" s="33">
        <f>IF(ISERROR(VLOOKUP($B10,SportslineData!$AM:$AT,4,0)),"",VLOOKUP($B10,SportslineData!$AM:$AT,4,0))</f>
        <v>794</v>
      </c>
      <c r="L10" s="33">
        <f>IF(ISERROR(VLOOKUP($B10,SportslineData!$AM:$AT,6,0)),"",ROUND(VLOOKUP($B10,SportslineData!$AM:$AT,6,0),0))</f>
        <v>6</v>
      </c>
      <c r="M10" s="64">
        <f>IF(ISERROR(VLOOKUP($B10,SportslineData!$AM:$AT,7,0)),"",ROUND(VLOOKUP($B10,SportslineData!$AM:$AT,7,0),0))</f>
        <v>1</v>
      </c>
      <c r="N10" s="117"/>
      <c r="O10" s="33"/>
      <c r="P10" s="38">
        <f>IF(ISERROR(ROUND((((ROUNDDOWN((E10/5),0)*Settings!$F$11)+(D10*Settings!$I$11))+(F10*Settings!$F$12)),1)),0,ROUND((((ROUNDDOWN((E10/5),0)*Settings!$F$11)+(D10*Settings!$I$11))+(F10*Settings!$F$12)),1))</f>
        <v>152.5</v>
      </c>
      <c r="Q10" s="38">
        <f>IF(ISERROR(ROUND((((ROUNDDOWN((H10/5),0)*Settings!$F$11)+(G10*Settings!$I$11))+(I10*Settings!$F$12)),1)),0,ROUND((((ROUNDDOWN((H10/5),0)*Settings!$F$11)+(G10*Settings!$I$11))+(I10*Settings!$F$12)),1))</f>
        <v>149</v>
      </c>
      <c r="R10" s="38">
        <f>IF((J10=""),0,((((J10*Settings!$I$11)+(ROUND((K10/5),0)*Settings!$F$11))+(L10*Settings!$F$12))+(M10*Settings!$F$15)))</f>
        <v>150</v>
      </c>
      <c r="S10" s="66">
        <f>ROUND((((P10*Settings!$B$21)+(Q10*Settings!$B$22))+(R10*Settings!$B$23)),1)</f>
        <v>150.5</v>
      </c>
      <c r="T10" s="66">
        <f>IF(ISERROR(VLOOKUP(RANK(S10,S$4:S$182),T$4:T9,1,0)),RANK(S10,S$4:S$182),IF(ISERROR(VLOOKUP((RANK(S10,S$4:S$182)+1),T$4:T9,1,0)),(RANK(S10,S$4:S$182)+1),IF(ISERROR(VLOOKUP((RANK(S10,S$4:S$182)+2),T$4:T9,1,0)),(RANK(S10,S$4:S$182)+2),(RANK(S10,S$4:S$182)+3))))</f>
        <v>8</v>
      </c>
      <c r="U10" t="str">
        <f t="shared" si="2"/>
        <v>Greg Olsen</v>
      </c>
    </row>
    <row r="11" spans="1:21" ht="12.75" customHeight="1">
      <c r="A11" s="33" t="str">
        <f>ESPNData!AX10</f>
        <v>Dennis Pitta, Bal TE</v>
      </c>
      <c r="B11" s="33" t="str">
        <f t="shared" si="0"/>
        <v>Dennis Pitta</v>
      </c>
      <c r="C11" s="64" t="str">
        <f t="shared" si="1"/>
        <v>BAL</v>
      </c>
      <c r="D11" s="117">
        <f>IF(ISERROR(VLOOKUP($B11,FFTodayData!$AN:$AT,4,0)),"",VLOOKUP($B11,FFTodayData!$AN:$AT,4,0))</f>
        <v>63</v>
      </c>
      <c r="E11" s="33">
        <f>IF(ISERROR(VLOOKUP($B11,FFTodayData!$AN:$AT,5,0)),"",VLOOKUP($B11,FFTodayData!$AN:$AT,5,0))</f>
        <v>685</v>
      </c>
      <c r="F11" s="64">
        <f>IF(ISERROR(VLOOKUP($B11,FFTodayData!$AN:$AT,6,0)),"",VLOOKUP($B11,FFTodayData!$AN:$AT,6,0))</f>
        <v>6</v>
      </c>
      <c r="G11" s="117">
        <f>IF(ISERROR(VLOOKUP($A11,ESPNData!$AX:$BK,11,0)),"",VLOOKUP($A11,ESPNData!$AX:$BK,11,0))</f>
        <v>73</v>
      </c>
      <c r="H11" s="33">
        <f>IF(ISERROR(VLOOKUP($A11,ESPNData!$AX:$BK,12,0)),"",VLOOKUP($A11,ESPNData!$AX:$BK,12,0))</f>
        <v>800</v>
      </c>
      <c r="I11" s="64">
        <f>IF(ISERROR(VLOOKUP($A11,ESPNData!$AX:$BK,13,0)),"",VLOOKUP($A11,ESPNData!$AX:$BK,13,0))</f>
        <v>8</v>
      </c>
      <c r="J11" s="117">
        <f>IF(ISERROR(VLOOKUP($B11,SportslineData!$AM:$AT,3,0)),"",ROUND(VLOOKUP($B11,SportslineData!$AM:$AT,3,0),0))</f>
        <v>66</v>
      </c>
      <c r="K11" s="33">
        <f>IF(ISERROR(VLOOKUP($B11,SportslineData!$AM:$AT,4,0)),"",VLOOKUP($B11,SportslineData!$AM:$AT,4,0))</f>
        <v>828</v>
      </c>
      <c r="L11" s="33">
        <f>IF(ISERROR(VLOOKUP($B11,SportslineData!$AM:$AT,6,0)),"",ROUND(VLOOKUP($B11,SportslineData!$AM:$AT,6,0),0))</f>
        <v>7</v>
      </c>
      <c r="M11" s="64">
        <f>IF(ISERROR(VLOOKUP($B11,SportslineData!$AM:$AT,7,0)),"",ROUND(VLOOKUP($B11,SportslineData!$AM:$AT,7,0),0))</f>
        <v>0</v>
      </c>
      <c r="N11" s="117"/>
      <c r="O11" s="33"/>
      <c r="P11" s="38">
        <f>IF(ISERROR(ROUND((((ROUNDDOWN((E11/5),0)*Settings!$F$11)+(D11*Settings!$I$11))+(F11*Settings!$F$12)),1)),0,ROUND((((ROUNDDOWN((E11/5),0)*Settings!$F$11)+(D11*Settings!$I$11))+(F11*Settings!$F$12)),1))</f>
        <v>136</v>
      </c>
      <c r="Q11" s="38">
        <f>IF(ISERROR(ROUND((((ROUNDDOWN((H11/5),0)*Settings!$F$11)+(G11*Settings!$I$11))+(I11*Settings!$F$12)),1)),0,ROUND((((ROUNDDOWN((H11/5),0)*Settings!$F$11)+(G11*Settings!$I$11))+(I11*Settings!$F$12)),1))</f>
        <v>164.5</v>
      </c>
      <c r="R11" s="38">
        <f>IF((J11=""),0,((((J11*Settings!$I$11)+(ROUND((K11/5),0)*Settings!$F$11))+(L11*Settings!$F$12))+(M11*Settings!$F$15)))</f>
        <v>158</v>
      </c>
      <c r="S11" s="66">
        <f>ROUND((((P11*Settings!$B$21)+(Q11*Settings!$B$22))+(R11*Settings!$B$23)),1)</f>
        <v>152.9</v>
      </c>
      <c r="T11" s="66">
        <f>IF(ISERROR(VLOOKUP(RANK(S11,S$4:S$182),T$4:T10,1,0)),RANK(S11,S$4:S$182),IF(ISERROR(VLOOKUP((RANK(S11,S$4:S$182)+1),T$4:T10,1,0)),(RANK(S11,S$4:S$182)+1),IF(ISERROR(VLOOKUP((RANK(S11,S$4:S$182)+2),T$4:T10,1,0)),(RANK(S11,S$4:S$182)+2),(RANK(S11,S$4:S$182)+3))))</f>
        <v>7</v>
      </c>
      <c r="U11" t="str">
        <f t="shared" si="2"/>
        <v>Dennis Pitta</v>
      </c>
    </row>
    <row r="12" spans="1:21" ht="12.75" customHeight="1">
      <c r="A12" s="33" t="str">
        <f>ESPNData!AX11</f>
        <v>Kyle Rudolph, Min TE</v>
      </c>
      <c r="B12" s="33" t="str">
        <f t="shared" si="0"/>
        <v>Kyle Rudolph</v>
      </c>
      <c r="C12" s="64" t="str">
        <f t="shared" si="1"/>
        <v>MIN</v>
      </c>
      <c r="D12" s="117">
        <f>IF(ISERROR(VLOOKUP($B12,FFTodayData!$AN:$AT,4,0)),"",VLOOKUP($B12,FFTodayData!$AN:$AT,4,0))</f>
        <v>70</v>
      </c>
      <c r="E12" s="33">
        <f>IF(ISERROR(VLOOKUP($B12,FFTodayData!$AN:$AT,5,0)),"",VLOOKUP($B12,FFTodayData!$AN:$AT,5,0))</f>
        <v>745</v>
      </c>
      <c r="F12" s="64">
        <f>IF(ISERROR(VLOOKUP($B12,FFTodayData!$AN:$AT,6,0)),"",VLOOKUP($B12,FFTodayData!$AN:$AT,6,0))</f>
        <v>6</v>
      </c>
      <c r="G12" s="117">
        <f>IF(ISERROR(VLOOKUP($A12,ESPNData!$AX:$BK,11,0)),"",VLOOKUP($A12,ESPNData!$AX:$BK,11,0))</f>
        <v>56</v>
      </c>
      <c r="H12" s="33">
        <f>IF(ISERROR(VLOOKUP($A12,ESPNData!$AX:$BK,12,0)),"",VLOOKUP($A12,ESPNData!$AX:$BK,12,0))</f>
        <v>576</v>
      </c>
      <c r="I12" s="64">
        <f>IF(ISERROR(VLOOKUP($A12,ESPNData!$AX:$BK,13,0)),"",VLOOKUP($A12,ESPNData!$AX:$BK,13,0))</f>
        <v>8</v>
      </c>
      <c r="J12" s="117">
        <f>IF(ISERROR(VLOOKUP($B12,SportslineData!$AM:$AT,3,0)),"",ROUND(VLOOKUP($B12,SportslineData!$AM:$AT,3,0),0))</f>
        <v>64</v>
      </c>
      <c r="K12" s="33">
        <f>IF(ISERROR(VLOOKUP($B12,SportslineData!$AM:$AT,4,0)),"",VLOOKUP($B12,SportslineData!$AM:$AT,4,0))</f>
        <v>727.5</v>
      </c>
      <c r="L12" s="33">
        <f>IF(ISERROR(VLOOKUP($B12,SportslineData!$AM:$AT,6,0)),"",ROUND(VLOOKUP($B12,SportslineData!$AM:$AT,6,0),0))</f>
        <v>7</v>
      </c>
      <c r="M12" s="64">
        <f>IF(ISERROR(VLOOKUP($B12,SportslineData!$AM:$AT,7,0)),"",ROUND(VLOOKUP($B12,SportslineData!$AM:$AT,7,0),0))</f>
        <v>0</v>
      </c>
      <c r="N12" s="117"/>
      <c r="O12" s="33"/>
      <c r="P12" s="38">
        <f>IF(ISERROR(ROUND((((ROUNDDOWN((E12/5),0)*Settings!$F$11)+(D12*Settings!$I$11))+(F12*Settings!$F$12)),1)),0,ROUND((((ROUNDDOWN((E12/5),0)*Settings!$F$11)+(D12*Settings!$I$11))+(F12*Settings!$F$12)),1))</f>
        <v>145.5</v>
      </c>
      <c r="Q12" s="38">
        <f>IF(ISERROR(ROUND((((ROUNDDOWN((H12/5),0)*Settings!$F$11)+(G12*Settings!$I$11))+(I12*Settings!$F$12)),1)),0,ROUND((((ROUNDDOWN((H12/5),0)*Settings!$F$11)+(G12*Settings!$I$11))+(I12*Settings!$F$12)),1))</f>
        <v>133.5</v>
      </c>
      <c r="R12" s="38">
        <f>IF((J12=""),0,((((J12*Settings!$I$11)+(ROUND((K12/5),0)*Settings!$F$11))+(L12*Settings!$F$12))+(M12*Settings!$F$15)))</f>
        <v>147</v>
      </c>
      <c r="S12" s="66">
        <f>ROUND((((P12*Settings!$B$21)+(Q12*Settings!$B$22))+(R12*Settings!$B$23)),1)</f>
        <v>142.1</v>
      </c>
      <c r="T12" s="66">
        <f>IF(ISERROR(VLOOKUP(RANK(S12,S$4:S$182),T$4:T11,1,0)),RANK(S12,S$4:S$182),IF(ISERROR(VLOOKUP((RANK(S12,S$4:S$182)+1),T$4:T11,1,0)),(RANK(S12,S$4:S$182)+1),IF(ISERROR(VLOOKUP((RANK(S12,S$4:S$182)+2),T$4:T11,1,0)),(RANK(S12,S$4:S$182)+2),(RANK(S12,S$4:S$182)+3))))</f>
        <v>10</v>
      </c>
      <c r="U12" t="str">
        <f t="shared" si="2"/>
        <v>Kyle Rudolph</v>
      </c>
    </row>
    <row r="13" spans="1:21" ht="12.75" customHeight="1">
      <c r="A13" s="33" t="str">
        <f>ESPNData!AX12</f>
        <v>Jordan Reed, Wsh TE</v>
      </c>
      <c r="B13" s="33" t="str">
        <f t="shared" si="0"/>
        <v>Jordan Reed</v>
      </c>
      <c r="C13" s="64" t="str">
        <f t="shared" si="1"/>
        <v>WSH</v>
      </c>
      <c r="D13" s="117">
        <f>IF(ISERROR(VLOOKUP($B13,FFTodayData!$AN:$AT,4,0)),"",VLOOKUP($B13,FFTodayData!$AN:$AT,4,0))</f>
        <v>68</v>
      </c>
      <c r="E13" s="33">
        <f>IF(ISERROR(VLOOKUP($B13,FFTodayData!$AN:$AT,5,0)),"",VLOOKUP($B13,FFTodayData!$AN:$AT,5,0))</f>
        <v>785</v>
      </c>
      <c r="F13" s="64">
        <f>IF(ISERROR(VLOOKUP($B13,FFTodayData!$AN:$AT,6,0)),"",VLOOKUP($B13,FFTodayData!$AN:$AT,6,0))</f>
        <v>7</v>
      </c>
      <c r="G13" s="117">
        <f>IF(ISERROR(VLOOKUP($A13,ESPNData!$AX:$BK,11,0)),"",VLOOKUP($A13,ESPNData!$AX:$BK,11,0))</f>
        <v>61</v>
      </c>
      <c r="H13" s="33">
        <f>IF(ISERROR(VLOOKUP($A13,ESPNData!$AX:$BK,12,0)),"",VLOOKUP($A13,ESPNData!$AX:$BK,12,0))</f>
        <v>689</v>
      </c>
      <c r="I13" s="64">
        <f>IF(ISERROR(VLOOKUP($A13,ESPNData!$AX:$BK,13,0)),"",VLOOKUP($A13,ESPNData!$AX:$BK,13,0))</f>
        <v>6</v>
      </c>
      <c r="J13" s="117">
        <f>IF(ISERROR(VLOOKUP($B13,SportslineData!$AM:$AT,3,0)),"",ROUND(VLOOKUP($B13,SportslineData!$AM:$AT,3,0),0))</f>
        <v>65</v>
      </c>
      <c r="K13" s="33">
        <f>IF(ISERROR(VLOOKUP($B13,SportslineData!$AM:$AT,4,0)),"",VLOOKUP($B13,SportslineData!$AM:$AT,4,0))</f>
        <v>780</v>
      </c>
      <c r="L13" s="33">
        <f>IF(ISERROR(VLOOKUP($B13,SportslineData!$AM:$AT,6,0)),"",ROUND(VLOOKUP($B13,SportslineData!$AM:$AT,6,0),0))</f>
        <v>7</v>
      </c>
      <c r="M13" s="64">
        <f>IF(ISERROR(VLOOKUP($B13,SportslineData!$AM:$AT,7,0)),"",ROUND(VLOOKUP($B13,SportslineData!$AM:$AT,7,0),0))</f>
        <v>0</v>
      </c>
      <c r="N13" s="117"/>
      <c r="O13" s="33"/>
      <c r="P13" s="38">
        <f>IF(ISERROR(ROUND((((ROUNDDOWN((E13/5),0)*Settings!$F$11)+(D13*Settings!$I$11))+(F13*Settings!$F$12)),1)),0,ROUND((((ROUNDDOWN((E13/5),0)*Settings!$F$11)+(D13*Settings!$I$11))+(F13*Settings!$F$12)),1))</f>
        <v>154.5</v>
      </c>
      <c r="Q13" s="38">
        <f>IF(ISERROR(ROUND((((ROUNDDOWN((H13/5),0)*Settings!$F$11)+(G13*Settings!$I$11))+(I13*Settings!$F$12)),1)),0,ROUND((((ROUNDDOWN((H13/5),0)*Settings!$F$11)+(G13*Settings!$I$11))+(I13*Settings!$F$12)),1))</f>
        <v>135</v>
      </c>
      <c r="R13" s="38">
        <f>IF((J13=""),0,((((J13*Settings!$I$11)+(ROUND((K13/5),0)*Settings!$F$11))+(L13*Settings!$F$12))+(M13*Settings!$F$15)))</f>
        <v>152.5</v>
      </c>
      <c r="S13" s="66">
        <f>ROUND((((P13*Settings!$B$21)+(Q13*Settings!$B$22))+(R13*Settings!$B$23)),1)</f>
        <v>147.4</v>
      </c>
      <c r="T13" s="66">
        <f>IF(ISERROR(VLOOKUP(RANK(S13,S$4:S$182),T$4:T12,1,0)),RANK(S13,S$4:S$182),IF(ISERROR(VLOOKUP((RANK(S13,S$4:S$182)+1),T$4:T12,1,0)),(RANK(S13,S$4:S$182)+1),IF(ISERROR(VLOOKUP((RANK(S13,S$4:S$182)+2),T$4:T12,1,0)),(RANK(S13,S$4:S$182)+2),(RANK(S13,S$4:S$182)+3))))</f>
        <v>9</v>
      </c>
      <c r="U13" t="str">
        <f t="shared" si="2"/>
        <v>Jordan Reed</v>
      </c>
    </row>
    <row r="14" spans="1:21" ht="12.75" customHeight="1">
      <c r="A14" s="33" t="str">
        <f>ESPNData!AX13</f>
        <v>Martellus Bennett, Chi TE</v>
      </c>
      <c r="B14" s="33" t="str">
        <f t="shared" si="0"/>
        <v>Martellus Bennett</v>
      </c>
      <c r="C14" s="64" t="str">
        <f t="shared" si="1"/>
        <v>CHI</v>
      </c>
      <c r="D14" s="117">
        <f>IF(ISERROR(VLOOKUP($B14,FFTodayData!$AN:$AT,4,0)),"",VLOOKUP($B14,FFTodayData!$AN:$AT,4,0))</f>
        <v>68</v>
      </c>
      <c r="E14" s="33">
        <f>IF(ISERROR(VLOOKUP($B14,FFTodayData!$AN:$AT,5,0)),"",VLOOKUP($B14,FFTodayData!$AN:$AT,5,0))</f>
        <v>712</v>
      </c>
      <c r="F14" s="64">
        <f>IF(ISERROR(VLOOKUP($B14,FFTodayData!$AN:$AT,6,0)),"",VLOOKUP($B14,FFTodayData!$AN:$AT,6,0))</f>
        <v>5</v>
      </c>
      <c r="G14" s="117">
        <f>IF(ISERROR(VLOOKUP($A14,ESPNData!$AX:$BK,11,0)),"",VLOOKUP($A14,ESPNData!$AX:$BK,11,0))</f>
        <v>63</v>
      </c>
      <c r="H14" s="33">
        <f>IF(ISERROR(VLOOKUP($A14,ESPNData!$AX:$BK,12,0)),"",VLOOKUP($A14,ESPNData!$AX:$BK,12,0))</f>
        <v>735</v>
      </c>
      <c r="I14" s="64">
        <f>IF(ISERROR(VLOOKUP($A14,ESPNData!$AX:$BK,13,0)),"",VLOOKUP($A14,ESPNData!$AX:$BK,13,0))</f>
        <v>5</v>
      </c>
      <c r="J14" s="117">
        <f>IF(ISERROR(VLOOKUP($B14,SportslineData!$AM:$AT,3,0)),"",ROUND(VLOOKUP($B14,SportslineData!$AM:$AT,3,0),0))</f>
        <v>61</v>
      </c>
      <c r="K14" s="33">
        <f>IF(ISERROR(VLOOKUP($B14,SportslineData!$AM:$AT,4,0)),"",VLOOKUP($B14,SportslineData!$AM:$AT,4,0))</f>
        <v>722.5</v>
      </c>
      <c r="L14" s="33">
        <f>IF(ISERROR(VLOOKUP($B14,SportslineData!$AM:$AT,6,0)),"",ROUND(VLOOKUP($B14,SportslineData!$AM:$AT,6,0),0))</f>
        <v>5</v>
      </c>
      <c r="M14" s="64">
        <f>IF(ISERROR(VLOOKUP($B14,SportslineData!$AM:$AT,7,0)),"",ROUND(VLOOKUP($B14,SportslineData!$AM:$AT,7,0),0))</f>
        <v>1</v>
      </c>
      <c r="N14" s="117"/>
      <c r="O14" s="33"/>
      <c r="P14" s="38">
        <f>IF(ISERROR(ROUND((((ROUNDDOWN((E14/5),0)*Settings!$F$11)+(D14*Settings!$I$11))+(F14*Settings!$F$12)),1)),0,ROUND((((ROUNDDOWN((E14/5),0)*Settings!$F$11)+(D14*Settings!$I$11))+(F14*Settings!$F$12)),1))</f>
        <v>135</v>
      </c>
      <c r="Q14" s="38">
        <f>IF(ISERROR(ROUND((((ROUNDDOWN((H14/5),0)*Settings!$F$11)+(G14*Settings!$I$11))+(I14*Settings!$F$12)),1)),0,ROUND((((ROUNDDOWN((H14/5),0)*Settings!$F$11)+(G14*Settings!$I$11))+(I14*Settings!$F$12)),1))</f>
        <v>135</v>
      </c>
      <c r="R14" s="38">
        <f>IF((J14=""),0,((((J14*Settings!$I$11)+(ROUND((K14/5),0)*Settings!$F$11))+(L14*Settings!$F$12))+(M14*Settings!$F$15)))</f>
        <v>132</v>
      </c>
      <c r="S14" s="66">
        <f>ROUND((((P14*Settings!$B$21)+(Q14*Settings!$B$22))+(R14*Settings!$B$23)),1)</f>
        <v>134</v>
      </c>
      <c r="T14" s="66">
        <f>IF(ISERROR(VLOOKUP(RANK(S14,S$4:S$182),T$4:T13,1,0)),RANK(S14,S$4:S$182),IF(ISERROR(VLOOKUP((RANK(S14,S$4:S$182)+1),T$4:T13,1,0)),(RANK(S14,S$4:S$182)+1),IF(ISERROR(VLOOKUP((RANK(S14,S$4:S$182)+2),T$4:T13,1,0)),(RANK(S14,S$4:S$182)+2),(RANK(S14,S$4:S$182)+3))))</f>
        <v>11</v>
      </c>
      <c r="U14" t="str">
        <f t="shared" si="2"/>
        <v>Martellus Bennett</v>
      </c>
    </row>
    <row r="15" spans="1:21" ht="12.75" customHeight="1">
      <c r="A15" s="33" t="str">
        <f>ESPNData!AX14</f>
        <v>Delanie Walker, Ten TE</v>
      </c>
      <c r="B15" s="33" t="str">
        <f t="shared" si="0"/>
        <v>Delanie Walker</v>
      </c>
      <c r="C15" s="64" t="str">
        <f t="shared" si="1"/>
        <v>TEN</v>
      </c>
      <c r="D15" s="117">
        <f>IF(ISERROR(VLOOKUP($B15,FFTodayData!$AN:$AT,4,0)),"",VLOOKUP($B15,FFTodayData!$AN:$AT,4,0))</f>
        <v>61</v>
      </c>
      <c r="E15" s="33">
        <f>IF(ISERROR(VLOOKUP($B15,FFTodayData!$AN:$AT,5,0)),"",VLOOKUP($B15,FFTodayData!$AN:$AT,5,0))</f>
        <v>636</v>
      </c>
      <c r="F15" s="64">
        <f>IF(ISERROR(VLOOKUP($B15,FFTodayData!$AN:$AT,6,0)),"",VLOOKUP($B15,FFTodayData!$AN:$AT,6,0))</f>
        <v>5</v>
      </c>
      <c r="G15" s="117">
        <f>IF(ISERROR(VLOOKUP($A15,ESPNData!$AX:$BK,11,0)),"",VLOOKUP($A15,ESPNData!$AX:$BK,11,0))</f>
        <v>55</v>
      </c>
      <c r="H15" s="33">
        <f>IF(ISERROR(VLOOKUP($A15,ESPNData!$AX:$BK,12,0)),"",VLOOKUP($A15,ESPNData!$AX:$BK,12,0))</f>
        <v>598</v>
      </c>
      <c r="I15" s="64">
        <f>IF(ISERROR(VLOOKUP($A15,ESPNData!$AX:$BK,13,0)),"",VLOOKUP($A15,ESPNData!$AX:$BK,13,0))</f>
        <v>5</v>
      </c>
      <c r="J15" s="117">
        <f>IF(ISERROR(VLOOKUP($B15,SportslineData!$AM:$AT,3,0)),"",ROUND(VLOOKUP($B15,SportslineData!$AM:$AT,3,0),0))</f>
        <v>58</v>
      </c>
      <c r="K15" s="33">
        <f>IF(ISERROR(VLOOKUP($B15,SportslineData!$AM:$AT,4,0)),"",VLOOKUP($B15,SportslineData!$AM:$AT,4,0))</f>
        <v>605.5</v>
      </c>
      <c r="L15" s="33">
        <f>IF(ISERROR(VLOOKUP($B15,SportslineData!$AM:$AT,6,0)),"",ROUND(VLOOKUP($B15,SportslineData!$AM:$AT,6,0),0))</f>
        <v>6</v>
      </c>
      <c r="M15" s="64">
        <f>IF(ISERROR(VLOOKUP($B15,SportslineData!$AM:$AT,7,0)),"",ROUND(VLOOKUP($B15,SportslineData!$AM:$AT,7,0),0))</f>
        <v>1</v>
      </c>
      <c r="N15" s="117"/>
      <c r="O15" s="33"/>
      <c r="P15" s="38">
        <f>IF(ISERROR(ROUND((((ROUNDDOWN((E15/5),0)*Settings!$F$11)+(D15*Settings!$I$11))+(F15*Settings!$F$12)),1)),0,ROUND((((ROUNDDOWN((E15/5),0)*Settings!$F$11)+(D15*Settings!$I$11))+(F15*Settings!$F$12)),1))</f>
        <v>124</v>
      </c>
      <c r="Q15" s="38">
        <f>IF(ISERROR(ROUND((((ROUNDDOWN((H15/5),0)*Settings!$F$11)+(G15*Settings!$I$11))+(I15*Settings!$F$12)),1)),0,ROUND((((ROUNDDOWN((H15/5),0)*Settings!$F$11)+(G15*Settings!$I$11))+(I15*Settings!$F$12)),1))</f>
        <v>117</v>
      </c>
      <c r="R15" s="38">
        <f>IF((J15=""),0,((((J15*Settings!$I$11)+(ROUND((K15/5),0)*Settings!$F$11))+(L15*Settings!$F$12))+(M15*Settings!$F$15)))</f>
        <v>124.5</v>
      </c>
      <c r="S15" s="66">
        <f>ROUND((((P15*Settings!$B$21)+(Q15*Settings!$B$22))+(R15*Settings!$B$23)),1)</f>
        <v>121.9</v>
      </c>
      <c r="T15" s="66">
        <f>IF(ISERROR(VLOOKUP(RANK(S15,S$4:S$182),T$4:T14,1,0)),RANK(S15,S$4:S$182),IF(ISERROR(VLOOKUP((RANK(S15,S$4:S$182)+1),T$4:T14,1,0)),(RANK(S15,S$4:S$182)+1),IF(ISERROR(VLOOKUP((RANK(S15,S$4:S$182)+2),T$4:T14,1,0)),(RANK(S15,S$4:S$182)+2),(RANK(S15,S$4:S$182)+3))))</f>
        <v>16</v>
      </c>
      <c r="U15" t="str">
        <f t="shared" si="2"/>
        <v>Delanie Walker</v>
      </c>
    </row>
    <row r="16" spans="1:21" ht="12.75" customHeight="1">
      <c r="A16" s="33" t="str">
        <f>ESPNData!AX15</f>
        <v>Zach Ertz, Phi TE</v>
      </c>
      <c r="B16" s="33" t="str">
        <f t="shared" si="0"/>
        <v>Zach Ertz</v>
      </c>
      <c r="C16" s="64" t="str">
        <f t="shared" si="1"/>
        <v>PHI</v>
      </c>
      <c r="D16" s="117">
        <f>IF(ISERROR(VLOOKUP($B16,FFTodayData!$AN:$AT,4,0)),"",VLOOKUP($B16,FFTodayData!$AN:$AT,4,0))</f>
        <v>48</v>
      </c>
      <c r="E16" s="33">
        <f>IF(ISERROR(VLOOKUP($B16,FFTodayData!$AN:$AT,5,0)),"",VLOOKUP($B16,FFTodayData!$AN:$AT,5,0))</f>
        <v>611</v>
      </c>
      <c r="F16" s="64">
        <f>IF(ISERROR(VLOOKUP($B16,FFTodayData!$AN:$AT,6,0)),"",VLOOKUP($B16,FFTodayData!$AN:$AT,6,0))</f>
        <v>6</v>
      </c>
      <c r="G16" s="117">
        <f>IF(ISERROR(VLOOKUP($A16,ESPNData!$AX:$BK,11,0)),"",VLOOKUP($A16,ESPNData!$AX:$BK,11,0))</f>
        <v>50</v>
      </c>
      <c r="H16" s="33">
        <f>IF(ISERROR(VLOOKUP($A16,ESPNData!$AX:$BK,12,0)),"",VLOOKUP($A16,ESPNData!$AX:$BK,12,0))</f>
        <v>646</v>
      </c>
      <c r="I16" s="64">
        <f>IF(ISERROR(VLOOKUP($A16,ESPNData!$AX:$BK,13,0)),"",VLOOKUP($A16,ESPNData!$AX:$BK,13,0))</f>
        <v>4</v>
      </c>
      <c r="J16" s="117">
        <f>IF(ISERROR(VLOOKUP($B16,SportslineData!$AM:$AT,3,0)),"",ROUND(VLOOKUP($B16,SportslineData!$AM:$AT,3,0),0))</f>
        <v>63</v>
      </c>
      <c r="K16" s="33">
        <f>IF(ISERROR(VLOOKUP($B16,SportslineData!$AM:$AT,4,0)),"",VLOOKUP($B16,SportslineData!$AM:$AT,4,0))</f>
        <v>769</v>
      </c>
      <c r="L16" s="33">
        <f>IF(ISERROR(VLOOKUP($B16,SportslineData!$AM:$AT,6,0)),"",ROUND(VLOOKUP($B16,SportslineData!$AM:$AT,6,0),0))</f>
        <v>7</v>
      </c>
      <c r="M16" s="64">
        <f>IF(ISERROR(VLOOKUP($B16,SportslineData!$AM:$AT,7,0)),"",ROUND(VLOOKUP($B16,SportslineData!$AM:$AT,7,0),0))</f>
        <v>1</v>
      </c>
      <c r="N16" s="117"/>
      <c r="O16" s="33"/>
      <c r="P16" s="38">
        <f>IF(ISERROR(ROUND((((ROUNDDOWN((E16/5),0)*Settings!$F$11)+(D16*Settings!$I$11))+(F16*Settings!$F$12)),1)),0,ROUND((((ROUNDDOWN((E16/5),0)*Settings!$F$11)+(D16*Settings!$I$11))+(F16*Settings!$F$12)),1))</f>
        <v>121</v>
      </c>
      <c r="Q16" s="38">
        <f>IF(ISERROR(ROUND((((ROUNDDOWN((H16/5),0)*Settings!$F$11)+(G16*Settings!$I$11))+(I16*Settings!$F$12)),1)),0,ROUND((((ROUNDDOWN((H16/5),0)*Settings!$F$11)+(G16*Settings!$I$11))+(I16*Settings!$F$12)),1))</f>
        <v>113.5</v>
      </c>
      <c r="R16" s="38">
        <f>IF((J16=""),0,((((J16*Settings!$I$11)+(ROUND((K16/5),0)*Settings!$F$11))+(L16*Settings!$F$12))+(M16*Settings!$F$15)))</f>
        <v>149.5</v>
      </c>
      <c r="S16" s="66">
        <f>ROUND((((P16*Settings!$B$21)+(Q16*Settings!$B$22))+(R16*Settings!$B$23)),1)</f>
        <v>128.19999999999999</v>
      </c>
      <c r="T16" s="66">
        <f>IF(ISERROR(VLOOKUP(RANK(S16,S$4:S$182),T$4:T15,1,0)),RANK(S16,S$4:S$182),IF(ISERROR(VLOOKUP((RANK(S16,S$4:S$182)+1),T$4:T15,1,0)),(RANK(S16,S$4:S$182)+1),IF(ISERROR(VLOOKUP((RANK(S16,S$4:S$182)+2),T$4:T15,1,0)),(RANK(S16,S$4:S$182)+2),(RANK(S16,S$4:S$182)+3))))</f>
        <v>12</v>
      </c>
      <c r="U16" t="str">
        <f t="shared" si="2"/>
        <v>Zach Ertz</v>
      </c>
    </row>
    <row r="17" spans="1:21" ht="12.75" customHeight="1">
      <c r="A17" s="33" t="str">
        <f>ESPNData!AX16</f>
        <v>Charles Clay, Mia TE</v>
      </c>
      <c r="B17" s="33" t="str">
        <f t="shared" si="0"/>
        <v>Charles Clay</v>
      </c>
      <c r="C17" s="64" t="str">
        <f t="shared" si="1"/>
        <v>MIA</v>
      </c>
      <c r="D17" s="117">
        <f>IF(ISERROR(VLOOKUP($B17,FFTodayData!$AN:$AT,4,0)),"",VLOOKUP($B17,FFTodayData!$AN:$AT,4,0))</f>
        <v>62</v>
      </c>
      <c r="E17" s="33">
        <f>IF(ISERROR(VLOOKUP($B17,FFTodayData!$AN:$AT,5,0)),"",VLOOKUP($B17,FFTodayData!$AN:$AT,5,0))</f>
        <v>707</v>
      </c>
      <c r="F17" s="64">
        <f>IF(ISERROR(VLOOKUP($B17,FFTodayData!$AN:$AT,6,0)),"",VLOOKUP($B17,FFTodayData!$AN:$AT,6,0))</f>
        <v>5</v>
      </c>
      <c r="G17" s="117">
        <f>IF(ISERROR(VLOOKUP($A17,ESPNData!$AX:$BK,11,0)),"",VLOOKUP($A17,ESPNData!$AX:$BK,11,0))</f>
        <v>62</v>
      </c>
      <c r="H17" s="33">
        <f>IF(ISERROR(VLOOKUP($A17,ESPNData!$AX:$BK,12,0)),"",VLOOKUP($A17,ESPNData!$AX:$BK,12,0))</f>
        <v>684</v>
      </c>
      <c r="I17" s="64">
        <f>IF(ISERROR(VLOOKUP($A17,ESPNData!$AX:$BK,13,0)),"",VLOOKUP($A17,ESPNData!$AX:$BK,13,0))</f>
        <v>5</v>
      </c>
      <c r="J17" s="117">
        <f>IF(ISERROR(VLOOKUP($B17,SportslineData!$AM:$AT,3,0)),"",ROUND(VLOOKUP($B17,SportslineData!$AM:$AT,3,0),0))</f>
        <v>53</v>
      </c>
      <c r="K17" s="33">
        <f>IF(ISERROR(VLOOKUP($B17,SportslineData!$AM:$AT,4,0)),"",VLOOKUP($B17,SportslineData!$AM:$AT,4,0))</f>
        <v>634.5</v>
      </c>
      <c r="L17" s="33">
        <f>IF(ISERROR(VLOOKUP($B17,SportslineData!$AM:$AT,6,0)),"",ROUND(VLOOKUP($B17,SportslineData!$AM:$AT,6,0),0))</f>
        <v>5</v>
      </c>
      <c r="M17" s="64">
        <f>IF(ISERROR(VLOOKUP($B17,SportslineData!$AM:$AT,7,0)),"",ROUND(VLOOKUP($B17,SportslineData!$AM:$AT,7,0),0))</f>
        <v>1</v>
      </c>
      <c r="N17" s="117"/>
      <c r="O17" s="33"/>
      <c r="P17" s="38">
        <f>IF(ISERROR(ROUND((((ROUNDDOWN((E17/5),0)*Settings!$F$11)+(D17*Settings!$I$11))+(F17*Settings!$F$12)),1)),0,ROUND((((ROUNDDOWN((E17/5),0)*Settings!$F$11)+(D17*Settings!$I$11))+(F17*Settings!$F$12)),1))</f>
        <v>131.5</v>
      </c>
      <c r="Q17" s="38">
        <f>IF(ISERROR(ROUND((((ROUNDDOWN((H17/5),0)*Settings!$F$11)+(G17*Settings!$I$11))+(I17*Settings!$F$12)),1)),0,ROUND((((ROUNDDOWN((H17/5),0)*Settings!$F$11)+(G17*Settings!$I$11))+(I17*Settings!$F$12)),1))</f>
        <v>129</v>
      </c>
      <c r="R17" s="38">
        <f>IF((J17=""),0,((((J17*Settings!$I$11)+(ROUND((K17/5),0)*Settings!$F$11))+(L17*Settings!$F$12))+(M17*Settings!$F$15)))</f>
        <v>119</v>
      </c>
      <c r="S17" s="66">
        <f>ROUND((((P17*Settings!$B$21)+(Q17*Settings!$B$22))+(R17*Settings!$B$23)),1)</f>
        <v>126.4</v>
      </c>
      <c r="T17" s="66">
        <f>IF(ISERROR(VLOOKUP(RANK(S17,S$4:S$182),T$4:T16,1,0)),RANK(S17,S$4:S$182),IF(ISERROR(VLOOKUP((RANK(S17,S$4:S$182)+1),T$4:T16,1,0)),(RANK(S17,S$4:S$182)+1),IF(ISERROR(VLOOKUP((RANK(S17,S$4:S$182)+2),T$4:T16,1,0)),(RANK(S17,S$4:S$182)+2),(RANK(S17,S$4:S$182)+3))))</f>
        <v>13</v>
      </c>
      <c r="U17" t="str">
        <f t="shared" si="2"/>
        <v>Charles Clay</v>
      </c>
    </row>
    <row r="18" spans="1:21" ht="12.75" customHeight="1">
      <c r="A18" s="33" t="str">
        <f>ESPNData!AX17</f>
        <v>Antonio Gates, SD TE</v>
      </c>
      <c r="B18" s="33" t="str">
        <f t="shared" si="0"/>
        <v>Antonio Gates</v>
      </c>
      <c r="C18" s="64" t="str">
        <f t="shared" si="1"/>
        <v>SD</v>
      </c>
      <c r="D18" s="117">
        <f>IF(ISERROR(VLOOKUP($B18,FFTodayData!$AN:$AT,4,0)),"",VLOOKUP($B18,FFTodayData!$AN:$AT,4,0))</f>
        <v>62</v>
      </c>
      <c r="E18" s="33">
        <f>IF(ISERROR(VLOOKUP($B18,FFTodayData!$AN:$AT,5,0)),"",VLOOKUP($B18,FFTodayData!$AN:$AT,5,0))</f>
        <v>702</v>
      </c>
      <c r="F18" s="64">
        <f>IF(ISERROR(VLOOKUP($B18,FFTodayData!$AN:$AT,6,0)),"",VLOOKUP($B18,FFTodayData!$AN:$AT,6,0))</f>
        <v>5</v>
      </c>
      <c r="G18" s="117">
        <f>IF(ISERROR(VLOOKUP($A18,ESPNData!$AX:$BK,11,0)),"",VLOOKUP($A18,ESPNData!$AX:$BK,11,0))</f>
        <v>54</v>
      </c>
      <c r="H18" s="33">
        <f>IF(ISERROR(VLOOKUP($A18,ESPNData!$AX:$BK,12,0)),"",VLOOKUP($A18,ESPNData!$AX:$BK,12,0))</f>
        <v>604</v>
      </c>
      <c r="I18" s="64">
        <f>IF(ISERROR(VLOOKUP($A18,ESPNData!$AX:$BK,13,0)),"",VLOOKUP($A18,ESPNData!$AX:$BK,13,0))</f>
        <v>4</v>
      </c>
      <c r="J18" s="117">
        <f>IF(ISERROR(VLOOKUP($B18,SportslineData!$AM:$AT,3,0)),"",ROUND(VLOOKUP($B18,SportslineData!$AM:$AT,3,0),0))</f>
        <v>66</v>
      </c>
      <c r="K18" s="33">
        <f>IF(ISERROR(VLOOKUP($B18,SportslineData!$AM:$AT,4,0)),"",VLOOKUP($B18,SportslineData!$AM:$AT,4,0))</f>
        <v>732.5</v>
      </c>
      <c r="L18" s="33">
        <f>IF(ISERROR(VLOOKUP($B18,SportslineData!$AM:$AT,6,0)),"",ROUND(VLOOKUP($B18,SportslineData!$AM:$AT,6,0),0))</f>
        <v>5</v>
      </c>
      <c r="M18" s="64">
        <f>IF(ISERROR(VLOOKUP($B18,SportslineData!$AM:$AT,7,0)),"",ROUND(VLOOKUP($B18,SportslineData!$AM:$AT,7,0),0))</f>
        <v>1</v>
      </c>
      <c r="N18" s="117"/>
      <c r="O18" s="33"/>
      <c r="P18" s="38">
        <f>IF(ISERROR(ROUND((((ROUNDDOWN((E18/5),0)*Settings!$F$11)+(D18*Settings!$I$11))+(F18*Settings!$F$12)),1)),0,ROUND((((ROUNDDOWN((E18/5),0)*Settings!$F$11)+(D18*Settings!$I$11))+(F18*Settings!$F$12)),1))</f>
        <v>131</v>
      </c>
      <c r="Q18" s="38">
        <f>IF(ISERROR(ROUND((((ROUNDDOWN((H18/5),0)*Settings!$F$11)+(G18*Settings!$I$11))+(I18*Settings!$F$12)),1)),0,ROUND((((ROUNDDOWN((H18/5),0)*Settings!$F$11)+(G18*Settings!$I$11))+(I18*Settings!$F$12)),1))</f>
        <v>111</v>
      </c>
      <c r="R18" s="38">
        <f>IF((J18=""),0,((((J18*Settings!$I$11)+(ROUND((K18/5),0)*Settings!$F$11))+(L18*Settings!$F$12))+(M18*Settings!$F$15)))</f>
        <v>135.5</v>
      </c>
      <c r="S18" s="66">
        <f>ROUND((((P18*Settings!$B$21)+(Q18*Settings!$B$22))+(R18*Settings!$B$23)),1)</f>
        <v>125.9</v>
      </c>
      <c r="T18" s="66">
        <f>IF(ISERROR(VLOOKUP(RANK(S18,S$4:S$182),T$4:T17,1,0)),RANK(S18,S$4:S$182),IF(ISERROR(VLOOKUP((RANK(S18,S$4:S$182)+1),T$4:T17,1,0)),(RANK(S18,S$4:S$182)+1),IF(ISERROR(VLOOKUP((RANK(S18,S$4:S$182)+2),T$4:T17,1,0)),(RANK(S18,S$4:S$182)+2),(RANK(S18,S$4:S$182)+3))))</f>
        <v>14</v>
      </c>
      <c r="U18" t="str">
        <f t="shared" si="2"/>
        <v>Antonio Gates</v>
      </c>
    </row>
    <row r="19" spans="1:21" ht="12.75" customHeight="1">
      <c r="A19" s="33" t="str">
        <f>ESPNData!AX18</f>
        <v>Ladarius Green, SD TE</v>
      </c>
      <c r="B19" s="33" t="str">
        <f t="shared" si="0"/>
        <v>Ladarius Green</v>
      </c>
      <c r="C19" s="64" t="str">
        <f t="shared" si="1"/>
        <v>SD</v>
      </c>
      <c r="D19" s="117">
        <f>IF(ISERROR(VLOOKUP($B19,FFTodayData!$AN:$AT,4,0)),"",VLOOKUP($B19,FFTodayData!$AN:$AT,4,0))</f>
        <v>49</v>
      </c>
      <c r="E19" s="33">
        <f>IF(ISERROR(VLOOKUP($B19,FFTodayData!$AN:$AT,5,0)),"",VLOOKUP($B19,FFTodayData!$AN:$AT,5,0))</f>
        <v>584</v>
      </c>
      <c r="F19" s="64">
        <f>IF(ISERROR(VLOOKUP($B19,FFTodayData!$AN:$AT,6,0)),"",VLOOKUP($B19,FFTodayData!$AN:$AT,6,0))</f>
        <v>5</v>
      </c>
      <c r="G19" s="117">
        <f>IF(ISERROR(VLOOKUP($A19,ESPNData!$AX:$BK,11,0)),"",VLOOKUP($A19,ESPNData!$AX:$BK,11,0))</f>
        <v>38</v>
      </c>
      <c r="H19" s="33">
        <f>IF(ISERROR(VLOOKUP($A19,ESPNData!$AX:$BK,12,0)),"",VLOOKUP($A19,ESPNData!$AX:$BK,12,0))</f>
        <v>584</v>
      </c>
      <c r="I19" s="64">
        <f>IF(ISERROR(VLOOKUP($A19,ESPNData!$AX:$BK,13,0)),"",VLOOKUP($A19,ESPNData!$AX:$BK,13,0))</f>
        <v>4</v>
      </c>
      <c r="J19" s="117">
        <f>IF(ISERROR(VLOOKUP($B19,SportslineData!$AM:$AT,3,0)),"",ROUND(VLOOKUP($B19,SportslineData!$AM:$AT,3,0),0))</f>
        <v>48</v>
      </c>
      <c r="K19" s="33">
        <f>IF(ISERROR(VLOOKUP($B19,SportslineData!$AM:$AT,4,0)),"",VLOOKUP($B19,SportslineData!$AM:$AT,4,0))</f>
        <v>703</v>
      </c>
      <c r="L19" s="33">
        <f>IF(ISERROR(VLOOKUP($B19,SportslineData!$AM:$AT,6,0)),"",ROUND(VLOOKUP($B19,SportslineData!$AM:$AT,6,0),0))</f>
        <v>6</v>
      </c>
      <c r="M19" s="64">
        <f>IF(ISERROR(VLOOKUP($B19,SportslineData!$AM:$AT,7,0)),"",ROUND(VLOOKUP($B19,SportslineData!$AM:$AT,7,0),0))</f>
        <v>0</v>
      </c>
      <c r="N19" s="117"/>
      <c r="O19" s="33"/>
      <c r="P19" s="38">
        <f>IF(ISERROR(ROUND((((ROUNDDOWN((E19/5),0)*Settings!$F$11)+(D19*Settings!$I$11))+(F19*Settings!$F$12)),1)),0,ROUND((((ROUNDDOWN((E19/5),0)*Settings!$F$11)+(D19*Settings!$I$11))+(F19*Settings!$F$12)),1))</f>
        <v>112.5</v>
      </c>
      <c r="Q19" s="38">
        <f>IF(ISERROR(ROUND((((ROUNDDOWN((H19/5),0)*Settings!$F$11)+(G19*Settings!$I$11))+(I19*Settings!$F$12)),1)),0,ROUND((((ROUNDDOWN((H19/5),0)*Settings!$F$11)+(G19*Settings!$I$11))+(I19*Settings!$F$12)),1))</f>
        <v>101</v>
      </c>
      <c r="R19" s="38">
        <f>IF((J19=""),0,((((J19*Settings!$I$11)+(ROUND((K19/5),0)*Settings!$F$11))+(L19*Settings!$F$12))+(M19*Settings!$F$15)))</f>
        <v>130.5</v>
      </c>
      <c r="S19" s="66">
        <f>ROUND((((P19*Settings!$B$21)+(Q19*Settings!$B$22))+(R19*Settings!$B$23)),1)</f>
        <v>114.8</v>
      </c>
      <c r="T19" s="66">
        <f>IF(ISERROR(VLOOKUP(RANK(S19,S$4:S$182),T$4:T18,1,0)),RANK(S19,S$4:S$182),IF(ISERROR(VLOOKUP((RANK(S19,S$4:S$182)+1),T$4:T18,1,0)),(RANK(S19,S$4:S$182)+1),IF(ISERROR(VLOOKUP((RANK(S19,S$4:S$182)+2),T$4:T18,1,0)),(RANK(S19,S$4:S$182)+2),(RANK(S19,S$4:S$182)+3))))</f>
        <v>17</v>
      </c>
      <c r="U19" t="str">
        <f t="shared" si="2"/>
        <v>Ladarius Green</v>
      </c>
    </row>
    <row r="20" spans="1:21" ht="12.75" customHeight="1">
      <c r="A20" s="33" t="str">
        <f>ESPNData!AX19</f>
        <v>Coby Fleener, Ind TE</v>
      </c>
      <c r="B20" s="33" t="str">
        <f t="shared" si="0"/>
        <v>Coby Fleener</v>
      </c>
      <c r="C20" s="64" t="str">
        <f t="shared" si="1"/>
        <v>IND</v>
      </c>
      <c r="D20" s="117">
        <f>IF(ISERROR(VLOOKUP($B20,FFTodayData!$AN:$AT,4,0)),"",VLOOKUP($B20,FFTodayData!$AN:$AT,4,0))</f>
        <v>35</v>
      </c>
      <c r="E20" s="33">
        <f>IF(ISERROR(VLOOKUP($B20,FFTodayData!$AN:$AT,5,0)),"",VLOOKUP($B20,FFTodayData!$AN:$AT,5,0))</f>
        <v>385</v>
      </c>
      <c r="F20" s="64">
        <f>IF(ISERROR(VLOOKUP($B20,FFTodayData!$AN:$AT,6,0)),"",VLOOKUP($B20,FFTodayData!$AN:$AT,6,0))</f>
        <v>3</v>
      </c>
      <c r="G20" s="117">
        <f>IF(ISERROR(VLOOKUP($A20,ESPNData!$AX:$BK,11,0)),"",VLOOKUP($A20,ESPNData!$AX:$BK,11,0))</f>
        <v>37</v>
      </c>
      <c r="H20" s="33">
        <f>IF(ISERROR(VLOOKUP($A20,ESPNData!$AX:$BK,12,0)),"",VLOOKUP($A20,ESPNData!$AX:$BK,12,0))</f>
        <v>433</v>
      </c>
      <c r="I20" s="64">
        <f>IF(ISERROR(VLOOKUP($A20,ESPNData!$AX:$BK,13,0)),"",VLOOKUP($A20,ESPNData!$AX:$BK,13,0))</f>
        <v>5</v>
      </c>
      <c r="J20" s="117">
        <f>IF(ISERROR(VLOOKUP($B20,SportslineData!$AM:$AT,3,0)),"",ROUND(VLOOKUP($B20,SportslineData!$AM:$AT,3,0),0))</f>
        <v>36</v>
      </c>
      <c r="K20" s="33">
        <f>IF(ISERROR(VLOOKUP($B20,SportslineData!$AM:$AT,4,0)),"",VLOOKUP($B20,SportslineData!$AM:$AT,4,0))</f>
        <v>447.5</v>
      </c>
      <c r="L20" s="33">
        <f>IF(ISERROR(VLOOKUP($B20,SportslineData!$AM:$AT,6,0)),"",ROUND(VLOOKUP($B20,SportslineData!$AM:$AT,6,0),0))</f>
        <v>4</v>
      </c>
      <c r="M20" s="64">
        <f>IF(ISERROR(VLOOKUP($B20,SportslineData!$AM:$AT,7,0)),"",ROUND(VLOOKUP($B20,SportslineData!$AM:$AT,7,0),0))</f>
        <v>0</v>
      </c>
      <c r="N20" s="117"/>
      <c r="O20" s="33"/>
      <c r="P20" s="38">
        <f>IF(ISERROR(ROUND((((ROUNDDOWN((E20/5),0)*Settings!$F$11)+(D20*Settings!$I$11))+(F20*Settings!$F$12)),1)),0,ROUND((((ROUNDDOWN((E20/5),0)*Settings!$F$11)+(D20*Settings!$I$11))+(F20*Settings!$F$12)),1))</f>
        <v>74</v>
      </c>
      <c r="Q20" s="38">
        <f>IF(ISERROR(ROUND((((ROUNDDOWN((H20/5),0)*Settings!$F$11)+(G20*Settings!$I$11))+(I20*Settings!$F$12)),1)),0,ROUND((((ROUNDDOWN((H20/5),0)*Settings!$F$11)+(G20*Settings!$I$11))+(I20*Settings!$F$12)),1))</f>
        <v>91.5</v>
      </c>
      <c r="R20" s="38">
        <f>IF((J20=""),0,((((J20*Settings!$I$11)+(ROUND((K20/5),0)*Settings!$F$11))+(L20*Settings!$F$12))+(M20*Settings!$F$15)))</f>
        <v>87</v>
      </c>
      <c r="S20" s="66">
        <f>ROUND((((P20*Settings!$B$21)+(Q20*Settings!$B$22))+(R20*Settings!$B$23)),1)</f>
        <v>84.2</v>
      </c>
      <c r="T20" s="66">
        <f>IF(ISERROR(VLOOKUP(RANK(S20,S$4:S$182),T$4:T19,1,0)),RANK(S20,S$4:S$182),IF(ISERROR(VLOOKUP((RANK(S20,S$4:S$182)+1),T$4:T19,1,0)),(RANK(S20,S$4:S$182)+1),IF(ISERROR(VLOOKUP((RANK(S20,S$4:S$182)+2),T$4:T19,1,0)),(RANK(S20,S$4:S$182)+2),(RANK(S20,S$4:S$182)+3))))</f>
        <v>25</v>
      </c>
      <c r="U20" t="str">
        <f t="shared" si="2"/>
        <v>Coby Fleener</v>
      </c>
    </row>
    <row r="21" spans="1:21" ht="12.75" customHeight="1">
      <c r="A21" s="33" t="str">
        <f>ESPNData!AX20</f>
        <v>Eric Ebron, Det TE</v>
      </c>
      <c r="B21" s="33" t="str">
        <f t="shared" si="0"/>
        <v>Eric Ebron</v>
      </c>
      <c r="C21" s="64" t="str">
        <f t="shared" si="1"/>
        <v>DET</v>
      </c>
      <c r="D21" s="117">
        <f>IF(ISERROR(VLOOKUP($B21,FFTodayData!$AN:$AT,4,0)),"",VLOOKUP($B21,FFTodayData!$AN:$AT,4,0))</f>
        <v>46</v>
      </c>
      <c r="E21" s="33">
        <f>IF(ISERROR(VLOOKUP($B21,FFTodayData!$AN:$AT,5,0)),"",VLOOKUP($B21,FFTodayData!$AN:$AT,5,0))</f>
        <v>485</v>
      </c>
      <c r="F21" s="64">
        <f>IF(ISERROR(VLOOKUP($B21,FFTodayData!$AN:$AT,6,0)),"",VLOOKUP($B21,FFTodayData!$AN:$AT,6,0))</f>
        <v>3</v>
      </c>
      <c r="G21" s="117">
        <f>IF(ISERROR(VLOOKUP($A21,ESPNData!$AX:$BK,11,0)),"",VLOOKUP($A21,ESPNData!$AX:$BK,11,0))</f>
        <v>33</v>
      </c>
      <c r="H21" s="33">
        <f>IF(ISERROR(VLOOKUP($A21,ESPNData!$AX:$BK,12,0)),"",VLOOKUP($A21,ESPNData!$AX:$BK,12,0))</f>
        <v>476</v>
      </c>
      <c r="I21" s="64">
        <f>IF(ISERROR(VLOOKUP($A21,ESPNData!$AX:$BK,13,0)),"",VLOOKUP($A21,ESPNData!$AX:$BK,13,0))</f>
        <v>4</v>
      </c>
      <c r="J21" s="117">
        <f>IF(ISERROR(VLOOKUP($B21,SportslineData!$AM:$AT,3,0)),"",ROUND(VLOOKUP($B21,SportslineData!$AM:$AT,3,0),0))</f>
        <v>43</v>
      </c>
      <c r="K21" s="33">
        <f>IF(ISERROR(VLOOKUP($B21,SportslineData!$AM:$AT,4,0)),"",VLOOKUP($B21,SportslineData!$AM:$AT,4,0))</f>
        <v>573.5</v>
      </c>
      <c r="L21" s="33">
        <f>IF(ISERROR(VLOOKUP($B21,SportslineData!$AM:$AT,6,0)),"",ROUND(VLOOKUP($B21,SportslineData!$AM:$AT,6,0),0))</f>
        <v>6</v>
      </c>
      <c r="M21" s="64">
        <f>IF(ISERROR(VLOOKUP($B21,SportslineData!$AM:$AT,7,0)),"",ROUND(VLOOKUP($B21,SportslineData!$AM:$AT,7,0),0))</f>
        <v>0</v>
      </c>
      <c r="N21" s="117"/>
      <c r="O21" s="33"/>
      <c r="P21" s="38">
        <f>IF(ISERROR(ROUND((((ROUNDDOWN((E21/5),0)*Settings!$F$11)+(D21*Settings!$I$11))+(F21*Settings!$F$12)),1)),0,ROUND((((ROUNDDOWN((E21/5),0)*Settings!$F$11)+(D21*Settings!$I$11))+(F21*Settings!$F$12)),1))</f>
        <v>89.5</v>
      </c>
      <c r="Q21" s="38">
        <f>IF(ISERROR(ROUND((((ROUNDDOWN((H21/5),0)*Settings!$F$11)+(G21*Settings!$I$11))+(I21*Settings!$F$12)),1)),0,ROUND((((ROUNDDOWN((H21/5),0)*Settings!$F$11)+(G21*Settings!$I$11))+(I21*Settings!$F$12)),1))</f>
        <v>88</v>
      </c>
      <c r="R21" s="38">
        <f>IF((J21=""),0,((((J21*Settings!$I$11)+(ROUND((K21/5),0)*Settings!$F$11))+(L21*Settings!$F$12))+(M21*Settings!$F$15)))</f>
        <v>115</v>
      </c>
      <c r="S21" s="66">
        <f>ROUND((((P21*Settings!$B$21)+(Q21*Settings!$B$22))+(R21*Settings!$B$23)),1)</f>
        <v>97.7</v>
      </c>
      <c r="T21" s="66">
        <f>IF(ISERROR(VLOOKUP(RANK(S21,S$4:S$182),T$4:T20,1,0)),RANK(S21,S$4:S$182),IF(ISERROR(VLOOKUP((RANK(S21,S$4:S$182)+1),T$4:T20,1,0)),(RANK(S21,S$4:S$182)+1),IF(ISERROR(VLOOKUP((RANK(S21,S$4:S$182)+2),T$4:T20,1,0)),(RANK(S21,S$4:S$182)+2),(RANK(S21,S$4:S$182)+3))))</f>
        <v>20</v>
      </c>
      <c r="U21" t="str">
        <f t="shared" si="2"/>
        <v>Eric Ebron</v>
      </c>
    </row>
    <row r="22" spans="1:21" ht="12.75" customHeight="1">
      <c r="A22" s="33" t="str">
        <f>ESPNData!AX21</f>
        <v>Heath Miller, Pit TE</v>
      </c>
      <c r="B22" s="33" t="str">
        <f t="shared" si="0"/>
        <v>Heath Miller</v>
      </c>
      <c r="C22" s="64" t="str">
        <f t="shared" si="1"/>
        <v>PIT</v>
      </c>
      <c r="D22" s="117">
        <f>IF(ISERROR(VLOOKUP($B22,FFTodayData!$AN:$AT,4,0)),"",VLOOKUP($B22,FFTodayData!$AN:$AT,4,0))</f>
        <v>64</v>
      </c>
      <c r="E22" s="33">
        <f>IF(ISERROR(VLOOKUP($B22,FFTodayData!$AN:$AT,5,0)),"",VLOOKUP($B22,FFTodayData!$AN:$AT,5,0))</f>
        <v>682</v>
      </c>
      <c r="F22" s="64">
        <f>IF(ISERROR(VLOOKUP($B22,FFTodayData!$AN:$AT,6,0)),"",VLOOKUP($B22,FFTodayData!$AN:$AT,6,0))</f>
        <v>5</v>
      </c>
      <c r="G22" s="117">
        <f>IF(ISERROR(VLOOKUP($A22,ESPNData!$AX:$BK,11,0)),"",VLOOKUP($A22,ESPNData!$AX:$BK,11,0))</f>
        <v>61</v>
      </c>
      <c r="H22" s="33">
        <f>IF(ISERROR(VLOOKUP($A22,ESPNData!$AX:$BK,12,0)),"",VLOOKUP($A22,ESPNData!$AX:$BK,12,0))</f>
        <v>632</v>
      </c>
      <c r="I22" s="64">
        <f>IF(ISERROR(VLOOKUP($A22,ESPNData!$AX:$BK,13,0)),"",VLOOKUP($A22,ESPNData!$AX:$BK,13,0))</f>
        <v>2</v>
      </c>
      <c r="J22" s="117">
        <f>IF(ISERROR(VLOOKUP($B22,SportslineData!$AM:$AT,3,0)),"",ROUND(VLOOKUP($B22,SportslineData!$AM:$AT,3,0),0))</f>
        <v>61</v>
      </c>
      <c r="K22" s="33">
        <f>IF(ISERROR(VLOOKUP($B22,SportslineData!$AM:$AT,4,0)),"",VLOOKUP($B22,SportslineData!$AM:$AT,4,0))</f>
        <v>699</v>
      </c>
      <c r="L22" s="33">
        <f>IF(ISERROR(VLOOKUP($B22,SportslineData!$AM:$AT,6,0)),"",ROUND(VLOOKUP($B22,SportslineData!$AM:$AT,6,0),0))</f>
        <v>6</v>
      </c>
      <c r="M22" s="64">
        <f>IF(ISERROR(VLOOKUP($B22,SportslineData!$AM:$AT,7,0)),"",ROUND(VLOOKUP($B22,SportslineData!$AM:$AT,7,0),0))</f>
        <v>1</v>
      </c>
      <c r="N22" s="117"/>
      <c r="O22" s="33"/>
      <c r="P22" s="38">
        <f>IF(ISERROR(ROUND((((ROUNDDOWN((E22/5),0)*Settings!$F$11)+(D22*Settings!$I$11))+(F22*Settings!$F$12)),1)),0,ROUND((((ROUNDDOWN((E22/5),0)*Settings!$F$11)+(D22*Settings!$I$11))+(F22*Settings!$F$12)),1))</f>
        <v>130</v>
      </c>
      <c r="Q22" s="38">
        <f>IF(ISERROR(ROUND((((ROUNDDOWN((H22/5),0)*Settings!$F$11)+(G22*Settings!$I$11))+(I22*Settings!$F$12)),1)),0,ROUND((((ROUNDDOWN((H22/5),0)*Settings!$F$11)+(G22*Settings!$I$11))+(I22*Settings!$F$12)),1))</f>
        <v>105.5</v>
      </c>
      <c r="R22" s="38">
        <f>IF((J22=""),0,((((J22*Settings!$I$11)+(ROUND((K22/5),0)*Settings!$F$11))+(L22*Settings!$F$12))+(M22*Settings!$F$15)))</f>
        <v>135.5</v>
      </c>
      <c r="S22" s="66">
        <f>ROUND((((P22*Settings!$B$21)+(Q22*Settings!$B$22))+(R22*Settings!$B$23)),1)</f>
        <v>123.8</v>
      </c>
      <c r="T22" s="66">
        <f>IF(ISERROR(VLOOKUP(RANK(S22,S$4:S$182),T$4:T21,1,0)),RANK(S22,S$4:S$182),IF(ISERROR(VLOOKUP((RANK(S22,S$4:S$182)+1),T$4:T21,1,0)),(RANK(S22,S$4:S$182)+1),IF(ISERROR(VLOOKUP((RANK(S22,S$4:S$182)+2),T$4:T21,1,0)),(RANK(S22,S$4:S$182)+2),(RANK(S22,S$4:S$182)+3))))</f>
        <v>15</v>
      </c>
      <c r="U22" t="str">
        <f t="shared" si="2"/>
        <v>Heath Miller</v>
      </c>
    </row>
    <row r="23" spans="1:21" ht="12.75" customHeight="1">
      <c r="A23" s="33" t="str">
        <f>ESPNData!AX22</f>
        <v>Dwayne Allen, Ind TE</v>
      </c>
      <c r="B23" s="33" t="str">
        <f t="shared" si="0"/>
        <v>Dwayne Allen</v>
      </c>
      <c r="C23" s="64" t="str">
        <f t="shared" si="1"/>
        <v>IND</v>
      </c>
      <c r="D23" s="117">
        <f>IF(ISERROR(VLOOKUP($B23,FFTodayData!$AN:$AT,4,0)),"",VLOOKUP($B23,FFTodayData!$AN:$AT,4,0))</f>
        <v>55</v>
      </c>
      <c r="E23" s="33">
        <f>IF(ISERROR(VLOOKUP($B23,FFTodayData!$AN:$AT,5,0)),"",VLOOKUP($B23,FFTodayData!$AN:$AT,5,0))</f>
        <v>613</v>
      </c>
      <c r="F23" s="64">
        <f>IF(ISERROR(VLOOKUP($B23,FFTodayData!$AN:$AT,6,0)),"",VLOOKUP($B23,FFTodayData!$AN:$AT,6,0))</f>
        <v>5</v>
      </c>
      <c r="G23" s="117">
        <f>IF(ISERROR(VLOOKUP($A23,ESPNData!$AX:$BK,11,0)),"",VLOOKUP($A23,ESPNData!$AX:$BK,11,0))</f>
        <v>35</v>
      </c>
      <c r="H23" s="33">
        <f>IF(ISERROR(VLOOKUP($A23,ESPNData!$AX:$BK,12,0)),"",VLOOKUP($A23,ESPNData!$AX:$BK,12,0))</f>
        <v>411</v>
      </c>
      <c r="I23" s="64">
        <f>IF(ISERROR(VLOOKUP($A23,ESPNData!$AX:$BK,13,0)),"",VLOOKUP($A23,ESPNData!$AX:$BK,13,0))</f>
        <v>3</v>
      </c>
      <c r="J23" s="117">
        <f>IF(ISERROR(VLOOKUP($B23,SportslineData!$AM:$AT,3,0)),"",ROUND(VLOOKUP($B23,SportslineData!$AM:$AT,3,0),0))</f>
        <v>46</v>
      </c>
      <c r="K23" s="33">
        <f>IF(ISERROR(VLOOKUP($B23,SportslineData!$AM:$AT,4,0)),"",VLOOKUP($B23,SportslineData!$AM:$AT,4,0))</f>
        <v>575</v>
      </c>
      <c r="L23" s="33">
        <f>IF(ISERROR(VLOOKUP($B23,SportslineData!$AM:$AT,6,0)),"",ROUND(VLOOKUP($B23,SportslineData!$AM:$AT,6,0),0))</f>
        <v>6</v>
      </c>
      <c r="M23" s="64">
        <f>IF(ISERROR(VLOOKUP($B23,SportslineData!$AM:$AT,7,0)),"",ROUND(VLOOKUP($B23,SportslineData!$AM:$AT,7,0),0))</f>
        <v>0</v>
      </c>
      <c r="N23" s="117"/>
      <c r="O23" s="33"/>
      <c r="P23" s="38">
        <f>IF(ISERROR(ROUND((((ROUNDDOWN((E23/5),0)*Settings!$F$11)+(D23*Settings!$I$11))+(F23*Settings!$F$12)),1)),0,ROUND((((ROUNDDOWN((E23/5),0)*Settings!$F$11)+(D23*Settings!$I$11))+(F23*Settings!$F$12)),1))</f>
        <v>118.5</v>
      </c>
      <c r="Q23" s="38">
        <f>IF(ISERROR(ROUND((((ROUNDDOWN((H23/5),0)*Settings!$F$11)+(G23*Settings!$I$11))+(I23*Settings!$F$12)),1)),0,ROUND((((ROUNDDOWN((H23/5),0)*Settings!$F$11)+(G23*Settings!$I$11))+(I23*Settings!$F$12)),1))</f>
        <v>76.5</v>
      </c>
      <c r="R23" s="38">
        <f>IF((J23=""),0,((((J23*Settings!$I$11)+(ROUND((K23/5),0)*Settings!$F$11))+(L23*Settings!$F$12))+(M23*Settings!$F$15)))</f>
        <v>116.5</v>
      </c>
      <c r="S23" s="66">
        <f>ROUND((((P23*Settings!$B$21)+(Q23*Settings!$B$22))+(R23*Settings!$B$23)),1)</f>
        <v>104</v>
      </c>
      <c r="T23" s="66">
        <f>IF(ISERROR(VLOOKUP(RANK(S23,S$4:S$182),T$4:T22,1,0)),RANK(S23,S$4:S$182),IF(ISERROR(VLOOKUP((RANK(S23,S$4:S$182)+1),T$4:T22,1,0)),(RANK(S23,S$4:S$182)+1),IF(ISERROR(VLOOKUP((RANK(S23,S$4:S$182)+2),T$4:T22,1,0)),(RANK(S23,S$4:S$182)+2),(RANK(S23,S$4:S$182)+3))))</f>
        <v>19</v>
      </c>
      <c r="U23" t="str">
        <f t="shared" si="2"/>
        <v>Dwayne Allen</v>
      </c>
    </row>
    <row r="24" spans="1:21" ht="12.75" customHeight="1">
      <c r="A24" s="33" t="str">
        <f>ESPNData!AX23</f>
        <v>Tyler Eifert, Cin TE  P</v>
      </c>
      <c r="B24" s="33" t="str">
        <f t="shared" si="0"/>
        <v>Tyler Eifert</v>
      </c>
      <c r="C24" s="64" t="str">
        <f t="shared" si="1"/>
        <v>CIN</v>
      </c>
      <c r="D24" s="117">
        <f>IF(ISERROR(VLOOKUP($B24,FFTodayData!$AN:$AT,4,0)),"",VLOOKUP($B24,FFTodayData!$AN:$AT,4,0))</f>
        <v>51</v>
      </c>
      <c r="E24" s="33">
        <f>IF(ISERROR(VLOOKUP($B24,FFTodayData!$AN:$AT,5,0)),"",VLOOKUP($B24,FFTodayData!$AN:$AT,5,0))</f>
        <v>531</v>
      </c>
      <c r="F24" s="64">
        <f>IF(ISERROR(VLOOKUP($B24,FFTodayData!$AN:$AT,6,0)),"",VLOOKUP($B24,FFTodayData!$AN:$AT,6,0))</f>
        <v>4</v>
      </c>
      <c r="G24" s="117">
        <f>IF(ISERROR(VLOOKUP($A24,ESPNData!$AX:$BK,11,0)),"",VLOOKUP($A24,ESPNData!$AX:$BK,11,0))</f>
        <v>45</v>
      </c>
      <c r="H24" s="33">
        <f>IF(ISERROR(VLOOKUP($A24,ESPNData!$AX:$BK,12,0)),"",VLOOKUP($A24,ESPNData!$AX:$BK,12,0))</f>
        <v>505</v>
      </c>
      <c r="I24" s="64">
        <f>IF(ISERROR(VLOOKUP($A24,ESPNData!$AX:$BK,13,0)),"",VLOOKUP($A24,ESPNData!$AX:$BK,13,0))</f>
        <v>3</v>
      </c>
      <c r="J24" s="117">
        <f>IF(ISERROR(VLOOKUP($B24,SportslineData!$AM:$AT,3,0)),"",ROUND(VLOOKUP($B24,SportslineData!$AM:$AT,3,0),0))</f>
        <v>38</v>
      </c>
      <c r="K24" s="33">
        <f>IF(ISERROR(VLOOKUP($B24,SportslineData!$AM:$AT,4,0)),"",VLOOKUP($B24,SportslineData!$AM:$AT,4,0))</f>
        <v>502.5</v>
      </c>
      <c r="L24" s="33">
        <f>IF(ISERROR(VLOOKUP($B24,SportslineData!$AM:$AT,6,0)),"",ROUND(VLOOKUP($B24,SportslineData!$AM:$AT,6,0),0))</f>
        <v>4</v>
      </c>
      <c r="M24" s="64">
        <f>IF(ISERROR(VLOOKUP($B24,SportslineData!$AM:$AT,7,0)),"",ROUND(VLOOKUP($B24,SportslineData!$AM:$AT,7,0),0))</f>
        <v>0</v>
      </c>
      <c r="N24" s="117"/>
      <c r="O24" s="33"/>
      <c r="P24" s="38">
        <f>IF(ISERROR(ROUND((((ROUNDDOWN((E24/5),0)*Settings!$F$11)+(D24*Settings!$I$11))+(F24*Settings!$F$12)),1)),0,ROUND((((ROUNDDOWN((E24/5),0)*Settings!$F$11)+(D24*Settings!$I$11))+(F24*Settings!$F$12)),1))</f>
        <v>102.5</v>
      </c>
      <c r="Q24" s="38">
        <f>IF(ISERROR(ROUND((((ROUNDDOWN((H24/5),0)*Settings!$F$11)+(G24*Settings!$I$11))+(I24*Settings!$F$12)),1)),0,ROUND((((ROUNDDOWN((H24/5),0)*Settings!$F$11)+(G24*Settings!$I$11))+(I24*Settings!$F$12)),1))</f>
        <v>91</v>
      </c>
      <c r="R24" s="38">
        <f>IF((J24=""),0,((((J24*Settings!$I$11)+(ROUND((K24/5),0)*Settings!$F$11))+(L24*Settings!$F$12))+(M24*Settings!$F$15)))</f>
        <v>93.5</v>
      </c>
      <c r="S24" s="66">
        <f>ROUND((((P24*Settings!$B$21)+(Q24*Settings!$B$22))+(R24*Settings!$B$23)),1)</f>
        <v>95.6</v>
      </c>
      <c r="T24" s="66">
        <f>IF(ISERROR(VLOOKUP(RANK(S24,S$4:S$182),T$4:T23,1,0)),RANK(S24,S$4:S$182),IF(ISERROR(VLOOKUP((RANK(S24,S$4:S$182)+1),T$4:T23,1,0)),(RANK(S24,S$4:S$182)+1),IF(ISERROR(VLOOKUP((RANK(S24,S$4:S$182)+2),T$4:T23,1,0)),(RANK(S24,S$4:S$182)+2),(RANK(S24,S$4:S$182)+3))))</f>
        <v>21</v>
      </c>
      <c r="U24" t="str">
        <f t="shared" si="2"/>
        <v>Tyler Eifert</v>
      </c>
    </row>
    <row r="25" spans="1:21" ht="12.75" customHeight="1">
      <c r="A25" s="33" t="str">
        <f>ESPNData!AX24</f>
        <v>Owen Daniels, Bal TE</v>
      </c>
      <c r="B25" s="33" t="str">
        <f t="shared" si="0"/>
        <v>Owen Daniels</v>
      </c>
      <c r="C25" s="64" t="str">
        <f t="shared" si="1"/>
        <v>BAL</v>
      </c>
      <c r="D25" s="117">
        <f>IF(ISERROR(VLOOKUP($B25,FFTodayData!$AN:$AT,4,0)),"",VLOOKUP($B25,FFTodayData!$AN:$AT,4,0))</f>
        <v>21</v>
      </c>
      <c r="E25" s="33">
        <f>IF(ISERROR(VLOOKUP($B25,FFTodayData!$AN:$AT,5,0)),"",VLOOKUP($B25,FFTodayData!$AN:$AT,5,0))</f>
        <v>228</v>
      </c>
      <c r="F25" s="64">
        <f>IF(ISERROR(VLOOKUP($B25,FFTodayData!$AN:$AT,6,0)),"",VLOOKUP($B25,FFTodayData!$AN:$AT,6,0))</f>
        <v>2</v>
      </c>
      <c r="G25" s="117">
        <f>IF(ISERROR(VLOOKUP($A25,ESPNData!$AX:$BK,11,0)),"",VLOOKUP($A25,ESPNData!$AX:$BK,11,0))</f>
        <v>33</v>
      </c>
      <c r="H25" s="33">
        <f>IF(ISERROR(VLOOKUP($A25,ESPNData!$AX:$BK,12,0)),"",VLOOKUP($A25,ESPNData!$AX:$BK,12,0))</f>
        <v>341</v>
      </c>
      <c r="I25" s="64">
        <f>IF(ISERROR(VLOOKUP($A25,ESPNData!$AX:$BK,13,0)),"",VLOOKUP($A25,ESPNData!$AX:$BK,13,0))</f>
        <v>3</v>
      </c>
      <c r="J25" s="117">
        <f>IF(ISERROR(VLOOKUP($B25,SportslineData!$AM:$AT,3,0)),"",ROUND(VLOOKUP($B25,SportslineData!$AM:$AT,3,0),0))</f>
        <v>34</v>
      </c>
      <c r="K25" s="33">
        <f>IF(ISERROR(VLOOKUP($B25,SportslineData!$AM:$AT,4,0)),"",VLOOKUP($B25,SportslineData!$AM:$AT,4,0))</f>
        <v>391.5</v>
      </c>
      <c r="L25" s="33">
        <f>IF(ISERROR(VLOOKUP($B25,SportslineData!$AM:$AT,6,0)),"",ROUND(VLOOKUP($B25,SportslineData!$AM:$AT,6,0),0))</f>
        <v>3</v>
      </c>
      <c r="M25" s="64">
        <f>IF(ISERROR(VLOOKUP($B25,SportslineData!$AM:$AT,7,0)),"",ROUND(VLOOKUP($B25,SportslineData!$AM:$AT,7,0),0))</f>
        <v>0</v>
      </c>
      <c r="N25" s="117"/>
      <c r="O25" s="33"/>
      <c r="P25" s="38">
        <f>IF(ISERROR(ROUND((((ROUNDDOWN((E25/5),0)*Settings!$F$11)+(D25*Settings!$I$11))+(F25*Settings!$F$12)),1)),0,ROUND((((ROUNDDOWN((E25/5),0)*Settings!$F$11)+(D25*Settings!$I$11))+(F25*Settings!$F$12)),1))</f>
        <v>45</v>
      </c>
      <c r="Q25" s="38">
        <f>IF(ISERROR(ROUND((((ROUNDDOWN((H25/5),0)*Settings!$F$11)+(G25*Settings!$I$11))+(I25*Settings!$F$12)),1)),0,ROUND((((ROUNDDOWN((H25/5),0)*Settings!$F$11)+(G25*Settings!$I$11))+(I25*Settings!$F$12)),1))</f>
        <v>68.5</v>
      </c>
      <c r="R25" s="38">
        <f>IF((J25=""),0,((((J25*Settings!$I$11)+(ROUND((K25/5),0)*Settings!$F$11))+(L25*Settings!$F$12))+(M25*Settings!$F$15)))</f>
        <v>74</v>
      </c>
      <c r="S25" s="66">
        <f>ROUND((((P25*Settings!$B$21)+(Q25*Settings!$B$22))+(R25*Settings!$B$23)),1)</f>
        <v>62.6</v>
      </c>
      <c r="T25" s="66">
        <f>IF(ISERROR(VLOOKUP(RANK(S25,S$4:S$182),T$4:T24,1,0)),RANK(S25,S$4:S$182),IF(ISERROR(VLOOKUP((RANK(S25,S$4:S$182)+1),T$4:T24,1,0)),(RANK(S25,S$4:S$182)+1),IF(ISERROR(VLOOKUP((RANK(S25,S$4:S$182)+2),T$4:T24,1,0)),(RANK(S25,S$4:S$182)+2),(RANK(S25,S$4:S$182)+3))))</f>
        <v>31</v>
      </c>
      <c r="U25" t="str">
        <f t="shared" si="2"/>
        <v>Owen Daniels</v>
      </c>
    </row>
    <row r="26" spans="1:21" ht="12.75" customHeight="1">
      <c r="A26" s="33" t="str">
        <f>ESPNData!AX25</f>
        <v>Austin Seferian-Jenkins, TB TE</v>
      </c>
      <c r="B26" s="33" t="str">
        <f t="shared" si="0"/>
        <v>Austin Seferian-Jenkins</v>
      </c>
      <c r="C26" s="64" t="str">
        <f t="shared" si="1"/>
        <v>TB</v>
      </c>
      <c r="D26" s="117" t="str">
        <f>IF(ISERROR(VLOOKUP($B26,FFTodayData!$AN:$AT,4,0)),"",VLOOKUP($B26,FFTodayData!$AN:$AT,4,0))</f>
        <v/>
      </c>
      <c r="E26" s="33" t="str">
        <f>IF(ISERROR(VLOOKUP($B26,FFTodayData!$AN:$AT,5,0)),"",VLOOKUP($B26,FFTodayData!$AN:$AT,5,0))</f>
        <v/>
      </c>
      <c r="F26" s="64" t="str">
        <f>IF(ISERROR(VLOOKUP($B26,FFTodayData!$AN:$AT,6,0)),"",VLOOKUP($B26,FFTodayData!$AN:$AT,6,0))</f>
        <v/>
      </c>
      <c r="G26" s="117">
        <f>IF(ISERROR(VLOOKUP($A26,ESPNData!$AX:$BK,11,0)),"",VLOOKUP($A26,ESPNData!$AX:$BK,11,0))</f>
        <v>29</v>
      </c>
      <c r="H26" s="33">
        <f>IF(ISERROR(VLOOKUP($A26,ESPNData!$AX:$BK,12,0)),"",VLOOKUP($A26,ESPNData!$AX:$BK,12,0))</f>
        <v>345</v>
      </c>
      <c r="I26" s="64">
        <f>IF(ISERROR(VLOOKUP($A26,ESPNData!$AX:$BK,13,0)),"",VLOOKUP($A26,ESPNData!$AX:$BK,13,0))</f>
        <v>5</v>
      </c>
      <c r="J26" s="117">
        <f>IF(ISERROR(VLOOKUP($B26,SportslineData!$AM:$AT,3,0)),"",ROUND(VLOOKUP($B26,SportslineData!$AM:$AT,3,0),0))</f>
        <v>30</v>
      </c>
      <c r="K26" s="33">
        <f>IF(ISERROR(VLOOKUP($B26,SportslineData!$AM:$AT,4,0)),"",VLOOKUP($B26,SportslineData!$AM:$AT,4,0))</f>
        <v>354</v>
      </c>
      <c r="L26" s="33">
        <f>IF(ISERROR(VLOOKUP($B26,SportslineData!$AM:$AT,6,0)),"",ROUND(VLOOKUP($B26,SportslineData!$AM:$AT,6,0),0))</f>
        <v>4</v>
      </c>
      <c r="M26" s="64">
        <f>IF(ISERROR(VLOOKUP($B26,SportslineData!$AM:$AT,7,0)),"",ROUND(VLOOKUP($B26,SportslineData!$AM:$AT,7,0),0))</f>
        <v>0</v>
      </c>
      <c r="N26" s="117"/>
      <c r="O26" s="33"/>
      <c r="P26" s="38">
        <f>IF(ISERROR(ROUND((((ROUNDDOWN((E26/5),0)*Settings!$F$11)+(D26*Settings!$I$11))+(F26*Settings!$F$12)),1)),0,ROUND((((ROUNDDOWN((E26/5),0)*Settings!$F$11)+(D26*Settings!$I$11))+(F26*Settings!$F$12)),1))</f>
        <v>0</v>
      </c>
      <c r="Q26" s="38">
        <f>IF(ISERROR(ROUND((((ROUNDDOWN((H26/5),0)*Settings!$F$11)+(G26*Settings!$I$11))+(I26*Settings!$F$12)),1)),0,ROUND((((ROUNDDOWN((H26/5),0)*Settings!$F$11)+(G26*Settings!$I$11))+(I26*Settings!$F$12)),1))</f>
        <v>79</v>
      </c>
      <c r="R26" s="38">
        <f>IF((J26=""),0,((((J26*Settings!$I$11)+(ROUND((K26/5),0)*Settings!$F$11))+(L26*Settings!$F$12))+(M26*Settings!$F$15)))</f>
        <v>74.5</v>
      </c>
      <c r="S26" s="66">
        <f>ROUND((((P26*Settings!$B$21)+(Q26*Settings!$B$22))+(R26*Settings!$B$23)),1)</f>
        <v>51.4</v>
      </c>
      <c r="T26" s="66">
        <f>IF(ISERROR(VLOOKUP(RANK(S26,S$4:S$182),T$4:T25,1,0)),RANK(S26,S$4:S$182),IF(ISERROR(VLOOKUP((RANK(S26,S$4:S$182)+1),T$4:T25,1,0)),(RANK(S26,S$4:S$182)+1),IF(ISERROR(VLOOKUP((RANK(S26,S$4:S$182)+2),T$4:T25,1,0)),(RANK(S26,S$4:S$182)+2),(RANK(S26,S$4:S$182)+3))))</f>
        <v>38</v>
      </c>
      <c r="U26" t="str">
        <f t="shared" si="2"/>
        <v>Austin Seferian-Jenkins</v>
      </c>
    </row>
    <row r="27" spans="1:21" ht="12.75" customHeight="1">
      <c r="A27" s="33" t="str">
        <f>ESPNData!AX26</f>
        <v>Jace Amaro, NYJ TE</v>
      </c>
      <c r="B27" s="33" t="str">
        <f t="shared" si="0"/>
        <v>Jace Amaro</v>
      </c>
      <c r="C27" s="64" t="str">
        <f t="shared" si="1"/>
        <v>NYJ</v>
      </c>
      <c r="D27" s="117" t="str">
        <f>IF(ISERROR(VLOOKUP($B27,FFTodayData!$AN:$AT,4,0)),"",VLOOKUP($B27,FFTodayData!$AN:$AT,4,0))</f>
        <v/>
      </c>
      <c r="E27" s="33" t="str">
        <f>IF(ISERROR(VLOOKUP($B27,FFTodayData!$AN:$AT,5,0)),"",VLOOKUP($B27,FFTodayData!$AN:$AT,5,0))</f>
        <v/>
      </c>
      <c r="F27" s="64" t="str">
        <f>IF(ISERROR(VLOOKUP($B27,FFTodayData!$AN:$AT,6,0)),"",VLOOKUP($B27,FFTodayData!$AN:$AT,6,0))</f>
        <v/>
      </c>
      <c r="G27" s="117">
        <f>IF(ISERROR(VLOOKUP($A27,ESPNData!$AX:$BK,11,0)),"",VLOOKUP($A27,ESPNData!$AX:$BK,11,0))</f>
        <v>31</v>
      </c>
      <c r="H27" s="33">
        <f>IF(ISERROR(VLOOKUP($A27,ESPNData!$AX:$BK,12,0)),"",VLOOKUP($A27,ESPNData!$AX:$BK,12,0))</f>
        <v>376</v>
      </c>
      <c r="I27" s="64">
        <f>IF(ISERROR(VLOOKUP($A27,ESPNData!$AX:$BK,13,0)),"",VLOOKUP($A27,ESPNData!$AX:$BK,13,0))</f>
        <v>3</v>
      </c>
      <c r="J27" s="117">
        <f>IF(ISERROR(VLOOKUP($B27,SportslineData!$AM:$AT,3,0)),"",ROUND(VLOOKUP($B27,SportslineData!$AM:$AT,3,0),0))</f>
        <v>37</v>
      </c>
      <c r="K27" s="33">
        <f>IF(ISERROR(VLOOKUP($B27,SportslineData!$AM:$AT,4,0)),"",VLOOKUP($B27,SportslineData!$AM:$AT,4,0))</f>
        <v>538</v>
      </c>
      <c r="L27" s="33">
        <f>IF(ISERROR(VLOOKUP($B27,SportslineData!$AM:$AT,6,0)),"",ROUND(VLOOKUP($B27,SportslineData!$AM:$AT,6,0),0))</f>
        <v>4</v>
      </c>
      <c r="M27" s="64">
        <f>IF(ISERROR(VLOOKUP($B27,SportslineData!$AM:$AT,7,0)),"",ROUND(VLOOKUP($B27,SportslineData!$AM:$AT,7,0),0))</f>
        <v>0</v>
      </c>
      <c r="N27" s="117"/>
      <c r="O27" s="33"/>
      <c r="P27" s="38">
        <f>IF(ISERROR(ROUND((((ROUNDDOWN((E27/5),0)*Settings!$F$11)+(D27*Settings!$I$11))+(F27*Settings!$F$12)),1)),0,ROUND((((ROUNDDOWN((E27/5),0)*Settings!$F$11)+(D27*Settings!$I$11))+(F27*Settings!$F$12)),1))</f>
        <v>0</v>
      </c>
      <c r="Q27" s="38">
        <f>IF(ISERROR(ROUND((((ROUNDDOWN((H27/5),0)*Settings!$F$11)+(G27*Settings!$I$11))+(I27*Settings!$F$12)),1)),0,ROUND((((ROUNDDOWN((H27/5),0)*Settings!$F$11)+(G27*Settings!$I$11))+(I27*Settings!$F$12)),1))</f>
        <v>71</v>
      </c>
      <c r="R27" s="38">
        <f>IF((J27=""),0,((((J27*Settings!$I$11)+(ROUND((K27/5),0)*Settings!$F$11))+(L27*Settings!$F$12))+(M27*Settings!$F$15)))</f>
        <v>96.5</v>
      </c>
      <c r="S27" s="66">
        <f>ROUND((((P27*Settings!$B$21)+(Q27*Settings!$B$22))+(R27*Settings!$B$23)),1)</f>
        <v>56.2</v>
      </c>
      <c r="T27" s="66">
        <f>IF(ISERROR(VLOOKUP(RANK(S27,S$4:S$182),T$4:T26,1,0)),RANK(S27,S$4:S$182),IF(ISERROR(VLOOKUP((RANK(S27,S$4:S$182)+1),T$4:T26,1,0)),(RANK(S27,S$4:S$182)+1),IF(ISERROR(VLOOKUP((RANK(S27,S$4:S$182)+2),T$4:T26,1,0)),(RANK(S27,S$4:S$182)+2),(RANK(S27,S$4:S$182)+3))))</f>
        <v>35</v>
      </c>
      <c r="U27" t="str">
        <f t="shared" si="2"/>
        <v>Jace Amaro</v>
      </c>
    </row>
    <row r="28" spans="1:21" ht="12.75" customHeight="1">
      <c r="A28" s="33" t="str">
        <f>ESPNData!AX27</f>
        <v>Jared Cook, StL TE</v>
      </c>
      <c r="B28" s="33" t="str">
        <f t="shared" si="0"/>
        <v>Jared Cook</v>
      </c>
      <c r="C28" s="64" t="str">
        <f t="shared" si="1"/>
        <v>STL</v>
      </c>
      <c r="D28" s="117">
        <f>IF(ISERROR(VLOOKUP($B28,FFTodayData!$AN:$AT,4,0)),"",VLOOKUP($B28,FFTodayData!$AN:$AT,4,0))</f>
        <v>53</v>
      </c>
      <c r="E28" s="33">
        <f>IF(ISERROR(VLOOKUP($B28,FFTodayData!$AN:$AT,5,0)),"",VLOOKUP($B28,FFTodayData!$AN:$AT,5,0))</f>
        <v>644</v>
      </c>
      <c r="F28" s="64">
        <f>IF(ISERROR(VLOOKUP($B28,FFTodayData!$AN:$AT,6,0)),"",VLOOKUP($B28,FFTodayData!$AN:$AT,6,0))</f>
        <v>4</v>
      </c>
      <c r="G28" s="117">
        <f>IF(ISERROR(VLOOKUP($A28,ESPNData!$AX:$BK,11,0)),"",VLOOKUP($A28,ESPNData!$AX:$BK,11,0))</f>
        <v>47</v>
      </c>
      <c r="H28" s="33">
        <f>IF(ISERROR(VLOOKUP($A28,ESPNData!$AX:$BK,12,0)),"",VLOOKUP($A28,ESPNData!$AX:$BK,12,0))</f>
        <v>537</v>
      </c>
      <c r="I28" s="64">
        <f>IF(ISERROR(VLOOKUP($A28,ESPNData!$AX:$BK,13,0)),"",VLOOKUP($A28,ESPNData!$AX:$BK,13,0))</f>
        <v>3</v>
      </c>
      <c r="J28" s="117">
        <f>IF(ISERROR(VLOOKUP($B28,SportslineData!$AM:$AT,3,0)),"",ROUND(VLOOKUP($B28,SportslineData!$AM:$AT,3,0),0))</f>
        <v>48</v>
      </c>
      <c r="K28" s="33">
        <f>IF(ISERROR(VLOOKUP($B28,SportslineData!$AM:$AT,4,0)),"",VLOOKUP($B28,SportslineData!$AM:$AT,4,0))</f>
        <v>576.5</v>
      </c>
      <c r="L28" s="33">
        <f>IF(ISERROR(VLOOKUP($B28,SportslineData!$AM:$AT,6,0)),"",ROUND(VLOOKUP($B28,SportslineData!$AM:$AT,6,0),0))</f>
        <v>5</v>
      </c>
      <c r="M28" s="64">
        <f>IF(ISERROR(VLOOKUP($B28,SportslineData!$AM:$AT,7,0)),"",ROUND(VLOOKUP($B28,SportslineData!$AM:$AT,7,0),0))</f>
        <v>1</v>
      </c>
      <c r="N28" s="117"/>
      <c r="O28" s="33"/>
      <c r="P28" s="38">
        <f>IF(ISERROR(ROUND((((ROUNDDOWN((E28/5),0)*Settings!$F$11)+(D28*Settings!$I$11))+(F28*Settings!$F$12)),1)),0,ROUND((((ROUNDDOWN((E28/5),0)*Settings!$F$11)+(D28*Settings!$I$11))+(F28*Settings!$F$12)),1))</f>
        <v>114.5</v>
      </c>
      <c r="Q28" s="38">
        <f>IF(ISERROR(ROUND((((ROUNDDOWN((H28/5),0)*Settings!$F$11)+(G28*Settings!$I$11))+(I28*Settings!$F$12)),1)),0,ROUND((((ROUNDDOWN((H28/5),0)*Settings!$F$11)+(G28*Settings!$I$11))+(I28*Settings!$F$12)),1))</f>
        <v>95</v>
      </c>
      <c r="R28" s="38">
        <f>IF((J28=""),0,((((J28*Settings!$I$11)+(ROUND((K28/5),0)*Settings!$F$11))+(L28*Settings!$F$12))+(M28*Settings!$F$15)))</f>
        <v>110.5</v>
      </c>
      <c r="S28" s="66">
        <f>ROUND((((P28*Settings!$B$21)+(Q28*Settings!$B$22))+(R28*Settings!$B$23)),1)</f>
        <v>106.7</v>
      </c>
      <c r="T28" s="66">
        <f>IF(ISERROR(VLOOKUP(RANK(S28,S$4:S$182),T$4:T27,1,0)),RANK(S28,S$4:S$182),IF(ISERROR(VLOOKUP((RANK(S28,S$4:S$182)+1),T$4:T27,1,0)),(RANK(S28,S$4:S$182)+1),IF(ISERROR(VLOOKUP((RANK(S28,S$4:S$182)+2),T$4:T27,1,0)),(RANK(S28,S$4:S$182)+2),(RANK(S28,S$4:S$182)+3))))</f>
        <v>18</v>
      </c>
      <c r="U28" t="str">
        <f t="shared" si="2"/>
        <v>Jared Cook</v>
      </c>
    </row>
    <row r="29" spans="1:21" ht="12.75" customHeight="1">
      <c r="A29" s="33" t="str">
        <f>ESPNData!AX28</f>
        <v>Ryan Griffin, Hou TE</v>
      </c>
      <c r="B29" s="33" t="str">
        <f t="shared" si="0"/>
        <v>Ryan Griffin</v>
      </c>
      <c r="C29" s="64" t="str">
        <f t="shared" si="1"/>
        <v>HOU</v>
      </c>
      <c r="D29" s="117" t="str">
        <f>IF(ISERROR(VLOOKUP($B29,FFTodayData!$AN:$AT,4,0)),"",VLOOKUP($B29,FFTodayData!$AN:$AT,4,0))</f>
        <v/>
      </c>
      <c r="E29" s="33" t="str">
        <f>IF(ISERROR(VLOOKUP($B29,FFTodayData!$AN:$AT,5,0)),"",VLOOKUP($B29,FFTodayData!$AN:$AT,5,0))</f>
        <v/>
      </c>
      <c r="F29" s="64" t="str">
        <f>IF(ISERROR(VLOOKUP($B29,FFTodayData!$AN:$AT,6,0)),"",VLOOKUP($B29,FFTodayData!$AN:$AT,6,0))</f>
        <v/>
      </c>
      <c r="G29" s="117">
        <f>IF(ISERROR(VLOOKUP($A29,ESPNData!$AX:$BK,11,0)),"",VLOOKUP($A29,ESPNData!$AX:$BK,11,0))</f>
        <v>39</v>
      </c>
      <c r="H29" s="33">
        <f>IF(ISERROR(VLOOKUP($A29,ESPNData!$AX:$BK,12,0)),"",VLOOKUP($A29,ESPNData!$AX:$BK,12,0))</f>
        <v>440</v>
      </c>
      <c r="I29" s="64">
        <f>IF(ISERROR(VLOOKUP($A29,ESPNData!$AX:$BK,13,0)),"",VLOOKUP($A29,ESPNData!$AX:$BK,13,0))</f>
        <v>3</v>
      </c>
      <c r="J29" s="117">
        <f>IF(ISERROR(VLOOKUP($B29,SportslineData!$AM:$AT,3,0)),"",ROUND(VLOOKUP($B29,SportslineData!$AM:$AT,3,0),0))</f>
        <v>22</v>
      </c>
      <c r="K29" s="33">
        <f>IF(ISERROR(VLOOKUP($B29,SportslineData!$AM:$AT,4,0)),"",VLOOKUP($B29,SportslineData!$AM:$AT,4,0))</f>
        <v>247.5</v>
      </c>
      <c r="L29" s="33">
        <f>IF(ISERROR(VLOOKUP($B29,SportslineData!$AM:$AT,6,0)),"",ROUND(VLOOKUP($B29,SportslineData!$AM:$AT,6,0),0))</f>
        <v>2</v>
      </c>
      <c r="M29" s="64">
        <f>IF(ISERROR(VLOOKUP($B29,SportslineData!$AM:$AT,7,0)),"",ROUND(VLOOKUP($B29,SportslineData!$AM:$AT,7,0),0))</f>
        <v>0</v>
      </c>
      <c r="N29" s="117"/>
      <c r="O29" s="33"/>
      <c r="P29" s="38">
        <f>IF(ISERROR(ROUND((((ROUNDDOWN((E29/5),0)*Settings!$F$11)+(D29*Settings!$I$11))+(F29*Settings!$F$12)),1)),0,ROUND((((ROUNDDOWN((E29/5),0)*Settings!$F$11)+(D29*Settings!$I$11))+(F29*Settings!$F$12)),1))</f>
        <v>0</v>
      </c>
      <c r="Q29" s="38">
        <f>IF(ISERROR(ROUND((((ROUNDDOWN((H29/5),0)*Settings!$F$11)+(G29*Settings!$I$11))+(I29*Settings!$F$12)),1)),0,ROUND((((ROUNDDOWN((H29/5),0)*Settings!$F$11)+(G29*Settings!$I$11))+(I29*Settings!$F$12)),1))</f>
        <v>81.5</v>
      </c>
      <c r="R29" s="38">
        <f>IF((J29=""),0,((((J29*Settings!$I$11)+(ROUND((K29/5),0)*Settings!$F$11))+(L29*Settings!$F$12))+(M29*Settings!$F$15)))</f>
        <v>48</v>
      </c>
      <c r="S29" s="66">
        <f>ROUND((((P29*Settings!$B$21)+(Q29*Settings!$B$22))+(R29*Settings!$B$23)),1)</f>
        <v>43.2</v>
      </c>
      <c r="T29" s="66">
        <f>IF(ISERROR(VLOOKUP(RANK(S29,S$4:S$182),T$4:T28,1,0)),RANK(S29,S$4:S$182),IF(ISERROR(VLOOKUP((RANK(S29,S$4:S$182)+1),T$4:T28,1,0)),(RANK(S29,S$4:S$182)+1),IF(ISERROR(VLOOKUP((RANK(S29,S$4:S$182)+2),T$4:T28,1,0)),(RANK(S29,S$4:S$182)+2),(RANK(S29,S$4:S$182)+3))))</f>
        <v>44</v>
      </c>
      <c r="U29" t="str">
        <f t="shared" si="2"/>
        <v>Ryan Griffin</v>
      </c>
    </row>
    <row r="30" spans="1:21" ht="12.75" customHeight="1">
      <c r="A30" s="33" t="str">
        <f>ESPNData!AX29</f>
        <v>Garrett Graham, Hou TE</v>
      </c>
      <c r="B30" s="33" t="str">
        <f t="shared" si="0"/>
        <v>Garrett Graham</v>
      </c>
      <c r="C30" s="64" t="str">
        <f t="shared" si="1"/>
        <v>HOU</v>
      </c>
      <c r="D30" s="117">
        <f>IF(ISERROR(VLOOKUP($B30,FFTodayData!$AN:$AT,4,0)),"",VLOOKUP($B30,FFTodayData!$AN:$AT,4,0))</f>
        <v>56</v>
      </c>
      <c r="E30" s="33">
        <f>IF(ISERROR(VLOOKUP($B30,FFTodayData!$AN:$AT,5,0)),"",VLOOKUP($B30,FFTodayData!$AN:$AT,5,0))</f>
        <v>555</v>
      </c>
      <c r="F30" s="64">
        <f>IF(ISERROR(VLOOKUP($B30,FFTodayData!$AN:$AT,6,0)),"",VLOOKUP($B30,FFTodayData!$AN:$AT,6,0))</f>
        <v>4</v>
      </c>
      <c r="G30" s="117">
        <f>IF(ISERROR(VLOOKUP($A30,ESPNData!$AX:$BK,11,0)),"",VLOOKUP($A30,ESPNData!$AX:$BK,11,0))</f>
        <v>31</v>
      </c>
      <c r="H30" s="33">
        <f>IF(ISERROR(VLOOKUP($A30,ESPNData!$AX:$BK,12,0)),"",VLOOKUP($A30,ESPNData!$AX:$BK,12,0))</f>
        <v>338</v>
      </c>
      <c r="I30" s="64">
        <f>IF(ISERROR(VLOOKUP($A30,ESPNData!$AX:$BK,13,0)),"",VLOOKUP($A30,ESPNData!$AX:$BK,13,0))</f>
        <v>3</v>
      </c>
      <c r="J30" s="117">
        <f>IF(ISERROR(VLOOKUP($B30,SportslineData!$AM:$AT,3,0)),"",ROUND(VLOOKUP($B30,SportslineData!$AM:$AT,3,0),0))</f>
        <v>48</v>
      </c>
      <c r="K30" s="33">
        <f>IF(ISERROR(VLOOKUP($B30,SportslineData!$AM:$AT,4,0)),"",VLOOKUP($B30,SportslineData!$AM:$AT,4,0))</f>
        <v>544.5</v>
      </c>
      <c r="L30" s="33">
        <f>IF(ISERROR(VLOOKUP($B30,SportslineData!$AM:$AT,6,0)),"",ROUND(VLOOKUP($B30,SportslineData!$AM:$AT,6,0),0))</f>
        <v>5</v>
      </c>
      <c r="M30" s="64">
        <f>IF(ISERROR(VLOOKUP($B30,SportslineData!$AM:$AT,7,0)),"",ROUND(VLOOKUP($B30,SportslineData!$AM:$AT,7,0),0))</f>
        <v>0</v>
      </c>
      <c r="N30" s="117"/>
      <c r="O30" s="33"/>
      <c r="P30" s="38">
        <f>IF(ISERROR(ROUND((((ROUNDDOWN((E30/5),0)*Settings!$F$11)+(D30*Settings!$I$11))+(F30*Settings!$F$12)),1)),0,ROUND((((ROUNDDOWN((E30/5),0)*Settings!$F$11)+(D30*Settings!$I$11))+(F30*Settings!$F$12)),1))</f>
        <v>107.5</v>
      </c>
      <c r="Q30" s="38">
        <f>IF(ISERROR(ROUND((((ROUNDDOWN((H30/5),0)*Settings!$F$11)+(G30*Settings!$I$11))+(I30*Settings!$F$12)),1)),0,ROUND((((ROUNDDOWN((H30/5),0)*Settings!$F$11)+(G30*Settings!$I$11))+(I30*Settings!$F$12)),1))</f>
        <v>67</v>
      </c>
      <c r="R30" s="38">
        <f>IF((J30=""),0,((((J30*Settings!$I$11)+(ROUND((K30/5),0)*Settings!$F$11))+(L30*Settings!$F$12))+(M30*Settings!$F$15)))</f>
        <v>108.5</v>
      </c>
      <c r="S30" s="66">
        <f>ROUND((((P30*Settings!$B$21)+(Q30*Settings!$B$22))+(R30*Settings!$B$23)),1)</f>
        <v>94.5</v>
      </c>
      <c r="T30" s="66">
        <f>IF(ISERROR(VLOOKUP(RANK(S30,S$4:S$182),T$4:T29,1,0)),RANK(S30,S$4:S$182),IF(ISERROR(VLOOKUP((RANK(S30,S$4:S$182)+1),T$4:T29,1,0)),(RANK(S30,S$4:S$182)+1),IF(ISERROR(VLOOKUP((RANK(S30,S$4:S$182)+2),T$4:T29,1,0)),(RANK(S30,S$4:S$182)+2),(RANK(S30,S$4:S$182)+3))))</f>
        <v>22</v>
      </c>
      <c r="U30" t="str">
        <f t="shared" si="2"/>
        <v>Garrett Graham</v>
      </c>
    </row>
    <row r="31" spans="1:21" ht="12.75" customHeight="1">
      <c r="A31" s="33" t="str">
        <f>ESPNData!AX30</f>
        <v>Andrew Quarless, GB TE</v>
      </c>
      <c r="B31" s="33" t="str">
        <f t="shared" si="0"/>
        <v>Andrew Quarless</v>
      </c>
      <c r="C31" s="64" t="str">
        <f t="shared" si="1"/>
        <v>GB</v>
      </c>
      <c r="D31" s="117" t="str">
        <f>IF(ISERROR(VLOOKUP($B31,FFTodayData!$AN:$AT,4,0)),"",VLOOKUP($B31,FFTodayData!$AN:$AT,4,0))</f>
        <v/>
      </c>
      <c r="E31" s="33" t="str">
        <f>IF(ISERROR(VLOOKUP($B31,FFTodayData!$AN:$AT,5,0)),"",VLOOKUP($B31,FFTodayData!$AN:$AT,5,0))</f>
        <v/>
      </c>
      <c r="F31" s="64" t="str">
        <f>IF(ISERROR(VLOOKUP($B31,FFTodayData!$AN:$AT,6,0)),"",VLOOKUP($B31,FFTodayData!$AN:$AT,6,0))</f>
        <v/>
      </c>
      <c r="G31" s="117">
        <f>IF(ISERROR(VLOOKUP($A31,ESPNData!$AX:$BK,11,0)),"",VLOOKUP($A31,ESPNData!$AX:$BK,11,0))</f>
        <v>38</v>
      </c>
      <c r="H31" s="33">
        <f>IF(ISERROR(VLOOKUP($A31,ESPNData!$AX:$BK,12,0)),"",VLOOKUP($A31,ESPNData!$AX:$BK,12,0))</f>
        <v>387</v>
      </c>
      <c r="I31" s="64">
        <f>IF(ISERROR(VLOOKUP($A31,ESPNData!$AX:$BK,13,0)),"",VLOOKUP($A31,ESPNData!$AX:$BK,13,0))</f>
        <v>2</v>
      </c>
      <c r="J31" s="117">
        <f>IF(ISERROR(VLOOKUP($B31,SportslineData!$AM:$AT,3,0)),"",ROUND(VLOOKUP($B31,SportslineData!$AM:$AT,3,0),0))</f>
        <v>27</v>
      </c>
      <c r="K31" s="33">
        <f>IF(ISERROR(VLOOKUP($B31,SportslineData!$AM:$AT,4,0)),"",VLOOKUP($B31,SportslineData!$AM:$AT,4,0))</f>
        <v>335.5</v>
      </c>
      <c r="L31" s="33">
        <f>IF(ISERROR(VLOOKUP($B31,SportslineData!$AM:$AT,6,0)),"",ROUND(VLOOKUP($B31,SportslineData!$AM:$AT,6,0),0))</f>
        <v>3</v>
      </c>
      <c r="M31" s="64">
        <f>IF(ISERROR(VLOOKUP($B31,SportslineData!$AM:$AT,7,0)),"",ROUND(VLOOKUP($B31,SportslineData!$AM:$AT,7,0),0))</f>
        <v>0</v>
      </c>
      <c r="N31" s="117"/>
      <c r="O31" s="33"/>
      <c r="P31" s="38">
        <f>IF(ISERROR(ROUND((((ROUNDDOWN((E31/5),0)*Settings!$F$11)+(D31*Settings!$I$11))+(F31*Settings!$F$12)),1)),0,ROUND((((ROUNDDOWN((E31/5),0)*Settings!$F$11)+(D31*Settings!$I$11))+(F31*Settings!$F$12)),1))</f>
        <v>0</v>
      </c>
      <c r="Q31" s="38">
        <f>IF(ISERROR(ROUND((((ROUNDDOWN((H31/5),0)*Settings!$F$11)+(G31*Settings!$I$11))+(I31*Settings!$F$12)),1)),0,ROUND((((ROUNDDOWN((H31/5),0)*Settings!$F$11)+(G31*Settings!$I$11))+(I31*Settings!$F$12)),1))</f>
        <v>69.5</v>
      </c>
      <c r="R31" s="38">
        <f>IF((J31=""),0,((((J31*Settings!$I$11)+(ROUND((K31/5),0)*Settings!$F$11))+(L31*Settings!$F$12))+(M31*Settings!$F$15)))</f>
        <v>65</v>
      </c>
      <c r="S31" s="66">
        <f>ROUND((((P31*Settings!$B$21)+(Q31*Settings!$B$22))+(R31*Settings!$B$23)),1)</f>
        <v>45</v>
      </c>
      <c r="T31" s="66">
        <f>IF(ISERROR(VLOOKUP(RANK(S31,S$4:S$182),T$4:T30,1,0)),RANK(S31,S$4:S$182),IF(ISERROR(VLOOKUP((RANK(S31,S$4:S$182)+1),T$4:T30,1,0)),(RANK(S31,S$4:S$182)+1),IF(ISERROR(VLOOKUP((RANK(S31,S$4:S$182)+2),T$4:T30,1,0)),(RANK(S31,S$4:S$182)+2),(RANK(S31,S$4:S$182)+3))))</f>
        <v>41</v>
      </c>
      <c r="U31" t="str">
        <f t="shared" si="2"/>
        <v>Andrew Quarless</v>
      </c>
    </row>
    <row r="32" spans="1:21" ht="12.75" customHeight="1">
      <c r="A32" s="33" t="str">
        <f>ESPNData!AX31</f>
        <v>Mychal Rivera, Oak TE</v>
      </c>
      <c r="B32" s="33" t="str">
        <f t="shared" si="0"/>
        <v>Mychal Rivera</v>
      </c>
      <c r="C32" s="64" t="str">
        <f t="shared" si="1"/>
        <v>OAK</v>
      </c>
      <c r="D32" s="117">
        <f>IF(ISERROR(VLOOKUP($B32,FFTodayData!$AN:$AT,4,0)),"",VLOOKUP($B32,FFTodayData!$AN:$AT,4,0))</f>
        <v>38</v>
      </c>
      <c r="E32" s="33">
        <f>IF(ISERROR(VLOOKUP($B32,FFTodayData!$AN:$AT,5,0)),"",VLOOKUP($B32,FFTodayData!$AN:$AT,5,0))</f>
        <v>415</v>
      </c>
      <c r="F32" s="64">
        <f>IF(ISERROR(VLOOKUP($B32,FFTodayData!$AN:$AT,6,0)),"",VLOOKUP($B32,FFTodayData!$AN:$AT,6,0))</f>
        <v>3</v>
      </c>
      <c r="G32" s="117">
        <f>IF(ISERROR(VLOOKUP($A32,ESPNData!$AX:$BK,11,0)),"",VLOOKUP($A32,ESPNData!$AX:$BK,11,0))</f>
        <v>37</v>
      </c>
      <c r="H32" s="33">
        <f>IF(ISERROR(VLOOKUP($A32,ESPNData!$AX:$BK,12,0)),"",VLOOKUP($A32,ESPNData!$AX:$BK,12,0))</f>
        <v>414</v>
      </c>
      <c r="I32" s="64">
        <f>IF(ISERROR(VLOOKUP($A32,ESPNData!$AX:$BK,13,0)),"",VLOOKUP($A32,ESPNData!$AX:$BK,13,0))</f>
        <v>3</v>
      </c>
      <c r="J32" s="117">
        <f>IF(ISERROR(VLOOKUP($B32,SportslineData!$AM:$AT,3,0)),"",ROUND(VLOOKUP($B32,SportslineData!$AM:$AT,3,0),0))</f>
        <v>44</v>
      </c>
      <c r="K32" s="33">
        <f>IF(ISERROR(VLOOKUP($B32,SportslineData!$AM:$AT,4,0)),"",VLOOKUP($B32,SportslineData!$AM:$AT,4,0))</f>
        <v>493.5</v>
      </c>
      <c r="L32" s="33">
        <f>IF(ISERROR(VLOOKUP($B32,SportslineData!$AM:$AT,6,0)),"",ROUND(VLOOKUP($B32,SportslineData!$AM:$AT,6,0),0))</f>
        <v>4</v>
      </c>
      <c r="M32" s="64">
        <f>IF(ISERROR(VLOOKUP($B32,SportslineData!$AM:$AT,7,0)),"",ROUND(VLOOKUP($B32,SportslineData!$AM:$AT,7,0),0))</f>
        <v>0</v>
      </c>
      <c r="N32" s="117"/>
      <c r="O32" s="33"/>
      <c r="P32" s="38">
        <f>IF(ISERROR(ROUND((((ROUNDDOWN((E32/5),0)*Settings!$F$11)+(D32*Settings!$I$11))+(F32*Settings!$F$12)),1)),0,ROUND((((ROUNDDOWN((E32/5),0)*Settings!$F$11)+(D32*Settings!$I$11))+(F32*Settings!$F$12)),1))</f>
        <v>78.5</v>
      </c>
      <c r="Q32" s="38">
        <f>IF(ISERROR(ROUND((((ROUNDDOWN((H32/5),0)*Settings!$F$11)+(G32*Settings!$I$11))+(I32*Settings!$F$12)),1)),0,ROUND((((ROUNDDOWN((H32/5),0)*Settings!$F$11)+(G32*Settings!$I$11))+(I32*Settings!$F$12)),1))</f>
        <v>77.5</v>
      </c>
      <c r="R32" s="38">
        <f>IF((J32=""),0,((((J32*Settings!$I$11)+(ROUND((K32/5),0)*Settings!$F$11))+(L32*Settings!$F$12))+(M32*Settings!$F$15)))</f>
        <v>95.5</v>
      </c>
      <c r="S32" s="66">
        <f>ROUND((((P32*Settings!$B$21)+(Q32*Settings!$B$22))+(R32*Settings!$B$23)),1)</f>
        <v>84</v>
      </c>
      <c r="T32" s="66">
        <f>IF(ISERROR(VLOOKUP(RANK(S32,S$4:S$182),T$4:T31,1,0)),RANK(S32,S$4:S$182),IF(ISERROR(VLOOKUP((RANK(S32,S$4:S$182)+1),T$4:T31,1,0)),(RANK(S32,S$4:S$182)+1),IF(ISERROR(VLOOKUP((RANK(S32,S$4:S$182)+2),T$4:T31,1,0)),(RANK(S32,S$4:S$182)+2),(RANK(S32,S$4:S$182)+3))))</f>
        <v>26</v>
      </c>
      <c r="U32" t="str">
        <f t="shared" si="2"/>
        <v>Mychal Rivera</v>
      </c>
    </row>
    <row r="33" spans="1:21" ht="12.75" customHeight="1">
      <c r="A33" s="33" t="str">
        <f>ESPNData!AX32</f>
        <v>Jermaine Gresham, Cin TE</v>
      </c>
      <c r="B33" s="33" t="str">
        <f t="shared" si="0"/>
        <v>Jermaine Gresham</v>
      </c>
      <c r="C33" s="64" t="str">
        <f t="shared" si="1"/>
        <v>CIN</v>
      </c>
      <c r="D33" s="117">
        <f>IF(ISERROR(VLOOKUP($B33,FFTodayData!$AN:$AT,4,0)),"",VLOOKUP($B33,FFTodayData!$AN:$AT,4,0))</f>
        <v>37</v>
      </c>
      <c r="E33" s="33">
        <f>IF(ISERROR(VLOOKUP($B33,FFTodayData!$AN:$AT,5,0)),"",VLOOKUP($B33,FFTodayData!$AN:$AT,5,0))</f>
        <v>388</v>
      </c>
      <c r="F33" s="64">
        <f>IF(ISERROR(VLOOKUP($B33,FFTodayData!$AN:$AT,6,0)),"",VLOOKUP($B33,FFTodayData!$AN:$AT,6,0))</f>
        <v>2</v>
      </c>
      <c r="G33" s="117">
        <f>IF(ISERROR(VLOOKUP($A33,ESPNData!$AX:$BK,11,0)),"",VLOOKUP($A33,ESPNData!$AX:$BK,11,0))</f>
        <v>32</v>
      </c>
      <c r="H33" s="33">
        <f>IF(ISERROR(VLOOKUP($A33,ESPNData!$AX:$BK,12,0)),"",VLOOKUP($A33,ESPNData!$AX:$BK,12,0))</f>
        <v>324</v>
      </c>
      <c r="I33" s="64">
        <f>IF(ISERROR(VLOOKUP($A33,ESPNData!$AX:$BK,13,0)),"",VLOOKUP($A33,ESPNData!$AX:$BK,13,0))</f>
        <v>3</v>
      </c>
      <c r="J33" s="117">
        <f>IF(ISERROR(VLOOKUP($B33,SportslineData!$AM:$AT,3,0)),"",ROUND(VLOOKUP($B33,SportslineData!$AM:$AT,3,0),0))</f>
        <v>38</v>
      </c>
      <c r="K33" s="33">
        <f>IF(ISERROR(VLOOKUP($B33,SportslineData!$AM:$AT,4,0)),"",VLOOKUP($B33,SportslineData!$AM:$AT,4,0))</f>
        <v>432.5</v>
      </c>
      <c r="L33" s="33">
        <f>IF(ISERROR(VLOOKUP($B33,SportslineData!$AM:$AT,6,0)),"",ROUND(VLOOKUP($B33,SportslineData!$AM:$AT,6,0),0))</f>
        <v>4</v>
      </c>
      <c r="M33" s="64">
        <f>IF(ISERROR(VLOOKUP($B33,SportslineData!$AM:$AT,7,0)),"",ROUND(VLOOKUP($B33,SportslineData!$AM:$AT,7,0),0))</f>
        <v>2</v>
      </c>
      <c r="N33" s="117"/>
      <c r="O33" s="33"/>
      <c r="P33" s="38">
        <f>IF(ISERROR(ROUND((((ROUNDDOWN((E33/5),0)*Settings!$F$11)+(D33*Settings!$I$11))+(F33*Settings!$F$12)),1)),0,ROUND((((ROUNDDOWN((E33/5),0)*Settings!$F$11)+(D33*Settings!$I$11))+(F33*Settings!$F$12)),1))</f>
        <v>69</v>
      </c>
      <c r="Q33" s="38">
        <f>IF(ISERROR(ROUND((((ROUNDDOWN((H33/5),0)*Settings!$F$11)+(G33*Settings!$I$11))+(I33*Settings!$F$12)),1)),0,ROUND((((ROUNDDOWN((H33/5),0)*Settings!$F$11)+(G33*Settings!$I$11))+(I33*Settings!$F$12)),1))</f>
        <v>66</v>
      </c>
      <c r="R33" s="38">
        <f>IF((J33=""),0,((((J33*Settings!$I$11)+(ROUND((K33/5),0)*Settings!$F$11))+(L33*Settings!$F$12))+(M33*Settings!$F$15)))</f>
        <v>84.5</v>
      </c>
      <c r="S33" s="66">
        <f>ROUND((((P33*Settings!$B$21)+(Q33*Settings!$B$22))+(R33*Settings!$B$23)),1)</f>
        <v>73.3</v>
      </c>
      <c r="T33" s="66">
        <f>IF(ISERROR(VLOOKUP(RANK(S33,S$4:S$182),T$4:T32,1,0)),RANK(S33,S$4:S$182),IF(ISERROR(VLOOKUP((RANK(S33,S$4:S$182)+1),T$4:T32,1,0)),(RANK(S33,S$4:S$182)+1),IF(ISERROR(VLOOKUP((RANK(S33,S$4:S$182)+2),T$4:T32,1,0)),(RANK(S33,S$4:S$182)+2),(RANK(S33,S$4:S$182)+3))))</f>
        <v>30</v>
      </c>
      <c r="U33" t="str">
        <f t="shared" si="2"/>
        <v>Jermaine Gresham</v>
      </c>
    </row>
    <row r="34" spans="1:21" ht="12.75" customHeight="1">
      <c r="A34" s="33" t="str">
        <f>ESPNData!AX33</f>
        <v>Jermichael Finley, GB TE  Q</v>
      </c>
      <c r="B34" s="33" t="str">
        <f t="shared" si="0"/>
        <v>Jermichael Finley</v>
      </c>
      <c r="C34" s="64" t="str">
        <f t="shared" si="1"/>
        <v>GB</v>
      </c>
      <c r="D34" s="117">
        <f>IF(ISERROR(VLOOKUP($B34,FFTodayData!$AN:$AT,4,0)),"",VLOOKUP($B34,FFTodayData!$AN:$AT,4,0))</f>
        <v>27</v>
      </c>
      <c r="E34" s="33">
        <f>IF(ISERROR(VLOOKUP($B34,FFTodayData!$AN:$AT,5,0)),"",VLOOKUP($B34,FFTodayData!$AN:$AT,5,0))</f>
        <v>314</v>
      </c>
      <c r="F34" s="64">
        <f>IF(ISERROR(VLOOKUP($B34,FFTodayData!$AN:$AT,6,0)),"",VLOOKUP($B34,FFTodayData!$AN:$AT,6,0))</f>
        <v>3</v>
      </c>
      <c r="G34" s="117">
        <f>IF(ISERROR(VLOOKUP($A34,ESPNData!$AX:$BK,11,0)),"",VLOOKUP($A34,ESPNData!$AX:$BK,11,0))</f>
        <v>28</v>
      </c>
      <c r="H34" s="33">
        <f>IF(ISERROR(VLOOKUP($A34,ESPNData!$AX:$BK,12,0)),"",VLOOKUP($A34,ESPNData!$AX:$BK,12,0))</f>
        <v>313</v>
      </c>
      <c r="I34" s="64">
        <f>IF(ISERROR(VLOOKUP($A34,ESPNData!$AX:$BK,13,0)),"",VLOOKUP($A34,ESPNData!$AX:$BK,13,0))</f>
        <v>2</v>
      </c>
      <c r="J34" s="117">
        <f>IF(ISERROR(VLOOKUP($B34,SportslineData!$AM:$AT,3,0)),"",ROUND(VLOOKUP($B34,SportslineData!$AM:$AT,3,0),0))</f>
        <v>14</v>
      </c>
      <c r="K34" s="33">
        <f>IF(ISERROR(VLOOKUP($B34,SportslineData!$AM:$AT,4,0)),"",VLOOKUP($B34,SportslineData!$AM:$AT,4,0))</f>
        <v>179</v>
      </c>
      <c r="L34" s="33">
        <f>IF(ISERROR(VLOOKUP($B34,SportslineData!$AM:$AT,6,0)),"",ROUND(VLOOKUP($B34,SportslineData!$AM:$AT,6,0),0))</f>
        <v>2</v>
      </c>
      <c r="M34" s="64">
        <f>IF(ISERROR(VLOOKUP($B34,SportslineData!$AM:$AT,7,0)),"",ROUND(VLOOKUP($B34,SportslineData!$AM:$AT,7,0),0))</f>
        <v>0</v>
      </c>
      <c r="N34" s="117"/>
      <c r="O34" s="33"/>
      <c r="P34" s="38">
        <f>IF(ISERROR(ROUND((((ROUNDDOWN((E34/5),0)*Settings!$F$11)+(D34*Settings!$I$11))+(F34*Settings!$F$12)),1)),0,ROUND((((ROUNDDOWN((E34/5),0)*Settings!$F$11)+(D34*Settings!$I$11))+(F34*Settings!$F$12)),1))</f>
        <v>62.5</v>
      </c>
      <c r="Q34" s="38">
        <f>IF(ISERROR(ROUND((((ROUNDDOWN((H34/5),0)*Settings!$F$11)+(G34*Settings!$I$11))+(I34*Settings!$F$12)),1)),0,ROUND((((ROUNDDOWN((H34/5),0)*Settings!$F$11)+(G34*Settings!$I$11))+(I34*Settings!$F$12)),1))</f>
        <v>57</v>
      </c>
      <c r="R34" s="38">
        <f>IF((J34=""),0,((((J34*Settings!$I$11)+(ROUND((K34/5),0)*Settings!$F$11))+(L34*Settings!$F$12))+(M34*Settings!$F$15)))</f>
        <v>37</v>
      </c>
      <c r="S34" s="66">
        <f>ROUND((((P34*Settings!$B$21)+(Q34*Settings!$B$22))+(R34*Settings!$B$23)),1)</f>
        <v>52</v>
      </c>
      <c r="T34" s="66">
        <f>IF(ISERROR(VLOOKUP(RANK(S34,S$4:S$182),T$4:T33,1,0)),RANK(S34,S$4:S$182),IF(ISERROR(VLOOKUP((RANK(S34,S$4:S$182)+1),T$4:T33,1,0)),(RANK(S34,S$4:S$182)+1),IF(ISERROR(VLOOKUP((RANK(S34,S$4:S$182)+2),T$4:T33,1,0)),(RANK(S34,S$4:S$182)+2),(RANK(S34,S$4:S$182)+3))))</f>
        <v>37</v>
      </c>
      <c r="U34" t="str">
        <f t="shared" si="2"/>
        <v>Jermichael Finley</v>
      </c>
    </row>
    <row r="35" spans="1:21" ht="12.75" customHeight="1">
      <c r="A35" s="33" t="str">
        <f>ESPNData!AX34</f>
        <v>Scott Chandler, Buf TE</v>
      </c>
      <c r="B35" s="33" t="str">
        <f t="shared" si="0"/>
        <v>Scott Chandler</v>
      </c>
      <c r="C35" s="64" t="str">
        <f t="shared" si="1"/>
        <v>BUF</v>
      </c>
      <c r="D35" s="117">
        <f>IF(ISERROR(VLOOKUP($B35,FFTodayData!$AN:$AT,4,0)),"",VLOOKUP($B35,FFTodayData!$AN:$AT,4,0))</f>
        <v>47</v>
      </c>
      <c r="E35" s="33">
        <f>IF(ISERROR(VLOOKUP($B35,FFTodayData!$AN:$AT,5,0)),"",VLOOKUP($B35,FFTodayData!$AN:$AT,5,0))</f>
        <v>522</v>
      </c>
      <c r="F35" s="64">
        <f>IF(ISERROR(VLOOKUP($B35,FFTodayData!$AN:$AT,6,0)),"",VLOOKUP($B35,FFTodayData!$AN:$AT,6,0))</f>
        <v>4</v>
      </c>
      <c r="G35" s="117">
        <f>IF(ISERROR(VLOOKUP($A35,ESPNData!$AX:$BK,11,0)),"",VLOOKUP($A35,ESPNData!$AX:$BK,11,0))</f>
        <v>42</v>
      </c>
      <c r="H35" s="33">
        <f>IF(ISERROR(VLOOKUP($A35,ESPNData!$AX:$BK,12,0)),"",VLOOKUP($A35,ESPNData!$AX:$BK,12,0))</f>
        <v>439</v>
      </c>
      <c r="I35" s="64">
        <f>IF(ISERROR(VLOOKUP($A35,ESPNData!$AX:$BK,13,0)),"",VLOOKUP($A35,ESPNData!$AX:$BK,13,0))</f>
        <v>2</v>
      </c>
      <c r="J35" s="117">
        <f>IF(ISERROR(VLOOKUP($B35,SportslineData!$AM:$AT,3,0)),"",ROUND(VLOOKUP($B35,SportslineData!$AM:$AT,3,0),0))</f>
        <v>46</v>
      </c>
      <c r="K35" s="33">
        <f>IF(ISERROR(VLOOKUP($B35,SportslineData!$AM:$AT,4,0)),"",VLOOKUP($B35,SportslineData!$AM:$AT,4,0))</f>
        <v>538.5</v>
      </c>
      <c r="L35" s="33">
        <f>IF(ISERROR(VLOOKUP($B35,SportslineData!$AM:$AT,6,0)),"",ROUND(VLOOKUP($B35,SportslineData!$AM:$AT,6,0),0))</f>
        <v>4</v>
      </c>
      <c r="M35" s="64">
        <f>IF(ISERROR(VLOOKUP($B35,SportslineData!$AM:$AT,7,0)),"",ROUND(VLOOKUP($B35,SportslineData!$AM:$AT,7,0),0))</f>
        <v>1</v>
      </c>
      <c r="N35" s="117"/>
      <c r="O35" s="33"/>
      <c r="P35" s="38">
        <f>IF(ISERROR(ROUND((((ROUNDDOWN((E35/5),0)*Settings!$F$11)+(D35*Settings!$I$11))+(F35*Settings!$F$12)),1)),0,ROUND((((ROUNDDOWN((E35/5),0)*Settings!$F$11)+(D35*Settings!$I$11))+(F35*Settings!$F$12)),1))</f>
        <v>99.5</v>
      </c>
      <c r="Q35" s="38">
        <f>IF(ISERROR(ROUND((((ROUNDDOWN((H35/5),0)*Settings!$F$11)+(G35*Settings!$I$11))+(I35*Settings!$F$12)),1)),0,ROUND((((ROUNDDOWN((H35/5),0)*Settings!$F$11)+(G35*Settings!$I$11))+(I35*Settings!$F$12)),1))</f>
        <v>76.5</v>
      </c>
      <c r="R35" s="38">
        <f>IF((J35=""),0,((((J35*Settings!$I$11)+(ROUND((K35/5),0)*Settings!$F$11))+(L35*Settings!$F$12))+(M35*Settings!$F$15)))</f>
        <v>100</v>
      </c>
      <c r="S35" s="66">
        <f>ROUND((((P35*Settings!$B$21)+(Q35*Settings!$B$22))+(R35*Settings!$B$23)),1)</f>
        <v>92.1</v>
      </c>
      <c r="T35" s="66">
        <f>IF(ISERROR(VLOOKUP(RANK(S35,S$4:S$182),T$4:T34,1,0)),RANK(S35,S$4:S$182),IF(ISERROR(VLOOKUP((RANK(S35,S$4:S$182)+1),T$4:T34,1,0)),(RANK(S35,S$4:S$182)+1),IF(ISERROR(VLOOKUP((RANK(S35,S$4:S$182)+2),T$4:T34,1,0)),(RANK(S35,S$4:S$182)+2),(RANK(S35,S$4:S$182)+3))))</f>
        <v>23</v>
      </c>
      <c r="U35" t="str">
        <f t="shared" si="2"/>
        <v>Scott Chandler</v>
      </c>
    </row>
    <row r="36" spans="1:21" ht="12.75" customHeight="1">
      <c r="A36" s="33" t="str">
        <f>ESPNData!AX35</f>
        <v>Brandon Pettigrew, Det TE</v>
      </c>
      <c r="B36" s="33" t="str">
        <f t="shared" ref="B36:B67" si="3">IF(OR((A36=""),(A36=0)),"",IF(ISERROR(FIND("*",A36)),LEFT(A36,(FIND(",",A36)-1)),LEFT(A36,(FIND("*",A36)-1))))</f>
        <v>Brandon Pettigrew</v>
      </c>
      <c r="C36" s="64" t="str">
        <f t="shared" ref="C36:C67" si="4">IF((A36=""),"",UPPER(RIGHT(LEFT(A36,(FIND("TE",A36)-2)),(LEN(LEFT(A36,(FIND("TE",A36)-2)))-(FIND(",",LEFT(A36,(FIND("TE",A36)-2)))+1)))))</f>
        <v>DET</v>
      </c>
      <c r="D36" s="117">
        <f>IF(ISERROR(VLOOKUP($B36,FFTodayData!$AN:$AT,4,0)),"",VLOOKUP($B36,FFTodayData!$AN:$AT,4,0))</f>
        <v>35</v>
      </c>
      <c r="E36" s="33">
        <f>IF(ISERROR(VLOOKUP($B36,FFTodayData!$AN:$AT,5,0)),"",VLOOKUP($B36,FFTodayData!$AN:$AT,5,0))</f>
        <v>335</v>
      </c>
      <c r="F36" s="64">
        <f>IF(ISERROR(VLOOKUP($B36,FFTodayData!$AN:$AT,6,0)),"",VLOOKUP($B36,FFTodayData!$AN:$AT,6,0))</f>
        <v>3</v>
      </c>
      <c r="G36" s="117">
        <f>IF(ISERROR(VLOOKUP($A36,ESPNData!$AX:$BK,11,0)),"",VLOOKUP($A36,ESPNData!$AX:$BK,11,0))</f>
        <v>24</v>
      </c>
      <c r="H36" s="33">
        <f>IF(ISERROR(VLOOKUP($A36,ESPNData!$AX:$BK,12,0)),"",VLOOKUP($A36,ESPNData!$AX:$BK,12,0))</f>
        <v>257</v>
      </c>
      <c r="I36" s="64">
        <f>IF(ISERROR(VLOOKUP($A36,ESPNData!$AX:$BK,13,0)),"",VLOOKUP($A36,ESPNData!$AX:$BK,13,0))</f>
        <v>3</v>
      </c>
      <c r="J36" s="117">
        <f>IF(ISERROR(VLOOKUP($B36,SportslineData!$AM:$AT,3,0)),"",ROUND(VLOOKUP($B36,SportslineData!$AM:$AT,3,0),0))</f>
        <v>27</v>
      </c>
      <c r="K36" s="33">
        <f>IF(ISERROR(VLOOKUP($B36,SportslineData!$AM:$AT,4,0)),"",VLOOKUP($B36,SportslineData!$AM:$AT,4,0))</f>
        <v>274.5</v>
      </c>
      <c r="L36" s="33">
        <f>IF(ISERROR(VLOOKUP($B36,SportslineData!$AM:$AT,6,0)),"",ROUND(VLOOKUP($B36,SportslineData!$AM:$AT,6,0),0))</f>
        <v>3</v>
      </c>
      <c r="M36" s="64">
        <f>IF(ISERROR(VLOOKUP($B36,SportslineData!$AM:$AT,7,0)),"",ROUND(VLOOKUP($B36,SportslineData!$AM:$AT,7,0),0))</f>
        <v>1</v>
      </c>
      <c r="N36" s="117"/>
      <c r="O36" s="33"/>
      <c r="P36" s="38">
        <f>IF(ISERROR(ROUND((((ROUNDDOWN((E36/5),0)*Settings!$F$11)+(D36*Settings!$I$11))+(F36*Settings!$F$12)),1)),0,ROUND((((ROUNDDOWN((E36/5),0)*Settings!$F$11)+(D36*Settings!$I$11))+(F36*Settings!$F$12)),1))</f>
        <v>69</v>
      </c>
      <c r="Q36" s="38">
        <f>IF(ISERROR(ROUND((((ROUNDDOWN((H36/5),0)*Settings!$F$11)+(G36*Settings!$I$11))+(I36*Settings!$F$12)),1)),0,ROUND((((ROUNDDOWN((H36/5),0)*Settings!$F$11)+(G36*Settings!$I$11))+(I36*Settings!$F$12)),1))</f>
        <v>55.5</v>
      </c>
      <c r="R36" s="38">
        <f>IF((J36=""),0,((((J36*Settings!$I$11)+(ROUND((K36/5),0)*Settings!$F$11))+(L36*Settings!$F$12))+(M36*Settings!$F$15)))</f>
        <v>58</v>
      </c>
      <c r="S36" s="66">
        <f>ROUND((((P36*Settings!$B$21)+(Q36*Settings!$B$22))+(R36*Settings!$B$23)),1)</f>
        <v>60.8</v>
      </c>
      <c r="T36" s="66">
        <f>IF(ISERROR(VLOOKUP(RANK(S36,S$4:S$182),T$4:T35,1,0)),RANK(S36,S$4:S$182),IF(ISERROR(VLOOKUP((RANK(S36,S$4:S$182)+1),T$4:T35,1,0)),(RANK(S36,S$4:S$182)+1),IF(ISERROR(VLOOKUP((RANK(S36,S$4:S$182)+2),T$4:T35,1,0)),(RANK(S36,S$4:S$182)+2),(RANK(S36,S$4:S$182)+3))))</f>
        <v>32</v>
      </c>
      <c r="U36" t="str">
        <f t="shared" ref="U36:U67" si="5">B36</f>
        <v>Brandon Pettigrew</v>
      </c>
    </row>
    <row r="37" spans="1:21" ht="12.75" customHeight="1">
      <c r="A37" s="33" t="str">
        <f>ESPNData!AX36</f>
        <v>Brandon Bostick, GB TE  Q</v>
      </c>
      <c r="B37" s="33" t="str">
        <f t="shared" si="3"/>
        <v>Brandon Bostick</v>
      </c>
      <c r="C37" s="64" t="str">
        <f t="shared" si="4"/>
        <v>GB</v>
      </c>
      <c r="D37" s="117">
        <f>IF(ISERROR(VLOOKUP($B37,FFTodayData!$AN:$AT,4,0)),"",VLOOKUP($B37,FFTodayData!$AN:$AT,4,0))</f>
        <v>26</v>
      </c>
      <c r="E37" s="33">
        <f>IF(ISERROR(VLOOKUP($B37,FFTodayData!$AN:$AT,5,0)),"",VLOOKUP($B37,FFTodayData!$AN:$AT,5,0))</f>
        <v>310</v>
      </c>
      <c r="F37" s="64">
        <f>IF(ISERROR(VLOOKUP($B37,FFTodayData!$AN:$AT,6,0)),"",VLOOKUP($B37,FFTodayData!$AN:$AT,6,0))</f>
        <v>2</v>
      </c>
      <c r="G37" s="117">
        <f>IF(ISERROR(VLOOKUP($A37,ESPNData!$AX:$BK,11,0)),"",VLOOKUP($A37,ESPNData!$AX:$BK,11,0))</f>
        <v>26</v>
      </c>
      <c r="H37" s="33">
        <f>IF(ISERROR(VLOOKUP($A37,ESPNData!$AX:$BK,12,0)),"",VLOOKUP($A37,ESPNData!$AX:$BK,12,0))</f>
        <v>334</v>
      </c>
      <c r="I37" s="64">
        <f>IF(ISERROR(VLOOKUP($A37,ESPNData!$AX:$BK,13,0)),"",VLOOKUP($A37,ESPNData!$AX:$BK,13,0))</f>
        <v>2</v>
      </c>
      <c r="J37" s="117">
        <f>IF(ISERROR(VLOOKUP($B37,SportslineData!$AM:$AT,3,0)),"",ROUND(VLOOKUP($B37,SportslineData!$AM:$AT,3,0),0))</f>
        <v>23</v>
      </c>
      <c r="K37" s="33">
        <f>IF(ISERROR(VLOOKUP($B37,SportslineData!$AM:$AT,4,0)),"",VLOOKUP($B37,SportslineData!$AM:$AT,4,0))</f>
        <v>337</v>
      </c>
      <c r="L37" s="33">
        <f>IF(ISERROR(VLOOKUP($B37,SportslineData!$AM:$AT,6,0)),"",ROUND(VLOOKUP($B37,SportslineData!$AM:$AT,6,0),0))</f>
        <v>3</v>
      </c>
      <c r="M37" s="64">
        <f>IF(ISERROR(VLOOKUP($B37,SportslineData!$AM:$AT,7,0)),"",ROUND(VLOOKUP($B37,SportslineData!$AM:$AT,7,0),0))</f>
        <v>1</v>
      </c>
      <c r="N37" s="117"/>
      <c r="O37" s="33"/>
      <c r="P37" s="38">
        <f>IF(ISERROR(ROUND((((ROUNDDOWN((E37/5),0)*Settings!$F$11)+(D37*Settings!$I$11))+(F37*Settings!$F$12)),1)),0,ROUND((((ROUNDDOWN((E37/5),0)*Settings!$F$11)+(D37*Settings!$I$11))+(F37*Settings!$F$12)),1))</f>
        <v>56</v>
      </c>
      <c r="Q37" s="38">
        <f>IF(ISERROR(ROUND((((ROUNDDOWN((H37/5),0)*Settings!$F$11)+(G37*Settings!$I$11))+(I37*Settings!$F$12)),1)),0,ROUND((((ROUNDDOWN((H37/5),0)*Settings!$F$11)+(G37*Settings!$I$11))+(I37*Settings!$F$12)),1))</f>
        <v>58</v>
      </c>
      <c r="R37" s="38">
        <f>IF((J37=""),0,((((J37*Settings!$I$11)+(ROUND((K37/5),0)*Settings!$F$11))+(L37*Settings!$F$12))+(M37*Settings!$F$15)))</f>
        <v>62</v>
      </c>
      <c r="S37" s="66">
        <f>ROUND((((P37*Settings!$B$21)+(Q37*Settings!$B$22))+(R37*Settings!$B$23)),1)</f>
        <v>58.7</v>
      </c>
      <c r="T37" s="66">
        <f>IF(ISERROR(VLOOKUP(RANK(S37,S$4:S$182),T$4:T36,1,0)),RANK(S37,S$4:S$182),IF(ISERROR(VLOOKUP((RANK(S37,S$4:S$182)+1),T$4:T36,1,0)),(RANK(S37,S$4:S$182)+1),IF(ISERROR(VLOOKUP((RANK(S37,S$4:S$182)+2),T$4:T36,1,0)),(RANK(S37,S$4:S$182)+2),(RANK(S37,S$4:S$182)+3))))</f>
        <v>33</v>
      </c>
      <c r="U37" t="str">
        <f t="shared" si="5"/>
        <v>Brandon Bostick</v>
      </c>
    </row>
    <row r="38" spans="1:21" ht="12.75" customHeight="1">
      <c r="A38" s="33" t="str">
        <f>ESPNData!AX37</f>
        <v>Zach Miller, Sea TE</v>
      </c>
      <c r="B38" s="33" t="str">
        <f t="shared" si="3"/>
        <v>Zach Miller</v>
      </c>
      <c r="C38" s="64" t="str">
        <f t="shared" si="4"/>
        <v>SEA</v>
      </c>
      <c r="D38" s="117">
        <f>IF(ISERROR(VLOOKUP($B38,FFTodayData!$AN:$AT,4,0)),"",VLOOKUP($B38,FFTodayData!$AN:$AT,4,0))</f>
        <v>38</v>
      </c>
      <c r="E38" s="33">
        <f>IF(ISERROR(VLOOKUP($B38,FFTodayData!$AN:$AT,5,0)),"",VLOOKUP($B38,FFTodayData!$AN:$AT,5,0))</f>
        <v>395</v>
      </c>
      <c r="F38" s="64">
        <f>IF(ISERROR(VLOOKUP($B38,FFTodayData!$AN:$AT,6,0)),"",VLOOKUP($B38,FFTodayData!$AN:$AT,6,0))</f>
        <v>4</v>
      </c>
      <c r="G38" s="117">
        <f>IF(ISERROR(VLOOKUP($A38,ESPNData!$AX:$BK,11,0)),"",VLOOKUP($A38,ESPNData!$AX:$BK,11,0))</f>
        <v>34</v>
      </c>
      <c r="H38" s="33">
        <f>IF(ISERROR(VLOOKUP($A38,ESPNData!$AX:$BK,12,0)),"",VLOOKUP($A38,ESPNData!$AX:$BK,12,0))</f>
        <v>390</v>
      </c>
      <c r="I38" s="64">
        <f>IF(ISERROR(VLOOKUP($A38,ESPNData!$AX:$BK,13,0)),"",VLOOKUP($A38,ESPNData!$AX:$BK,13,0))</f>
        <v>1</v>
      </c>
      <c r="J38" s="117">
        <f>IF(ISERROR(VLOOKUP($B38,SportslineData!$AM:$AT,3,0)),"",ROUND(VLOOKUP($B38,SportslineData!$AM:$AT,3,0),0))</f>
        <v>32</v>
      </c>
      <c r="K38" s="33">
        <f>IF(ISERROR(VLOOKUP($B38,SportslineData!$AM:$AT,4,0)),"",VLOOKUP($B38,SportslineData!$AM:$AT,4,0))</f>
        <v>371.5</v>
      </c>
      <c r="L38" s="33">
        <f>IF(ISERROR(VLOOKUP($B38,SportslineData!$AM:$AT,6,0)),"",ROUND(VLOOKUP($B38,SportslineData!$AM:$AT,6,0),0))</f>
        <v>4</v>
      </c>
      <c r="M38" s="64">
        <f>IF(ISERROR(VLOOKUP($B38,SportslineData!$AM:$AT,7,0)),"",ROUND(VLOOKUP($B38,SportslineData!$AM:$AT,7,0),0))</f>
        <v>0</v>
      </c>
      <c r="N38" s="117"/>
      <c r="O38" s="33"/>
      <c r="P38" s="38">
        <f>IF(ISERROR(ROUND((((ROUNDDOWN((E38/5),0)*Settings!$F$11)+(D38*Settings!$I$11))+(F38*Settings!$F$12)),1)),0,ROUND((((ROUNDDOWN((E38/5),0)*Settings!$F$11)+(D38*Settings!$I$11))+(F38*Settings!$F$12)),1))</f>
        <v>82.5</v>
      </c>
      <c r="Q38" s="38">
        <f>IF(ISERROR(ROUND((((ROUNDDOWN((H38/5),0)*Settings!$F$11)+(G38*Settings!$I$11))+(I38*Settings!$F$12)),1)),0,ROUND((((ROUNDDOWN((H38/5),0)*Settings!$F$11)+(G38*Settings!$I$11))+(I38*Settings!$F$12)),1))</f>
        <v>62</v>
      </c>
      <c r="R38" s="38">
        <f>IF((J38=""),0,((((J38*Settings!$I$11)+(ROUND((K38/5),0)*Settings!$F$11))+(L38*Settings!$F$12))+(M38*Settings!$F$15)))</f>
        <v>77</v>
      </c>
      <c r="S38" s="66">
        <f>ROUND((((P38*Settings!$B$21)+(Q38*Settings!$B$22))+(R38*Settings!$B$23)),1)</f>
        <v>73.900000000000006</v>
      </c>
      <c r="T38" s="66">
        <f>IF(ISERROR(VLOOKUP(RANK(S38,S$4:S$182),T$4:T37,1,0)),RANK(S38,S$4:S$182),IF(ISERROR(VLOOKUP((RANK(S38,S$4:S$182)+1),T$4:T37,1,0)),(RANK(S38,S$4:S$182)+1),IF(ISERROR(VLOOKUP((RANK(S38,S$4:S$182)+2),T$4:T37,1,0)),(RANK(S38,S$4:S$182)+2),(RANK(S38,S$4:S$182)+3))))</f>
        <v>29</v>
      </c>
      <c r="U38" t="str">
        <f t="shared" si="5"/>
        <v>Zach Miller</v>
      </c>
    </row>
    <row r="39" spans="1:21" ht="12.75" customHeight="1">
      <c r="A39" s="33" t="str">
        <f>ESPNData!AX38</f>
        <v>C.J. Fiedorowicz, Hou TE</v>
      </c>
      <c r="B39" s="33" t="str">
        <f t="shared" si="3"/>
        <v>C.J. Fiedorowicz</v>
      </c>
      <c r="C39" s="64" t="str">
        <f t="shared" si="4"/>
        <v>HOU</v>
      </c>
      <c r="D39" s="117" t="str">
        <f>IF(ISERROR(VLOOKUP($B39,FFTodayData!$AN:$AT,4,0)),"",VLOOKUP($B39,FFTodayData!$AN:$AT,4,0))</f>
        <v/>
      </c>
      <c r="E39" s="33" t="str">
        <f>IF(ISERROR(VLOOKUP($B39,FFTodayData!$AN:$AT,5,0)),"",VLOOKUP($B39,FFTodayData!$AN:$AT,5,0))</f>
        <v/>
      </c>
      <c r="F39" s="64" t="str">
        <f>IF(ISERROR(VLOOKUP($B39,FFTodayData!$AN:$AT,6,0)),"",VLOOKUP($B39,FFTodayData!$AN:$AT,6,0))</f>
        <v/>
      </c>
      <c r="G39" s="117">
        <f>IF(ISERROR(VLOOKUP($A39,ESPNData!$AX:$BK,11,0)),"",VLOOKUP($A39,ESPNData!$AX:$BK,11,0))</f>
        <v>20</v>
      </c>
      <c r="H39" s="33">
        <f>IF(ISERROR(VLOOKUP($A39,ESPNData!$AX:$BK,12,0)),"",VLOOKUP($A39,ESPNData!$AX:$BK,12,0))</f>
        <v>234</v>
      </c>
      <c r="I39" s="64">
        <f>IF(ISERROR(VLOOKUP($A39,ESPNData!$AX:$BK,13,0)),"",VLOOKUP($A39,ESPNData!$AX:$BK,13,0))</f>
        <v>3</v>
      </c>
      <c r="J39" s="117">
        <f>IF(ISERROR(VLOOKUP($B39,SportslineData!$AM:$AT,3,0)),"",ROUND(VLOOKUP($B39,SportslineData!$AM:$AT,3,0),0))</f>
        <v>23</v>
      </c>
      <c r="K39" s="33">
        <f>IF(ISERROR(VLOOKUP($B39,SportslineData!$AM:$AT,4,0)),"",VLOOKUP($B39,SportslineData!$AM:$AT,4,0))</f>
        <v>293</v>
      </c>
      <c r="L39" s="33">
        <f>IF(ISERROR(VLOOKUP($B39,SportslineData!$AM:$AT,6,0)),"",ROUND(VLOOKUP($B39,SportslineData!$AM:$AT,6,0),0))</f>
        <v>3</v>
      </c>
      <c r="M39" s="64">
        <f>IF(ISERROR(VLOOKUP($B39,SportslineData!$AM:$AT,7,0)),"",ROUND(VLOOKUP($B39,SportslineData!$AM:$AT,7,0),0))</f>
        <v>0</v>
      </c>
      <c r="N39" s="117"/>
      <c r="O39" s="33"/>
      <c r="P39" s="38">
        <f>IF(ISERROR(ROUND((((ROUNDDOWN((E39/5),0)*Settings!$F$11)+(D39*Settings!$I$11))+(F39*Settings!$F$12)),1)),0,ROUND((((ROUNDDOWN((E39/5),0)*Settings!$F$11)+(D39*Settings!$I$11))+(F39*Settings!$F$12)),1))</f>
        <v>0</v>
      </c>
      <c r="Q39" s="38">
        <f>IF(ISERROR(ROUND((((ROUNDDOWN((H39/5),0)*Settings!$F$11)+(G39*Settings!$I$11))+(I39*Settings!$F$12)),1)),0,ROUND((((ROUNDDOWN((H39/5),0)*Settings!$F$11)+(G39*Settings!$I$11))+(I39*Settings!$F$12)),1))</f>
        <v>51</v>
      </c>
      <c r="R39" s="38">
        <f>IF((J39=""),0,((((J39*Settings!$I$11)+(ROUND((K39/5),0)*Settings!$F$11))+(L39*Settings!$F$12))+(M39*Settings!$F$15)))</f>
        <v>59</v>
      </c>
      <c r="S39" s="66">
        <f>ROUND((((P39*Settings!$B$21)+(Q39*Settings!$B$22))+(R39*Settings!$B$23)),1)</f>
        <v>36.9</v>
      </c>
      <c r="T39" s="66">
        <f>IF(ISERROR(VLOOKUP(RANK(S39,S$4:S$182),T$4:T38,1,0)),RANK(S39,S$4:S$182),IF(ISERROR(VLOOKUP((RANK(S39,S$4:S$182)+1),T$4:T38,1,0)),(RANK(S39,S$4:S$182)+1),IF(ISERROR(VLOOKUP((RANK(S39,S$4:S$182)+2),T$4:T38,1,0)),(RANK(S39,S$4:S$182)+2),(RANK(S39,S$4:S$182)+3))))</f>
        <v>48</v>
      </c>
      <c r="U39" t="str">
        <f t="shared" si="5"/>
        <v>C.J. Fiedorowicz</v>
      </c>
    </row>
    <row r="40" spans="1:21" ht="12.75" customHeight="1">
      <c r="A40" s="33" t="str">
        <f>ESPNData!AX39</f>
        <v>Marcedes Lewis, Jac TE</v>
      </c>
      <c r="B40" s="33" t="str">
        <f t="shared" si="3"/>
        <v>Marcedes Lewis</v>
      </c>
      <c r="C40" s="64" t="str">
        <f t="shared" si="4"/>
        <v>JAC</v>
      </c>
      <c r="D40" s="117">
        <f>IF(ISERROR(VLOOKUP($B40,FFTodayData!$AN:$AT,4,0)),"",VLOOKUP($B40,FFTodayData!$AN:$AT,4,0))</f>
        <v>48</v>
      </c>
      <c r="E40" s="33">
        <f>IF(ISERROR(VLOOKUP($B40,FFTodayData!$AN:$AT,5,0)),"",VLOOKUP($B40,FFTodayData!$AN:$AT,5,0))</f>
        <v>510</v>
      </c>
      <c r="F40" s="64">
        <f>IF(ISERROR(VLOOKUP($B40,FFTodayData!$AN:$AT,6,0)),"",VLOOKUP($B40,FFTodayData!$AN:$AT,6,0))</f>
        <v>3</v>
      </c>
      <c r="G40" s="117">
        <f>IF(ISERROR(VLOOKUP($A40,ESPNData!$AX:$BK,11,0)),"",VLOOKUP($A40,ESPNData!$AX:$BK,11,0))</f>
        <v>36</v>
      </c>
      <c r="H40" s="33">
        <f>IF(ISERROR(VLOOKUP($A40,ESPNData!$AX:$BK,12,0)),"",VLOOKUP($A40,ESPNData!$AX:$BK,12,0))</f>
        <v>368</v>
      </c>
      <c r="I40" s="64">
        <f>IF(ISERROR(VLOOKUP($A40,ESPNData!$AX:$BK,13,0)),"",VLOOKUP($A40,ESPNData!$AX:$BK,13,0))</f>
        <v>2</v>
      </c>
      <c r="J40" s="117">
        <f>IF(ISERROR(VLOOKUP($B40,SportslineData!$AM:$AT,3,0)),"",ROUND(VLOOKUP($B40,SportslineData!$AM:$AT,3,0),0))</f>
        <v>41</v>
      </c>
      <c r="K40" s="33">
        <f>IF(ISERROR(VLOOKUP($B40,SportslineData!$AM:$AT,4,0)),"",VLOOKUP($B40,SportslineData!$AM:$AT,4,0))</f>
        <v>490</v>
      </c>
      <c r="L40" s="33">
        <f>IF(ISERROR(VLOOKUP($B40,SportslineData!$AM:$AT,6,0)),"",ROUND(VLOOKUP($B40,SportslineData!$AM:$AT,6,0),0))</f>
        <v>5</v>
      </c>
      <c r="M40" s="64">
        <f>IF(ISERROR(VLOOKUP($B40,SportslineData!$AM:$AT,7,0)),"",ROUND(VLOOKUP($B40,SportslineData!$AM:$AT,7,0),0))</f>
        <v>0</v>
      </c>
      <c r="N40" s="117"/>
      <c r="O40" s="33"/>
      <c r="P40" s="38">
        <f>IF(ISERROR(ROUND((((ROUNDDOWN((E40/5),0)*Settings!$F$11)+(D40*Settings!$I$11))+(F40*Settings!$F$12)),1)),0,ROUND((((ROUNDDOWN((E40/5),0)*Settings!$F$11)+(D40*Settings!$I$11))+(F40*Settings!$F$12)),1))</f>
        <v>93</v>
      </c>
      <c r="Q40" s="38">
        <f>IF(ISERROR(ROUND((((ROUNDDOWN((H40/5),0)*Settings!$F$11)+(G40*Settings!$I$11))+(I40*Settings!$F$12)),1)),0,ROUND((((ROUNDDOWN((H40/5),0)*Settings!$F$11)+(G40*Settings!$I$11))+(I40*Settings!$F$12)),1))</f>
        <v>66.5</v>
      </c>
      <c r="R40" s="38">
        <f>IF((J40=""),0,((((J40*Settings!$I$11)+(ROUND((K40/5),0)*Settings!$F$11))+(L40*Settings!$F$12))+(M40*Settings!$F$15)))</f>
        <v>99.5</v>
      </c>
      <c r="S40" s="66">
        <f>ROUND((((P40*Settings!$B$21)+(Q40*Settings!$B$22))+(R40*Settings!$B$23)),1)</f>
        <v>86.5</v>
      </c>
      <c r="T40" s="66">
        <f>IF(ISERROR(VLOOKUP(RANK(S40,S$4:S$182),T$4:T39,1,0)),RANK(S40,S$4:S$182),IF(ISERROR(VLOOKUP((RANK(S40,S$4:S$182)+1),T$4:T39,1,0)),(RANK(S40,S$4:S$182)+1),IF(ISERROR(VLOOKUP((RANK(S40,S$4:S$182)+2),T$4:T39,1,0)),(RANK(S40,S$4:S$182)+2),(RANK(S40,S$4:S$182)+3))))</f>
        <v>24</v>
      </c>
      <c r="U40" t="str">
        <f t="shared" si="5"/>
        <v>Marcedes Lewis</v>
      </c>
    </row>
    <row r="41" spans="1:21" ht="12.75" customHeight="1">
      <c r="A41" s="33" t="str">
        <f>ESPNData!AX40</f>
        <v>Travis Kelce, KC TE</v>
      </c>
      <c r="B41" s="33" t="str">
        <f t="shared" si="3"/>
        <v>Travis Kelce</v>
      </c>
      <c r="C41" s="64" t="str">
        <f t="shared" si="4"/>
        <v>KC</v>
      </c>
      <c r="D41" s="117">
        <f>IF(ISERROR(VLOOKUP($B41,FFTodayData!$AN:$AT,4,0)),"",VLOOKUP($B41,FFTodayData!$AN:$AT,4,0))</f>
        <v>39</v>
      </c>
      <c r="E41" s="33">
        <f>IF(ISERROR(VLOOKUP($B41,FFTodayData!$AN:$AT,5,0)),"",VLOOKUP($B41,FFTodayData!$AN:$AT,5,0))</f>
        <v>416</v>
      </c>
      <c r="F41" s="64">
        <f>IF(ISERROR(VLOOKUP($B41,FFTodayData!$AN:$AT,6,0)),"",VLOOKUP($B41,FFTodayData!$AN:$AT,6,0))</f>
        <v>3</v>
      </c>
      <c r="G41" s="117">
        <f>IF(ISERROR(VLOOKUP($A41,ESPNData!$AX:$BK,11,0)),"",VLOOKUP($A41,ESPNData!$AX:$BK,11,0))</f>
        <v>30</v>
      </c>
      <c r="H41" s="33">
        <f>IF(ISERROR(VLOOKUP($A41,ESPNData!$AX:$BK,12,0)),"",VLOOKUP($A41,ESPNData!$AX:$BK,12,0))</f>
        <v>365</v>
      </c>
      <c r="I41" s="64">
        <f>IF(ISERROR(VLOOKUP($A41,ESPNData!$AX:$BK,13,0)),"",VLOOKUP($A41,ESPNData!$AX:$BK,13,0))</f>
        <v>2</v>
      </c>
      <c r="J41" s="117">
        <f>IF(ISERROR(VLOOKUP($B41,SportslineData!$AM:$AT,3,0)),"",ROUND(VLOOKUP($B41,SportslineData!$AM:$AT,3,0),0))</f>
        <v>37</v>
      </c>
      <c r="K41" s="33">
        <f>IF(ISERROR(VLOOKUP($B41,SportslineData!$AM:$AT,4,0)),"",VLOOKUP($B41,SportslineData!$AM:$AT,4,0))</f>
        <v>514</v>
      </c>
      <c r="L41" s="33">
        <f>IF(ISERROR(VLOOKUP($B41,SportslineData!$AM:$AT,6,0)),"",ROUND(VLOOKUP($B41,SportslineData!$AM:$AT,6,0),0))</f>
        <v>4</v>
      </c>
      <c r="M41" s="64">
        <f>IF(ISERROR(VLOOKUP($B41,SportslineData!$AM:$AT,7,0)),"",ROUND(VLOOKUP($B41,SportslineData!$AM:$AT,7,0),0))</f>
        <v>1</v>
      </c>
      <c r="N41" s="117"/>
      <c r="O41" s="33"/>
      <c r="P41" s="38">
        <f>IF(ISERROR(ROUND((((ROUNDDOWN((E41/5),0)*Settings!$F$11)+(D41*Settings!$I$11))+(F41*Settings!$F$12)),1)),0,ROUND((((ROUNDDOWN((E41/5),0)*Settings!$F$11)+(D41*Settings!$I$11))+(F41*Settings!$F$12)),1))</f>
        <v>79</v>
      </c>
      <c r="Q41" s="38">
        <f>IF(ISERROR(ROUND((((ROUNDDOWN((H41/5),0)*Settings!$F$11)+(G41*Settings!$I$11))+(I41*Settings!$F$12)),1)),0,ROUND((((ROUNDDOWN((H41/5),0)*Settings!$F$11)+(G41*Settings!$I$11))+(I41*Settings!$F$12)),1))</f>
        <v>63.5</v>
      </c>
      <c r="R41" s="38">
        <f>IF((J41=""),0,((((J41*Settings!$I$11)+(ROUND((K41/5),0)*Settings!$F$11))+(L41*Settings!$F$12))+(M41*Settings!$F$15)))</f>
        <v>93</v>
      </c>
      <c r="S41" s="66">
        <f>ROUND((((P41*Settings!$B$21)+(Q41*Settings!$B$22))+(R41*Settings!$B$23)),1)</f>
        <v>78.599999999999994</v>
      </c>
      <c r="T41" s="66">
        <f>IF(ISERROR(VLOOKUP(RANK(S41,S$4:S$182),T$4:T40,1,0)),RANK(S41,S$4:S$182),IF(ISERROR(VLOOKUP((RANK(S41,S$4:S$182)+1),T$4:T40,1,0)),(RANK(S41,S$4:S$182)+1),IF(ISERROR(VLOOKUP((RANK(S41,S$4:S$182)+2),T$4:T40,1,0)),(RANK(S41,S$4:S$182)+2),(RANK(S41,S$4:S$182)+3))))</f>
        <v>27</v>
      </c>
      <c r="U41" t="str">
        <f t="shared" si="5"/>
        <v>Travis Kelce</v>
      </c>
    </row>
    <row r="42" spans="1:21" ht="12.75" customHeight="1">
      <c r="A42" s="33" t="str">
        <f>ESPNData!AX41</f>
        <v>Brent Celek, Phi TE</v>
      </c>
      <c r="B42" s="33" t="str">
        <f t="shared" si="3"/>
        <v>Brent Celek</v>
      </c>
      <c r="C42" s="64" t="str">
        <f t="shared" si="4"/>
        <v>PHI</v>
      </c>
      <c r="D42" s="117">
        <f>IF(ISERROR(VLOOKUP($B42,FFTodayData!$AN:$AT,4,0)),"",VLOOKUP($B42,FFTodayData!$AN:$AT,4,0))</f>
        <v>30</v>
      </c>
      <c r="E42" s="33">
        <f>IF(ISERROR(VLOOKUP($B42,FFTodayData!$AN:$AT,5,0)),"",VLOOKUP($B42,FFTodayData!$AN:$AT,5,0))</f>
        <v>376</v>
      </c>
      <c r="F42" s="64">
        <f>IF(ISERROR(VLOOKUP($B42,FFTodayData!$AN:$AT,6,0)),"",VLOOKUP($B42,FFTodayData!$AN:$AT,6,0))</f>
        <v>4</v>
      </c>
      <c r="G42" s="117">
        <f>IF(ISERROR(VLOOKUP($A42,ESPNData!$AX:$BK,11,0)),"",VLOOKUP($A42,ESPNData!$AX:$BK,11,0))</f>
        <v>30</v>
      </c>
      <c r="H42" s="33">
        <f>IF(ISERROR(VLOOKUP($A42,ESPNData!$AX:$BK,12,0)),"",VLOOKUP($A42,ESPNData!$AX:$BK,12,0))</f>
        <v>355</v>
      </c>
      <c r="I42" s="64">
        <f>IF(ISERROR(VLOOKUP($A42,ESPNData!$AX:$BK,13,0)),"",VLOOKUP($A42,ESPNData!$AX:$BK,13,0))</f>
        <v>2</v>
      </c>
      <c r="J42" s="117">
        <f>IF(ISERROR(VLOOKUP($B42,SportslineData!$AM:$AT,3,0)),"",ROUND(VLOOKUP($B42,SportslineData!$AM:$AT,3,0),0))</f>
        <v>38</v>
      </c>
      <c r="K42" s="33">
        <f>IF(ISERROR(VLOOKUP($B42,SportslineData!$AM:$AT,4,0)),"",VLOOKUP($B42,SportslineData!$AM:$AT,4,0))</f>
        <v>464.5</v>
      </c>
      <c r="L42" s="33">
        <f>IF(ISERROR(VLOOKUP($B42,SportslineData!$AM:$AT,6,0)),"",ROUND(VLOOKUP($B42,SportslineData!$AM:$AT,6,0),0))</f>
        <v>4</v>
      </c>
      <c r="M42" s="64">
        <f>IF(ISERROR(VLOOKUP($B42,SportslineData!$AM:$AT,7,0)),"",ROUND(VLOOKUP($B42,SportslineData!$AM:$AT,7,0),0))</f>
        <v>1</v>
      </c>
      <c r="N42" s="117"/>
      <c r="O42" s="33"/>
      <c r="P42" s="38">
        <f>IF(ISERROR(ROUND((((ROUNDDOWN((E42/5),0)*Settings!$F$11)+(D42*Settings!$I$11))+(F42*Settings!$F$12)),1)),0,ROUND((((ROUNDDOWN((E42/5),0)*Settings!$F$11)+(D42*Settings!$I$11))+(F42*Settings!$F$12)),1))</f>
        <v>76.5</v>
      </c>
      <c r="Q42" s="38">
        <f>IF(ISERROR(ROUND((((ROUNDDOWN((H42/5),0)*Settings!$F$11)+(G42*Settings!$I$11))+(I42*Settings!$F$12)),1)),0,ROUND((((ROUNDDOWN((H42/5),0)*Settings!$F$11)+(G42*Settings!$I$11))+(I42*Settings!$F$12)),1))</f>
        <v>62.5</v>
      </c>
      <c r="R42" s="38">
        <f>IF((J42=""),0,((((J42*Settings!$I$11)+(ROUND((K42/5),0)*Settings!$F$11))+(L42*Settings!$F$12))+(M42*Settings!$F$15)))</f>
        <v>88.5</v>
      </c>
      <c r="S42" s="66">
        <f>ROUND((((P42*Settings!$B$21)+(Q42*Settings!$B$22))+(R42*Settings!$B$23)),1)</f>
        <v>76</v>
      </c>
      <c r="T42" s="66">
        <f>IF(ISERROR(VLOOKUP(RANK(S42,S$4:S$182),T$4:T41,1,0)),RANK(S42,S$4:S$182),IF(ISERROR(VLOOKUP((RANK(S42,S$4:S$182)+1),T$4:T41,1,0)),(RANK(S42,S$4:S$182)+1),IF(ISERROR(VLOOKUP((RANK(S42,S$4:S$182)+2),T$4:T41,1,0)),(RANK(S42,S$4:S$182)+2),(RANK(S42,S$4:S$182)+3))))</f>
        <v>28</v>
      </c>
      <c r="U42" t="str">
        <f t="shared" si="5"/>
        <v>Brent Celek</v>
      </c>
    </row>
    <row r="43" spans="1:21" ht="12.75" customHeight="1">
      <c r="A43" s="33" t="str">
        <f>ESPNData!AX42</f>
        <v>John Carlson, Ari TE</v>
      </c>
      <c r="B43" s="33" t="str">
        <f t="shared" si="3"/>
        <v>John Carlson</v>
      </c>
      <c r="C43" s="64" t="str">
        <f t="shared" si="4"/>
        <v>ARI</v>
      </c>
      <c r="D43" s="117">
        <f>IF(ISERROR(VLOOKUP($B43,FFTodayData!$AN:$AT,4,0)),"",VLOOKUP($B43,FFTodayData!$AN:$AT,4,0))</f>
        <v>30</v>
      </c>
      <c r="E43" s="33">
        <f>IF(ISERROR(VLOOKUP($B43,FFTodayData!$AN:$AT,5,0)),"",VLOOKUP($B43,FFTodayData!$AN:$AT,5,0))</f>
        <v>306</v>
      </c>
      <c r="F43" s="64">
        <f>IF(ISERROR(VLOOKUP($B43,FFTodayData!$AN:$AT,6,0)),"",VLOOKUP($B43,FFTodayData!$AN:$AT,6,0))</f>
        <v>2</v>
      </c>
      <c r="G43" s="117">
        <f>IF(ISERROR(VLOOKUP($A43,ESPNData!$AX:$BK,11,0)),"",VLOOKUP($A43,ESPNData!$AX:$BK,11,0))</f>
        <v>27</v>
      </c>
      <c r="H43" s="33">
        <f>IF(ISERROR(VLOOKUP($A43,ESPNData!$AX:$BK,12,0)),"",VLOOKUP($A43,ESPNData!$AX:$BK,12,0))</f>
        <v>300</v>
      </c>
      <c r="I43" s="64">
        <f>IF(ISERROR(VLOOKUP($A43,ESPNData!$AX:$BK,13,0)),"",VLOOKUP($A43,ESPNData!$AX:$BK,13,0))</f>
        <v>2</v>
      </c>
      <c r="J43" s="117">
        <f>IF(ISERROR(VLOOKUP($B43,SportslineData!$AM:$AT,3,0)),"",ROUND(VLOOKUP($B43,SportslineData!$AM:$AT,3,0),0))</f>
        <v>28</v>
      </c>
      <c r="K43" s="33">
        <f>IF(ISERROR(VLOOKUP($B43,SportslineData!$AM:$AT,4,0)),"",VLOOKUP($B43,SportslineData!$AM:$AT,4,0))</f>
        <v>286.5</v>
      </c>
      <c r="L43" s="33">
        <f>IF(ISERROR(VLOOKUP($B43,SportslineData!$AM:$AT,6,0)),"",ROUND(VLOOKUP($B43,SportslineData!$AM:$AT,6,0),0))</f>
        <v>3</v>
      </c>
      <c r="M43" s="64">
        <f>IF(ISERROR(VLOOKUP($B43,SportslineData!$AM:$AT,7,0)),"",ROUND(VLOOKUP($B43,SportslineData!$AM:$AT,7,0),0))</f>
        <v>0</v>
      </c>
      <c r="N43" s="117"/>
      <c r="O43" s="33"/>
      <c r="P43" s="38">
        <f>IF(ISERROR(ROUND((((ROUNDDOWN((E43/5),0)*Settings!$F$11)+(D43*Settings!$I$11))+(F43*Settings!$F$12)),1)),0,ROUND((((ROUNDDOWN((E43/5),0)*Settings!$F$11)+(D43*Settings!$I$11))+(F43*Settings!$F$12)),1))</f>
        <v>57.5</v>
      </c>
      <c r="Q43" s="38">
        <f>IF(ISERROR(ROUND((((ROUNDDOWN((H43/5),0)*Settings!$F$11)+(G43*Settings!$I$11))+(I43*Settings!$F$12)),1)),0,ROUND((((ROUNDDOWN((H43/5),0)*Settings!$F$11)+(G43*Settings!$I$11))+(I43*Settings!$F$12)),1))</f>
        <v>55.5</v>
      </c>
      <c r="R43" s="38">
        <f>IF((J43=""),0,((((J43*Settings!$I$11)+(ROUND((K43/5),0)*Settings!$F$11))+(L43*Settings!$F$12))+(M43*Settings!$F$15)))</f>
        <v>60.5</v>
      </c>
      <c r="S43" s="66">
        <f>ROUND((((P43*Settings!$B$21)+(Q43*Settings!$B$22))+(R43*Settings!$B$23)),1)</f>
        <v>57.9</v>
      </c>
      <c r="T43" s="66">
        <f>IF(ISERROR(VLOOKUP(RANK(S43,S$4:S$182),T$4:T42,1,0)),RANK(S43,S$4:S$182),IF(ISERROR(VLOOKUP((RANK(S43,S$4:S$182)+1),T$4:T42,1,0)),(RANK(S43,S$4:S$182)+1),IF(ISERROR(VLOOKUP((RANK(S43,S$4:S$182)+2),T$4:T42,1,0)),(RANK(S43,S$4:S$182)+2),(RANK(S43,S$4:S$182)+3))))</f>
        <v>34</v>
      </c>
      <c r="U43" t="str">
        <f t="shared" si="5"/>
        <v>John Carlson</v>
      </c>
    </row>
    <row r="44" spans="1:21" ht="12.75" customHeight="1">
      <c r="A44" s="33" t="str">
        <f>ESPNData!AX45</f>
        <v>Timothy Wright, TB TE</v>
      </c>
      <c r="B44" s="33" t="str">
        <f t="shared" si="3"/>
        <v>Timothy Wright</v>
      </c>
      <c r="C44" s="64" t="str">
        <f t="shared" si="4"/>
        <v>TB</v>
      </c>
      <c r="D44" s="117" t="str">
        <f>IF(ISERROR(VLOOKUP($B44,FFTodayData!$AN:$AT,4,0)),"",VLOOKUP($B44,FFTodayData!$AN:$AT,4,0))</f>
        <v/>
      </c>
      <c r="E44" s="33" t="str">
        <f>IF(ISERROR(VLOOKUP($B44,FFTodayData!$AN:$AT,5,0)),"",VLOOKUP($B44,FFTodayData!$AN:$AT,5,0))</f>
        <v/>
      </c>
      <c r="F44" s="64" t="str">
        <f>IF(ISERROR(VLOOKUP($B44,FFTodayData!$AN:$AT,6,0)),"",VLOOKUP($B44,FFTodayData!$AN:$AT,6,0))</f>
        <v/>
      </c>
      <c r="G44" s="117">
        <f>IF(ISERROR(VLOOKUP($A44,ESPNData!$AX:$BK,11,0)),"",VLOOKUP($A44,ESPNData!$AX:$BK,11,0))</f>
        <v>0</v>
      </c>
      <c r="H44" s="33">
        <f>IF(ISERROR(VLOOKUP($A44,ESPNData!$AX:$BK,12,0)),"",VLOOKUP($A44,ESPNData!$AX:$BK,12,0))</f>
        <v>0</v>
      </c>
      <c r="I44" s="64">
        <f>IF(ISERROR(VLOOKUP($A44,ESPNData!$AX:$BK,13,0)),"",VLOOKUP($A44,ESPNData!$AX:$BK,13,0))</f>
        <v>0</v>
      </c>
      <c r="J44" s="117">
        <f>IF(ISERROR(VLOOKUP($B44,SportslineData!$AM:$AT,3,0)),"",ROUND(VLOOKUP($B44,SportslineData!$AM:$AT,3,0),0))</f>
        <v>36</v>
      </c>
      <c r="K44" s="33">
        <f>IF(ISERROR(VLOOKUP($B44,SportslineData!$AM:$AT,4,0)),"",VLOOKUP($B44,SportslineData!$AM:$AT,4,0))</f>
        <v>419.5</v>
      </c>
      <c r="L44" s="33">
        <f>IF(ISERROR(VLOOKUP($B44,SportslineData!$AM:$AT,6,0)),"",ROUND(VLOOKUP($B44,SportslineData!$AM:$AT,6,0),0))</f>
        <v>5</v>
      </c>
      <c r="M44" s="64">
        <f>IF(ISERROR(VLOOKUP($B44,SportslineData!$AM:$AT,7,0)),"",ROUND(VLOOKUP($B44,SportslineData!$AM:$AT,7,0),0))</f>
        <v>0</v>
      </c>
      <c r="N44" s="117"/>
      <c r="O44" s="33"/>
      <c r="P44" s="38">
        <f>IF(ISERROR(ROUND((((ROUNDDOWN((E44/5),0)*Settings!$F$11)+(D44*Settings!$I$11))+(F44*Settings!$F$12)),1)),0,ROUND((((ROUNDDOWN((E44/5),0)*Settings!$F$11)+(D44*Settings!$I$11))+(F44*Settings!$F$12)),1))</f>
        <v>0</v>
      </c>
      <c r="Q44" s="38">
        <f>IF(ISERROR(ROUND((((ROUNDDOWN((H44/5),0)*Settings!$F$11)+(G44*Settings!$I$11))+(I44*Settings!$F$12)),1)),0,ROUND((((ROUNDDOWN((H44/5),0)*Settings!$F$11)+(G44*Settings!$I$11))+(I44*Settings!$F$12)),1))</f>
        <v>0</v>
      </c>
      <c r="R44" s="38">
        <f>IF((J44=""),0,((((J44*Settings!$I$11)+(ROUND((K44/5),0)*Settings!$F$11))+(L44*Settings!$F$12))+(M44*Settings!$F$15)))</f>
        <v>90</v>
      </c>
      <c r="S44" s="66">
        <f>ROUND((((P44*Settings!$B$21)+(Q44*Settings!$B$22))+(R44*Settings!$B$23)),1)</f>
        <v>30.6</v>
      </c>
      <c r="T44" s="66">
        <f>IF(ISERROR(VLOOKUP(RANK(S44,S$4:S$182),T$4:T43,1,0)),RANK(S44,S$4:S$182),IF(ISERROR(VLOOKUP((RANK(S44,S$4:S$182)+1),T$4:T43,1,0)),(RANK(S44,S$4:S$182)+1),IF(ISERROR(VLOOKUP((RANK(S44,S$4:S$182)+2),T$4:T43,1,0)),(RANK(S44,S$4:S$182)+2),(RANK(S44,S$4:S$182)+3))))</f>
        <v>51</v>
      </c>
      <c r="U44" t="str">
        <f t="shared" si="5"/>
        <v>Timothy Wright</v>
      </c>
    </row>
    <row r="45" spans="1:21" ht="12.75" customHeight="1">
      <c r="A45" s="33" t="str">
        <f>ESPNData!AX46</f>
        <v>Ed Dickson, Car TE</v>
      </c>
      <c r="B45" s="33" t="str">
        <f t="shared" si="3"/>
        <v>Ed Dickson</v>
      </c>
      <c r="C45" s="64" t="str">
        <f t="shared" si="4"/>
        <v>CAR</v>
      </c>
      <c r="D45" s="117" t="str">
        <f>IF(ISERROR(VLOOKUP($B45,FFTodayData!$AN:$AT,4,0)),"",VLOOKUP($B45,FFTodayData!$AN:$AT,4,0))</f>
        <v/>
      </c>
      <c r="E45" s="33" t="str">
        <f>IF(ISERROR(VLOOKUP($B45,FFTodayData!$AN:$AT,5,0)),"",VLOOKUP($B45,FFTodayData!$AN:$AT,5,0))</f>
        <v/>
      </c>
      <c r="F45" s="64" t="str">
        <f>IF(ISERROR(VLOOKUP($B45,FFTodayData!$AN:$AT,6,0)),"",VLOOKUP($B45,FFTodayData!$AN:$AT,6,0))</f>
        <v/>
      </c>
      <c r="G45" s="117">
        <f>IF(ISERROR(VLOOKUP($A45,ESPNData!$AX:$BK,11,0)),"",VLOOKUP($A45,ESPNData!$AX:$BK,11,0))</f>
        <v>0</v>
      </c>
      <c r="H45" s="33">
        <f>IF(ISERROR(VLOOKUP($A45,ESPNData!$AX:$BK,12,0)),"",VLOOKUP($A45,ESPNData!$AX:$BK,12,0))</f>
        <v>0</v>
      </c>
      <c r="I45" s="64">
        <f>IF(ISERROR(VLOOKUP($A45,ESPNData!$AX:$BK,13,0)),"",VLOOKUP($A45,ESPNData!$AX:$BK,13,0))</f>
        <v>0</v>
      </c>
      <c r="J45" s="117">
        <f>IF(ISERROR(VLOOKUP($B45,SportslineData!$AM:$AT,3,0)),"",ROUND(VLOOKUP($B45,SportslineData!$AM:$AT,3,0),0))</f>
        <v>34</v>
      </c>
      <c r="K45" s="33">
        <f>IF(ISERROR(VLOOKUP($B45,SportslineData!$AM:$AT,4,0)),"",VLOOKUP($B45,SportslineData!$AM:$AT,4,0))</f>
        <v>363.5</v>
      </c>
      <c r="L45" s="33">
        <f>IF(ISERROR(VLOOKUP($B45,SportslineData!$AM:$AT,6,0)),"",ROUND(VLOOKUP($B45,SportslineData!$AM:$AT,6,0),0))</f>
        <v>2</v>
      </c>
      <c r="M45" s="64">
        <f>IF(ISERROR(VLOOKUP($B45,SportslineData!$AM:$AT,7,0)),"",ROUND(VLOOKUP($B45,SportslineData!$AM:$AT,7,0),0))</f>
        <v>0</v>
      </c>
      <c r="N45" s="117"/>
      <c r="O45" s="33"/>
      <c r="P45" s="38">
        <f>IF(ISERROR(ROUND((((ROUNDDOWN((E45/5),0)*Settings!$F$11)+(D45*Settings!$I$11))+(F45*Settings!$F$12)),1)),0,ROUND((((ROUNDDOWN((E45/5),0)*Settings!$F$11)+(D45*Settings!$I$11))+(F45*Settings!$F$12)),1))</f>
        <v>0</v>
      </c>
      <c r="Q45" s="38">
        <f>IF(ISERROR(ROUND((((ROUNDDOWN((H45/5),0)*Settings!$F$11)+(G45*Settings!$I$11))+(I45*Settings!$F$12)),1)),0,ROUND((((ROUNDDOWN((H45/5),0)*Settings!$F$11)+(G45*Settings!$I$11))+(I45*Settings!$F$12)),1))</f>
        <v>0</v>
      </c>
      <c r="R45" s="38">
        <f>IF((J45=""),0,((((J45*Settings!$I$11)+(ROUND((K45/5),0)*Settings!$F$11))+(L45*Settings!$F$12))+(M45*Settings!$F$15)))</f>
        <v>65.5</v>
      </c>
      <c r="S45" s="66">
        <f>ROUND((((P45*Settings!$B$21)+(Q45*Settings!$B$22))+(R45*Settings!$B$23)),1)</f>
        <v>22.3</v>
      </c>
      <c r="T45" s="66">
        <f>IF(ISERROR(VLOOKUP(RANK(S45,S$4:S$182),T$4:T44,1,0)),RANK(S45,S$4:S$182),IF(ISERROR(VLOOKUP((RANK(S45,S$4:S$182)+1),T$4:T44,1,0)),(RANK(S45,S$4:S$182)+1),IF(ISERROR(VLOOKUP((RANK(S45,S$4:S$182)+2),T$4:T44,1,0)),(RANK(S45,S$4:S$182)+2),(RANK(S45,S$4:S$182)+3))))</f>
        <v>55</v>
      </c>
      <c r="U45" t="str">
        <f t="shared" si="5"/>
        <v>Ed Dickson</v>
      </c>
    </row>
    <row r="46" spans="1:21" ht="12.75" customHeight="1">
      <c r="A46" s="33" t="str">
        <f>ESPNData!AX47</f>
        <v>Joseph Fauria, Det TE</v>
      </c>
      <c r="B46" s="33" t="str">
        <f t="shared" si="3"/>
        <v>Joseph Fauria</v>
      </c>
      <c r="C46" s="64" t="str">
        <f t="shared" si="4"/>
        <v>DET</v>
      </c>
      <c r="D46" s="117" t="str">
        <f>IF(ISERROR(VLOOKUP($B46,FFTodayData!$AN:$AT,4,0)),"",VLOOKUP($B46,FFTodayData!$AN:$AT,4,0))</f>
        <v/>
      </c>
      <c r="E46" s="33" t="str">
        <f>IF(ISERROR(VLOOKUP($B46,FFTodayData!$AN:$AT,5,0)),"",VLOOKUP($B46,FFTodayData!$AN:$AT,5,0))</f>
        <v/>
      </c>
      <c r="F46" s="64" t="str">
        <f>IF(ISERROR(VLOOKUP($B46,FFTodayData!$AN:$AT,6,0)),"",VLOOKUP($B46,FFTodayData!$AN:$AT,6,0))</f>
        <v/>
      </c>
      <c r="G46" s="117">
        <f>IF(ISERROR(VLOOKUP($A46,ESPNData!$AX:$BK,11,0)),"",VLOOKUP($A46,ESPNData!$AX:$BK,11,0))</f>
        <v>0</v>
      </c>
      <c r="H46" s="33">
        <f>IF(ISERROR(VLOOKUP($A46,ESPNData!$AX:$BK,12,0)),"",VLOOKUP($A46,ESPNData!$AX:$BK,12,0))</f>
        <v>0</v>
      </c>
      <c r="I46" s="64">
        <f>IF(ISERROR(VLOOKUP($A46,ESPNData!$AX:$BK,13,0)),"",VLOOKUP($A46,ESPNData!$AX:$BK,13,0))</f>
        <v>0</v>
      </c>
      <c r="J46" s="117">
        <f>IF(ISERROR(VLOOKUP($B46,SportslineData!$AM:$AT,3,0)),"",ROUND(VLOOKUP($B46,SportslineData!$AM:$AT,3,0),0))</f>
        <v>21</v>
      </c>
      <c r="K46" s="33">
        <f>IF(ISERROR(VLOOKUP($B46,SportslineData!$AM:$AT,4,0)),"",VLOOKUP($B46,SportslineData!$AM:$AT,4,0))</f>
        <v>251.5</v>
      </c>
      <c r="L46" s="33">
        <f>IF(ISERROR(VLOOKUP($B46,SportslineData!$AM:$AT,6,0)),"",ROUND(VLOOKUP($B46,SportslineData!$AM:$AT,6,0),0))</f>
        <v>3</v>
      </c>
      <c r="M46" s="64">
        <f>IF(ISERROR(VLOOKUP($B46,SportslineData!$AM:$AT,7,0)),"",ROUND(VLOOKUP($B46,SportslineData!$AM:$AT,7,0),0))</f>
        <v>1</v>
      </c>
      <c r="N46" s="117"/>
      <c r="O46" s="33"/>
      <c r="P46" s="38">
        <f>IF(ISERROR(ROUND((((ROUNDDOWN((E46/5),0)*Settings!$F$11)+(D46*Settings!$I$11))+(F46*Settings!$F$12)),1)),0,ROUND((((ROUNDDOWN((E46/5),0)*Settings!$F$11)+(D46*Settings!$I$11))+(F46*Settings!$F$12)),1))</f>
        <v>0</v>
      </c>
      <c r="Q46" s="38">
        <f>IF(ISERROR(ROUND((((ROUNDDOWN((H46/5),0)*Settings!$F$11)+(G46*Settings!$I$11))+(I46*Settings!$F$12)),1)),0,ROUND((((ROUNDDOWN((H46/5),0)*Settings!$F$11)+(G46*Settings!$I$11))+(I46*Settings!$F$12)),1))</f>
        <v>0</v>
      </c>
      <c r="R46" s="38">
        <f>IF((J46=""),0,((((J46*Settings!$I$11)+(ROUND((K46/5),0)*Settings!$F$11))+(L46*Settings!$F$12))+(M46*Settings!$F$15)))</f>
        <v>52.5</v>
      </c>
      <c r="S46" s="66">
        <f>ROUND((((P46*Settings!$B$21)+(Q46*Settings!$B$22))+(R46*Settings!$B$23)),1)</f>
        <v>17.899999999999999</v>
      </c>
      <c r="T46" s="66">
        <f>IF(ISERROR(VLOOKUP(RANK(S46,S$4:S$182),T$4:T45,1,0)),RANK(S46,S$4:S$182),IF(ISERROR(VLOOKUP((RANK(S46,S$4:S$182)+1),T$4:T45,1,0)),(RANK(S46,S$4:S$182)+1),IF(ISERROR(VLOOKUP((RANK(S46,S$4:S$182)+2),T$4:T45,1,0)),(RANK(S46,S$4:S$182)+2),(RANK(S46,S$4:S$182)+3))))</f>
        <v>58</v>
      </c>
      <c r="U46" t="str">
        <f t="shared" si="5"/>
        <v>Joseph Fauria</v>
      </c>
    </row>
    <row r="47" spans="1:21" ht="12.75" customHeight="1">
      <c r="A47" s="33" t="str">
        <f>ESPNData!AX48</f>
        <v>Richard Rodgers, GB TE</v>
      </c>
      <c r="B47" s="33" t="str">
        <f t="shared" si="3"/>
        <v>Richard Rodgers</v>
      </c>
      <c r="C47" s="64" t="str">
        <f t="shared" si="4"/>
        <v>GB</v>
      </c>
      <c r="D47" s="117">
        <f>IF(ISERROR(VLOOKUP($B47,FFTodayData!$AN:$AT,4,0)),"",VLOOKUP($B47,FFTodayData!$AN:$AT,4,0))</f>
        <v>20</v>
      </c>
      <c r="E47" s="33">
        <f>IF(ISERROR(VLOOKUP($B47,FFTodayData!$AN:$AT,5,0)),"",VLOOKUP($B47,FFTodayData!$AN:$AT,5,0))</f>
        <v>215</v>
      </c>
      <c r="F47" s="64">
        <f>IF(ISERROR(VLOOKUP($B47,FFTodayData!$AN:$AT,6,0)),"",VLOOKUP($B47,FFTodayData!$AN:$AT,6,0))</f>
        <v>2</v>
      </c>
      <c r="G47" s="117">
        <f>IF(ISERROR(VLOOKUP($A47,ESPNData!$AX:$BK,11,0)),"",VLOOKUP($A47,ESPNData!$AX:$BK,11,0))</f>
        <v>0</v>
      </c>
      <c r="H47" s="33">
        <f>IF(ISERROR(VLOOKUP($A47,ESPNData!$AX:$BK,12,0)),"",VLOOKUP($A47,ESPNData!$AX:$BK,12,0))</f>
        <v>0</v>
      </c>
      <c r="I47" s="64">
        <f>IF(ISERROR(VLOOKUP($A47,ESPNData!$AX:$BK,13,0)),"",VLOOKUP($A47,ESPNData!$AX:$BK,13,0))</f>
        <v>0</v>
      </c>
      <c r="J47" s="117" t="str">
        <f>IF(ISERROR(VLOOKUP($B47,SportslineData!$AM:$AT,3,0)),"",ROUND(VLOOKUP($B47,SportslineData!$AM:$AT,3,0),0))</f>
        <v/>
      </c>
      <c r="K47" s="33" t="str">
        <f>IF(ISERROR(VLOOKUP($B47,SportslineData!$AM:$AT,4,0)),"",VLOOKUP($B47,SportslineData!$AM:$AT,4,0))</f>
        <v/>
      </c>
      <c r="L47" s="33" t="str">
        <f>IF(ISERROR(VLOOKUP($B47,SportslineData!$AM:$AT,6,0)),"",ROUND(VLOOKUP($B47,SportslineData!$AM:$AT,6,0),0))</f>
        <v/>
      </c>
      <c r="M47" s="64" t="str">
        <f>IF(ISERROR(VLOOKUP($B47,SportslineData!$AM:$AT,7,0)),"",ROUND(VLOOKUP($B47,SportslineData!$AM:$AT,7,0),0))</f>
        <v/>
      </c>
      <c r="N47" s="117"/>
      <c r="O47" s="33"/>
      <c r="P47" s="38">
        <f>IF(ISERROR(ROUND((((ROUNDDOWN((E47/5),0)*Settings!$F$11)+(D47*Settings!$I$11))+(F47*Settings!$F$12)),1)),0,ROUND((((ROUNDDOWN((E47/5),0)*Settings!$F$11)+(D47*Settings!$I$11))+(F47*Settings!$F$12)),1))</f>
        <v>43.5</v>
      </c>
      <c r="Q47" s="38">
        <f>IF(ISERROR(ROUND((((ROUNDDOWN((H47/5),0)*Settings!$F$11)+(G47*Settings!$I$11))+(I47*Settings!$F$12)),1)),0,ROUND((((ROUNDDOWN((H47/5),0)*Settings!$F$11)+(G47*Settings!$I$11))+(I47*Settings!$F$12)),1))</f>
        <v>0</v>
      </c>
      <c r="R47" s="38">
        <f>IF((J47=""),0,((((J47*Settings!$I$11)+(ROUND((K47/5),0)*Settings!$F$11))+(L47*Settings!$F$12))+(M47*Settings!$F$15)))</f>
        <v>0</v>
      </c>
      <c r="S47" s="66">
        <f>ROUND((((P47*Settings!$B$21)+(Q47*Settings!$B$22))+(R47*Settings!$B$23)),1)</f>
        <v>14.4</v>
      </c>
      <c r="T47" s="66">
        <f>IF(ISERROR(VLOOKUP(RANK(S47,S$4:S$182),T$4:T46,1,0)),RANK(S47,S$4:S$182),IF(ISERROR(VLOOKUP((RANK(S47,S$4:S$182)+1),T$4:T46,1,0)),(RANK(S47,S$4:S$182)+1),IF(ISERROR(VLOOKUP((RANK(S47,S$4:S$182)+2),T$4:T46,1,0)),(RANK(S47,S$4:S$182)+2),(RANK(S47,S$4:S$182)+3))))</f>
        <v>60</v>
      </c>
      <c r="U47" t="str">
        <f t="shared" si="5"/>
        <v>Richard Rodgers</v>
      </c>
    </row>
    <row r="48" spans="1:21" ht="12.75" customHeight="1">
      <c r="A48" s="33" t="str">
        <f>ESPNData!AX49</f>
        <v>Jeff Cumberland, NYJ TE  P</v>
      </c>
      <c r="B48" s="33" t="str">
        <f t="shared" si="3"/>
        <v>Jeff Cumberland</v>
      </c>
      <c r="C48" s="64" t="str">
        <f t="shared" si="4"/>
        <v>NYJ</v>
      </c>
      <c r="D48" s="117">
        <f>IF(ISERROR(VLOOKUP($B48,FFTodayData!$AN:$AT,4,0)),"",VLOOKUP($B48,FFTodayData!$AN:$AT,4,0))</f>
        <v>31</v>
      </c>
      <c r="E48" s="33">
        <f>IF(ISERROR(VLOOKUP($B48,FFTodayData!$AN:$AT,5,0)),"",VLOOKUP($B48,FFTodayData!$AN:$AT,5,0))</f>
        <v>313</v>
      </c>
      <c r="F48" s="64">
        <f>IF(ISERROR(VLOOKUP($B48,FFTodayData!$AN:$AT,6,0)),"",VLOOKUP($B48,FFTodayData!$AN:$AT,6,0))</f>
        <v>2</v>
      </c>
      <c r="G48" s="117">
        <f>IF(ISERROR(VLOOKUP($A48,ESPNData!$AX:$BK,11,0)),"",VLOOKUP($A48,ESPNData!$AX:$BK,11,0))</f>
        <v>0</v>
      </c>
      <c r="H48" s="33">
        <f>IF(ISERROR(VLOOKUP($A48,ESPNData!$AX:$BK,12,0)),"",VLOOKUP($A48,ESPNData!$AX:$BK,12,0))</f>
        <v>0</v>
      </c>
      <c r="I48" s="64">
        <f>IF(ISERROR(VLOOKUP($A48,ESPNData!$AX:$BK,13,0)),"",VLOOKUP($A48,ESPNData!$AX:$BK,13,0))</f>
        <v>0</v>
      </c>
      <c r="J48" s="117">
        <f>IF(ISERROR(VLOOKUP($B48,SportslineData!$AM:$AT,3,0)),"",ROUND(VLOOKUP($B48,SportslineData!$AM:$AT,3,0),0))</f>
        <v>32</v>
      </c>
      <c r="K48" s="33">
        <f>IF(ISERROR(VLOOKUP($B48,SportslineData!$AM:$AT,4,0)),"",VLOOKUP($B48,SportslineData!$AM:$AT,4,0))</f>
        <v>386.5</v>
      </c>
      <c r="L48" s="33">
        <f>IF(ISERROR(VLOOKUP($B48,SportslineData!$AM:$AT,6,0)),"",ROUND(VLOOKUP($B48,SportslineData!$AM:$AT,6,0),0))</f>
        <v>3</v>
      </c>
      <c r="M48" s="64">
        <f>IF(ISERROR(VLOOKUP($B48,SportslineData!$AM:$AT,7,0)),"",ROUND(VLOOKUP($B48,SportslineData!$AM:$AT,7,0),0))</f>
        <v>0</v>
      </c>
      <c r="N48" s="117"/>
      <c r="O48" s="33"/>
      <c r="P48" s="38">
        <f>IF(ISERROR(ROUND((((ROUNDDOWN((E48/5),0)*Settings!$F$11)+(D48*Settings!$I$11))+(F48*Settings!$F$12)),1)),0,ROUND((((ROUNDDOWN((E48/5),0)*Settings!$F$11)+(D48*Settings!$I$11))+(F48*Settings!$F$12)),1))</f>
        <v>58.5</v>
      </c>
      <c r="Q48" s="38">
        <f>IF(ISERROR(ROUND((((ROUNDDOWN((H48/5),0)*Settings!$F$11)+(G48*Settings!$I$11))+(I48*Settings!$F$12)),1)),0,ROUND((((ROUNDDOWN((H48/5),0)*Settings!$F$11)+(G48*Settings!$I$11))+(I48*Settings!$F$12)),1))</f>
        <v>0</v>
      </c>
      <c r="R48" s="38">
        <f>IF((J48=""),0,((((J48*Settings!$I$11)+(ROUND((K48/5),0)*Settings!$F$11))+(L48*Settings!$F$12))+(M48*Settings!$F$15)))</f>
        <v>72.5</v>
      </c>
      <c r="S48" s="66">
        <f>ROUND((((P48*Settings!$B$21)+(Q48*Settings!$B$22))+(R48*Settings!$B$23)),1)</f>
        <v>44</v>
      </c>
      <c r="T48" s="66">
        <f>IF(ISERROR(VLOOKUP(RANK(S48,S$4:S$182),T$4:T47,1,0)),RANK(S48,S$4:S$182),IF(ISERROR(VLOOKUP((RANK(S48,S$4:S$182)+1),T$4:T47,1,0)),(RANK(S48,S$4:S$182)+1),IF(ISERROR(VLOOKUP((RANK(S48,S$4:S$182)+2),T$4:T47,1,0)),(RANK(S48,S$4:S$182)+2),(RANK(S48,S$4:S$182)+3))))</f>
        <v>42</v>
      </c>
      <c r="U48" t="str">
        <f t="shared" si="5"/>
        <v>Jeff Cumberland</v>
      </c>
    </row>
    <row r="49" spans="1:21" ht="12.75" customHeight="1">
      <c r="A49" s="33" t="str">
        <f>ESPNData!AX50</f>
        <v>Anthony Fasano, KC TE</v>
      </c>
      <c r="B49" s="33" t="str">
        <f t="shared" si="3"/>
        <v>Anthony Fasano</v>
      </c>
      <c r="C49" s="64" t="str">
        <f t="shared" si="4"/>
        <v>KC</v>
      </c>
      <c r="D49" s="117">
        <f>IF(ISERROR(VLOOKUP($B49,FFTodayData!$AN:$AT,4,0)),"",VLOOKUP($B49,FFTodayData!$AN:$AT,4,0))</f>
        <v>35</v>
      </c>
      <c r="E49" s="33">
        <f>IF(ISERROR(VLOOKUP($B49,FFTodayData!$AN:$AT,5,0)),"",VLOOKUP($B49,FFTodayData!$AN:$AT,5,0))</f>
        <v>329</v>
      </c>
      <c r="F49" s="64">
        <f>IF(ISERROR(VLOOKUP($B49,FFTodayData!$AN:$AT,6,0)),"",VLOOKUP($B49,FFTodayData!$AN:$AT,6,0))</f>
        <v>2</v>
      </c>
      <c r="G49" s="117">
        <f>IF(ISERROR(VLOOKUP($A49,ESPNData!$AX:$BK,11,0)),"",VLOOKUP($A49,ESPNData!$AX:$BK,11,0))</f>
        <v>0</v>
      </c>
      <c r="H49" s="33">
        <f>IF(ISERROR(VLOOKUP($A49,ESPNData!$AX:$BK,12,0)),"",VLOOKUP($A49,ESPNData!$AX:$BK,12,0))</f>
        <v>0</v>
      </c>
      <c r="I49" s="64">
        <f>IF(ISERROR(VLOOKUP($A49,ESPNData!$AX:$BK,13,0)),"",VLOOKUP($A49,ESPNData!$AX:$BK,13,0))</f>
        <v>0</v>
      </c>
      <c r="J49" s="117">
        <f>IF(ISERROR(VLOOKUP($B49,SportslineData!$AM:$AT,3,0)),"",ROUND(VLOOKUP($B49,SportslineData!$AM:$AT,3,0),0))</f>
        <v>29</v>
      </c>
      <c r="K49" s="33">
        <f>IF(ISERROR(VLOOKUP($B49,SportslineData!$AM:$AT,4,0)),"",VLOOKUP($B49,SportslineData!$AM:$AT,4,0))</f>
        <v>303</v>
      </c>
      <c r="L49" s="33">
        <f>IF(ISERROR(VLOOKUP($B49,SportslineData!$AM:$AT,6,0)),"",ROUND(VLOOKUP($B49,SportslineData!$AM:$AT,6,0),0))</f>
        <v>4</v>
      </c>
      <c r="M49" s="64">
        <f>IF(ISERROR(VLOOKUP($B49,SportslineData!$AM:$AT,7,0)),"",ROUND(VLOOKUP($B49,SportslineData!$AM:$AT,7,0),0))</f>
        <v>0</v>
      </c>
      <c r="N49" s="117"/>
      <c r="O49" s="33"/>
      <c r="P49" s="38">
        <f>IF(ISERROR(ROUND((((ROUNDDOWN((E49/5),0)*Settings!$F$11)+(D49*Settings!$I$11))+(F49*Settings!$F$12)),1)),0,ROUND((((ROUNDDOWN((E49/5),0)*Settings!$F$11)+(D49*Settings!$I$11))+(F49*Settings!$F$12)),1))</f>
        <v>62</v>
      </c>
      <c r="Q49" s="38">
        <f>IF(ISERROR(ROUND((((ROUNDDOWN((H49/5),0)*Settings!$F$11)+(G49*Settings!$I$11))+(I49*Settings!$F$12)),1)),0,ROUND((((ROUNDDOWN((H49/5),0)*Settings!$F$11)+(G49*Settings!$I$11))+(I49*Settings!$F$12)),1))</f>
        <v>0</v>
      </c>
      <c r="R49" s="38">
        <f>IF((J49=""),0,((((J49*Settings!$I$11)+(ROUND((K49/5),0)*Settings!$F$11))+(L49*Settings!$F$12))+(M49*Settings!$F$15)))</f>
        <v>69</v>
      </c>
      <c r="S49" s="66">
        <f>ROUND((((P49*Settings!$B$21)+(Q49*Settings!$B$22))+(R49*Settings!$B$23)),1)</f>
        <v>43.9</v>
      </c>
      <c r="T49" s="66">
        <f>IF(ISERROR(VLOOKUP(RANK(S49,S$4:S$182),T$4:T48,1,0)),RANK(S49,S$4:S$182),IF(ISERROR(VLOOKUP((RANK(S49,S$4:S$182)+1),T$4:T48,1,0)),(RANK(S49,S$4:S$182)+1),IF(ISERROR(VLOOKUP((RANK(S49,S$4:S$182)+2),T$4:T48,1,0)),(RANK(S49,S$4:S$182)+2),(RANK(S49,S$4:S$182)+3))))</f>
        <v>43</v>
      </c>
      <c r="U49" t="str">
        <f t="shared" si="5"/>
        <v>Anthony Fasano</v>
      </c>
    </row>
    <row r="50" spans="1:21" ht="12.75" customHeight="1">
      <c r="A50" s="33" t="str">
        <f>ESPNData!AX51</f>
        <v>Gavin Escobar, Dal TE  P</v>
      </c>
      <c r="B50" s="33" t="str">
        <f t="shared" si="3"/>
        <v>Gavin Escobar</v>
      </c>
      <c r="C50" s="64" t="str">
        <f t="shared" si="4"/>
        <v>DAL</v>
      </c>
      <c r="D50" s="117">
        <f>IF(ISERROR(VLOOKUP($B50,FFTodayData!$AN:$AT,4,0)),"",VLOOKUP($B50,FFTodayData!$AN:$AT,4,0))</f>
        <v>35</v>
      </c>
      <c r="E50" s="33">
        <f>IF(ISERROR(VLOOKUP($B50,FFTodayData!$AN:$AT,5,0)),"",VLOOKUP($B50,FFTodayData!$AN:$AT,5,0))</f>
        <v>389</v>
      </c>
      <c r="F50" s="64">
        <f>IF(ISERROR(VLOOKUP($B50,FFTodayData!$AN:$AT,6,0)),"",VLOOKUP($B50,FFTodayData!$AN:$AT,6,0))</f>
        <v>3</v>
      </c>
      <c r="G50" s="117">
        <f>IF(ISERROR(VLOOKUP($A50,ESPNData!$AX:$BK,11,0)),"",VLOOKUP($A50,ESPNData!$AX:$BK,11,0))</f>
        <v>0</v>
      </c>
      <c r="H50" s="33">
        <f>IF(ISERROR(VLOOKUP($A50,ESPNData!$AX:$BK,12,0)),"",VLOOKUP($A50,ESPNData!$AX:$BK,12,0))</f>
        <v>0</v>
      </c>
      <c r="I50" s="64">
        <f>IF(ISERROR(VLOOKUP($A50,ESPNData!$AX:$BK,13,0)),"",VLOOKUP($A50,ESPNData!$AX:$BK,13,0))</f>
        <v>0</v>
      </c>
      <c r="J50" s="117">
        <f>IF(ISERROR(VLOOKUP($B50,SportslineData!$AM:$AT,3,0)),"",ROUND(VLOOKUP($B50,SportslineData!$AM:$AT,3,0),0))</f>
        <v>18</v>
      </c>
      <c r="K50" s="33">
        <f>IF(ISERROR(VLOOKUP($B50,SportslineData!$AM:$AT,4,0)),"",VLOOKUP($B50,SportslineData!$AM:$AT,4,0))</f>
        <v>239.5</v>
      </c>
      <c r="L50" s="33">
        <f>IF(ISERROR(VLOOKUP($B50,SportslineData!$AM:$AT,6,0)),"",ROUND(VLOOKUP($B50,SportslineData!$AM:$AT,6,0),0))</f>
        <v>2</v>
      </c>
      <c r="M50" s="64">
        <f>IF(ISERROR(VLOOKUP($B50,SportslineData!$AM:$AT,7,0)),"",ROUND(VLOOKUP($B50,SportslineData!$AM:$AT,7,0),0))</f>
        <v>0</v>
      </c>
      <c r="N50" s="117"/>
      <c r="O50" s="33"/>
      <c r="P50" s="38">
        <f>IF(ISERROR(ROUND((((ROUNDDOWN((E50/5),0)*Settings!$F$11)+(D50*Settings!$I$11))+(F50*Settings!$F$12)),1)),0,ROUND((((ROUNDDOWN((E50/5),0)*Settings!$F$11)+(D50*Settings!$I$11))+(F50*Settings!$F$12)),1))</f>
        <v>74</v>
      </c>
      <c r="Q50" s="38">
        <f>IF(ISERROR(ROUND((((ROUNDDOWN((H50/5),0)*Settings!$F$11)+(G50*Settings!$I$11))+(I50*Settings!$F$12)),1)),0,ROUND((((ROUNDDOWN((H50/5),0)*Settings!$F$11)+(G50*Settings!$I$11))+(I50*Settings!$F$12)),1))</f>
        <v>0</v>
      </c>
      <c r="R50" s="38">
        <f>IF((J50=""),0,((((J50*Settings!$I$11)+(ROUND((K50/5),0)*Settings!$F$11))+(L50*Settings!$F$12))+(M50*Settings!$F$15)))</f>
        <v>45</v>
      </c>
      <c r="S50" s="66">
        <f>ROUND((((P50*Settings!$B$21)+(Q50*Settings!$B$22))+(R50*Settings!$B$23)),1)</f>
        <v>39.700000000000003</v>
      </c>
      <c r="T50" s="66">
        <f>IF(ISERROR(VLOOKUP(RANK(S50,S$4:S$182),T$4:T49,1,0)),RANK(S50,S$4:S$182),IF(ISERROR(VLOOKUP((RANK(S50,S$4:S$182)+1),T$4:T49,1,0)),(RANK(S50,S$4:S$182)+1),IF(ISERROR(VLOOKUP((RANK(S50,S$4:S$182)+2),T$4:T49,1,0)),(RANK(S50,S$4:S$182)+2),(RANK(S50,S$4:S$182)+3))))</f>
        <v>45</v>
      </c>
      <c r="U50" t="str">
        <f t="shared" si="5"/>
        <v>Gavin Escobar</v>
      </c>
    </row>
    <row r="51" spans="1:21" ht="12.75" customHeight="1">
      <c r="A51" s="33" t="str">
        <f>ESPNData!AX52</f>
        <v>Levine Toilolo, Atl TE</v>
      </c>
      <c r="B51" s="33" t="str">
        <f t="shared" si="3"/>
        <v>Levine Toilolo</v>
      </c>
      <c r="C51" s="64" t="str">
        <f t="shared" si="4"/>
        <v>ATL</v>
      </c>
      <c r="D51" s="117">
        <f>IF(ISERROR(VLOOKUP($B51,FFTodayData!$AN:$AT,4,0)),"",VLOOKUP($B51,FFTodayData!$AN:$AT,4,0))</f>
        <v>37</v>
      </c>
      <c r="E51" s="33">
        <f>IF(ISERROR(VLOOKUP($B51,FFTodayData!$AN:$AT,5,0)),"",VLOOKUP($B51,FFTodayData!$AN:$AT,5,0))</f>
        <v>367</v>
      </c>
      <c r="F51" s="64">
        <f>IF(ISERROR(VLOOKUP($B51,FFTodayData!$AN:$AT,6,0)),"",VLOOKUP($B51,FFTodayData!$AN:$AT,6,0))</f>
        <v>2</v>
      </c>
      <c r="G51" s="117">
        <f>IF(ISERROR(VLOOKUP($A51,ESPNData!$AX:$BK,11,0)),"",VLOOKUP($A51,ESPNData!$AX:$BK,11,0))</f>
        <v>0</v>
      </c>
      <c r="H51" s="33">
        <f>IF(ISERROR(VLOOKUP($A51,ESPNData!$AX:$BK,12,0)),"",VLOOKUP($A51,ESPNData!$AX:$BK,12,0))</f>
        <v>0</v>
      </c>
      <c r="I51" s="64">
        <f>IF(ISERROR(VLOOKUP($A51,ESPNData!$AX:$BK,13,0)),"",VLOOKUP($A51,ESPNData!$AX:$BK,13,0))</f>
        <v>0</v>
      </c>
      <c r="J51" s="117">
        <f>IF(ISERROR(VLOOKUP($B51,SportslineData!$AM:$AT,3,0)),"",ROUND(VLOOKUP($B51,SportslineData!$AM:$AT,3,0),0))</f>
        <v>33</v>
      </c>
      <c r="K51" s="33">
        <f>IF(ISERROR(VLOOKUP($B51,SportslineData!$AM:$AT,4,0)),"",VLOOKUP($B51,SportslineData!$AM:$AT,4,0))</f>
        <v>422.5</v>
      </c>
      <c r="L51" s="33">
        <f>IF(ISERROR(VLOOKUP($B51,SportslineData!$AM:$AT,6,0)),"",ROUND(VLOOKUP($B51,SportslineData!$AM:$AT,6,0),0))</f>
        <v>4</v>
      </c>
      <c r="M51" s="64">
        <f>IF(ISERROR(VLOOKUP($B51,SportslineData!$AM:$AT,7,0)),"",ROUND(VLOOKUP($B51,SportslineData!$AM:$AT,7,0),0))</f>
        <v>0</v>
      </c>
      <c r="N51" s="117"/>
      <c r="O51" s="33"/>
      <c r="P51" s="38">
        <f>IF(ISERROR(ROUND((((ROUNDDOWN((E51/5),0)*Settings!$F$11)+(D51*Settings!$I$11))+(F51*Settings!$F$12)),1)),0,ROUND((((ROUNDDOWN((E51/5),0)*Settings!$F$11)+(D51*Settings!$I$11))+(F51*Settings!$F$12)),1))</f>
        <v>67</v>
      </c>
      <c r="Q51" s="38">
        <f>IF(ISERROR(ROUND((((ROUNDDOWN((H51/5),0)*Settings!$F$11)+(G51*Settings!$I$11))+(I51*Settings!$F$12)),1)),0,ROUND((((ROUNDDOWN((H51/5),0)*Settings!$F$11)+(G51*Settings!$I$11))+(I51*Settings!$F$12)),1))</f>
        <v>0</v>
      </c>
      <c r="R51" s="38">
        <f>IF((J51=""),0,((((J51*Settings!$I$11)+(ROUND((K51/5),0)*Settings!$F$11))+(L51*Settings!$F$12))+(M51*Settings!$F$15)))</f>
        <v>83</v>
      </c>
      <c r="S51" s="66">
        <f>ROUND((((P51*Settings!$B$21)+(Q51*Settings!$B$22))+(R51*Settings!$B$23)),1)</f>
        <v>50.3</v>
      </c>
      <c r="T51" s="66">
        <f>IF(ISERROR(VLOOKUP(RANK(S51,S$4:S$182),T$4:T50,1,0)),RANK(S51,S$4:S$182),IF(ISERROR(VLOOKUP((RANK(S51,S$4:S$182)+1),T$4:T50,1,0)),(RANK(S51,S$4:S$182)+1),IF(ISERROR(VLOOKUP((RANK(S51,S$4:S$182)+2),T$4:T50,1,0)),(RANK(S51,S$4:S$182)+2),(RANK(S51,S$4:S$182)+3))))</f>
        <v>39</v>
      </c>
      <c r="U51" t="str">
        <f t="shared" si="5"/>
        <v>Levine Toilolo</v>
      </c>
    </row>
    <row r="52" spans="1:21" ht="12.75" customHeight="1">
      <c r="A52" s="33" t="str">
        <f>ESPNData!AX53</f>
        <v>Dante Rosario, Chi TE</v>
      </c>
      <c r="B52" s="33" t="str">
        <f t="shared" si="3"/>
        <v>Dante Rosario</v>
      </c>
      <c r="C52" s="64" t="str">
        <f t="shared" si="4"/>
        <v>CHI</v>
      </c>
      <c r="D52" s="117" t="str">
        <f>IF(ISERROR(VLOOKUP($B52,FFTodayData!$AN:$AT,4,0)),"",VLOOKUP($B52,FFTodayData!$AN:$AT,4,0))</f>
        <v/>
      </c>
      <c r="E52" s="33" t="str">
        <f>IF(ISERROR(VLOOKUP($B52,FFTodayData!$AN:$AT,5,0)),"",VLOOKUP($B52,FFTodayData!$AN:$AT,5,0))</f>
        <v/>
      </c>
      <c r="F52" s="64" t="str">
        <f>IF(ISERROR(VLOOKUP($B52,FFTodayData!$AN:$AT,6,0)),"",VLOOKUP($B52,FFTodayData!$AN:$AT,6,0))</f>
        <v/>
      </c>
      <c r="G52" s="117">
        <f>IF(ISERROR(VLOOKUP($A52,ESPNData!$AX:$BK,11,0)),"",VLOOKUP($A52,ESPNData!$AX:$BK,11,0))</f>
        <v>0</v>
      </c>
      <c r="H52" s="33">
        <f>IF(ISERROR(VLOOKUP($A52,ESPNData!$AX:$BK,12,0)),"",VLOOKUP($A52,ESPNData!$AX:$BK,12,0))</f>
        <v>0</v>
      </c>
      <c r="I52" s="64">
        <f>IF(ISERROR(VLOOKUP($A52,ESPNData!$AX:$BK,13,0)),"",VLOOKUP($A52,ESPNData!$AX:$BK,13,0))</f>
        <v>0</v>
      </c>
      <c r="J52" s="117">
        <f>IF(ISERROR(VLOOKUP($B52,SportslineData!$AM:$AT,3,0)),"",ROUND(VLOOKUP($B52,SportslineData!$AM:$AT,3,0),0))</f>
        <v>9</v>
      </c>
      <c r="K52" s="33">
        <f>IF(ISERROR(VLOOKUP($B52,SportslineData!$AM:$AT,4,0)),"",VLOOKUP($B52,SportslineData!$AM:$AT,4,0))</f>
        <v>116.5</v>
      </c>
      <c r="L52" s="33">
        <f>IF(ISERROR(VLOOKUP($B52,SportslineData!$AM:$AT,6,0)),"",ROUND(VLOOKUP($B52,SportslineData!$AM:$AT,6,0),0))</f>
        <v>1</v>
      </c>
      <c r="M52" s="64">
        <f>IF(ISERROR(VLOOKUP($B52,SportslineData!$AM:$AT,7,0)),"",ROUND(VLOOKUP($B52,SportslineData!$AM:$AT,7,0),0))</f>
        <v>0</v>
      </c>
      <c r="N52" s="117"/>
      <c r="O52" s="33"/>
      <c r="P52" s="38">
        <f>IF(ISERROR(ROUND((((ROUNDDOWN((E52/5),0)*Settings!$F$11)+(D52*Settings!$I$11))+(F52*Settings!$F$12)),1)),0,ROUND((((ROUNDDOWN((E52/5),0)*Settings!$F$11)+(D52*Settings!$I$11))+(F52*Settings!$F$12)),1))</f>
        <v>0</v>
      </c>
      <c r="Q52" s="38">
        <f>IF(ISERROR(ROUND((((ROUNDDOWN((H52/5),0)*Settings!$F$11)+(G52*Settings!$I$11))+(I52*Settings!$F$12)),1)),0,ROUND((((ROUNDDOWN((H52/5),0)*Settings!$F$11)+(G52*Settings!$I$11))+(I52*Settings!$F$12)),1))</f>
        <v>0</v>
      </c>
      <c r="R52" s="38">
        <f>IF((J52=""),0,((((J52*Settings!$I$11)+(ROUND((K52/5),0)*Settings!$F$11))+(L52*Settings!$F$12))+(M52*Settings!$F$15)))</f>
        <v>22</v>
      </c>
      <c r="S52" s="66">
        <f>ROUND((((P52*Settings!$B$21)+(Q52*Settings!$B$22))+(R52*Settings!$B$23)),1)</f>
        <v>7.5</v>
      </c>
      <c r="T52" s="66">
        <f>IF(ISERROR(VLOOKUP(RANK(S52,S$4:S$182),T$4:T51,1,0)),RANK(S52,S$4:S$182),IF(ISERROR(VLOOKUP((RANK(S52,S$4:S$182)+1),T$4:T51,1,0)),(RANK(S52,S$4:S$182)+1),IF(ISERROR(VLOOKUP((RANK(S52,S$4:S$182)+2),T$4:T51,1,0)),(RANK(S52,S$4:S$182)+2),(RANK(S52,S$4:S$182)+3))))</f>
        <v>71</v>
      </c>
      <c r="U52" t="str">
        <f t="shared" si="5"/>
        <v>Dante Rosario</v>
      </c>
    </row>
    <row r="53" spans="1:21" ht="12.75" customHeight="1">
      <c r="A53" s="33" t="str">
        <f>ESPNData!AX54</f>
        <v>Troy Niklas, Ari TE  P</v>
      </c>
      <c r="B53" s="33" t="str">
        <f t="shared" si="3"/>
        <v>Troy Niklas</v>
      </c>
      <c r="C53" s="64" t="str">
        <f t="shared" si="4"/>
        <v>ARI</v>
      </c>
      <c r="D53" s="117">
        <f>IF(ISERROR(VLOOKUP($B53,FFTodayData!$AN:$AT,4,0)),"",VLOOKUP($B53,FFTodayData!$AN:$AT,4,0))</f>
        <v>23</v>
      </c>
      <c r="E53" s="33">
        <f>IF(ISERROR(VLOOKUP($B53,FFTodayData!$AN:$AT,5,0)),"",VLOOKUP($B53,FFTodayData!$AN:$AT,5,0))</f>
        <v>269</v>
      </c>
      <c r="F53" s="64">
        <f>IF(ISERROR(VLOOKUP($B53,FFTodayData!$AN:$AT,6,0)),"",VLOOKUP($B53,FFTodayData!$AN:$AT,6,0))</f>
        <v>2</v>
      </c>
      <c r="G53" s="117">
        <f>IF(ISERROR(VLOOKUP($A53,ESPNData!$AX:$BK,11,0)),"",VLOOKUP($A53,ESPNData!$AX:$BK,11,0))</f>
        <v>0</v>
      </c>
      <c r="H53" s="33">
        <f>IF(ISERROR(VLOOKUP($A53,ESPNData!$AX:$BK,12,0)),"",VLOOKUP($A53,ESPNData!$AX:$BK,12,0))</f>
        <v>0</v>
      </c>
      <c r="I53" s="64">
        <f>IF(ISERROR(VLOOKUP($A53,ESPNData!$AX:$BK,13,0)),"",VLOOKUP($A53,ESPNData!$AX:$BK,13,0))</f>
        <v>0</v>
      </c>
      <c r="J53" s="117">
        <f>IF(ISERROR(VLOOKUP($B53,SportslineData!$AM:$AT,3,0)),"",ROUND(VLOOKUP($B53,SportslineData!$AM:$AT,3,0),0))</f>
        <v>18</v>
      </c>
      <c r="K53" s="33">
        <f>IF(ISERROR(VLOOKUP($B53,SportslineData!$AM:$AT,4,0)),"",VLOOKUP($B53,SportslineData!$AM:$AT,4,0))</f>
        <v>223.5</v>
      </c>
      <c r="L53" s="33">
        <f>IF(ISERROR(VLOOKUP($B53,SportslineData!$AM:$AT,6,0)),"",ROUND(VLOOKUP($B53,SportslineData!$AM:$AT,6,0),0))</f>
        <v>2</v>
      </c>
      <c r="M53" s="64">
        <f>IF(ISERROR(VLOOKUP($B53,SportslineData!$AM:$AT,7,0)),"",ROUND(VLOOKUP($B53,SportslineData!$AM:$AT,7,0),0))</f>
        <v>0</v>
      </c>
      <c r="N53" s="117"/>
      <c r="O53" s="33"/>
      <c r="P53" s="38">
        <f>IF(ISERROR(ROUND((((ROUNDDOWN((E53/5),0)*Settings!$F$11)+(D53*Settings!$I$11))+(F53*Settings!$F$12)),1)),0,ROUND((((ROUNDDOWN((E53/5),0)*Settings!$F$11)+(D53*Settings!$I$11))+(F53*Settings!$F$12)),1))</f>
        <v>50</v>
      </c>
      <c r="Q53" s="38">
        <f>IF(ISERROR(ROUND((((ROUNDDOWN((H53/5),0)*Settings!$F$11)+(G53*Settings!$I$11))+(I53*Settings!$F$12)),1)),0,ROUND((((ROUNDDOWN((H53/5),0)*Settings!$F$11)+(G53*Settings!$I$11))+(I53*Settings!$F$12)),1))</f>
        <v>0</v>
      </c>
      <c r="R53" s="38">
        <f>IF((J53=""),0,((((J53*Settings!$I$11)+(ROUND((K53/5),0)*Settings!$F$11))+(L53*Settings!$F$12))+(M53*Settings!$F$15)))</f>
        <v>43.5</v>
      </c>
      <c r="S53" s="66">
        <f>ROUND((((P53*Settings!$B$21)+(Q53*Settings!$B$22))+(R53*Settings!$B$23)),1)</f>
        <v>31.3</v>
      </c>
      <c r="T53" s="66">
        <f>IF(ISERROR(VLOOKUP(RANK(S53,S$4:S$182),T$4:T52,1,0)),RANK(S53,S$4:S$182),IF(ISERROR(VLOOKUP((RANK(S53,S$4:S$182)+1),T$4:T52,1,0)),(RANK(S53,S$4:S$182)+1),IF(ISERROR(VLOOKUP((RANK(S53,S$4:S$182)+2),T$4:T52,1,0)),(RANK(S53,S$4:S$182)+2),(RANK(S53,S$4:S$182)+3))))</f>
        <v>50</v>
      </c>
      <c r="U53" t="str">
        <f t="shared" si="5"/>
        <v>Troy Niklas</v>
      </c>
    </row>
    <row r="54" spans="1:21" ht="12.75" customHeight="1">
      <c r="A54" s="33" t="str">
        <f>ESPNData!AX55</f>
        <v>Rob Housler, Ari TE</v>
      </c>
      <c r="B54" s="33" t="str">
        <f t="shared" si="3"/>
        <v>Rob Housler</v>
      </c>
      <c r="C54" s="64" t="str">
        <f t="shared" si="4"/>
        <v>ARI</v>
      </c>
      <c r="D54" s="117" t="str">
        <f>IF(ISERROR(VLOOKUP($B54,FFTodayData!$AN:$AT,4,0)),"",VLOOKUP($B54,FFTodayData!$AN:$AT,4,0))</f>
        <v/>
      </c>
      <c r="E54" s="33" t="str">
        <f>IF(ISERROR(VLOOKUP($B54,FFTodayData!$AN:$AT,5,0)),"",VLOOKUP($B54,FFTodayData!$AN:$AT,5,0))</f>
        <v/>
      </c>
      <c r="F54" s="64" t="str">
        <f>IF(ISERROR(VLOOKUP($B54,FFTodayData!$AN:$AT,6,0)),"",VLOOKUP($B54,FFTodayData!$AN:$AT,6,0))</f>
        <v/>
      </c>
      <c r="G54" s="117">
        <f>IF(ISERROR(VLOOKUP($A54,ESPNData!$AX:$BK,11,0)),"",VLOOKUP($A54,ESPNData!$AX:$BK,11,0))</f>
        <v>0</v>
      </c>
      <c r="H54" s="33">
        <f>IF(ISERROR(VLOOKUP($A54,ESPNData!$AX:$BK,12,0)),"",VLOOKUP($A54,ESPNData!$AX:$BK,12,0))</f>
        <v>0</v>
      </c>
      <c r="I54" s="64">
        <f>IF(ISERROR(VLOOKUP($A54,ESPNData!$AX:$BK,13,0)),"",VLOOKUP($A54,ESPNData!$AX:$BK,13,0))</f>
        <v>0</v>
      </c>
      <c r="J54" s="117">
        <f>IF(ISERROR(VLOOKUP($B54,SportslineData!$AM:$AT,3,0)),"",ROUND(VLOOKUP($B54,SportslineData!$AM:$AT,3,0),0))</f>
        <v>26</v>
      </c>
      <c r="K54" s="33">
        <f>IF(ISERROR(VLOOKUP($B54,SportslineData!$AM:$AT,4,0)),"",VLOOKUP($B54,SportslineData!$AM:$AT,4,0))</f>
        <v>294</v>
      </c>
      <c r="L54" s="33">
        <f>IF(ISERROR(VLOOKUP($B54,SportslineData!$AM:$AT,6,0)),"",ROUND(VLOOKUP($B54,SportslineData!$AM:$AT,6,0),0))</f>
        <v>2</v>
      </c>
      <c r="M54" s="64">
        <f>IF(ISERROR(VLOOKUP($B54,SportslineData!$AM:$AT,7,0)),"",ROUND(VLOOKUP($B54,SportslineData!$AM:$AT,7,0),0))</f>
        <v>0</v>
      </c>
      <c r="N54" s="117"/>
      <c r="O54" s="33"/>
      <c r="P54" s="38">
        <f>IF(ISERROR(ROUND((((ROUNDDOWN((E54/5),0)*Settings!$F$11)+(D54*Settings!$I$11))+(F54*Settings!$F$12)),1)),0,ROUND((((ROUNDDOWN((E54/5),0)*Settings!$F$11)+(D54*Settings!$I$11))+(F54*Settings!$F$12)),1))</f>
        <v>0</v>
      </c>
      <c r="Q54" s="38">
        <f>IF(ISERROR(ROUND((((ROUNDDOWN((H54/5),0)*Settings!$F$11)+(G54*Settings!$I$11))+(I54*Settings!$F$12)),1)),0,ROUND((((ROUNDDOWN((H54/5),0)*Settings!$F$11)+(G54*Settings!$I$11))+(I54*Settings!$F$12)),1))</f>
        <v>0</v>
      </c>
      <c r="R54" s="38">
        <f>IF((J54=""),0,((((J54*Settings!$I$11)+(ROUND((K54/5),0)*Settings!$F$11))+(L54*Settings!$F$12))+(M54*Settings!$F$15)))</f>
        <v>54.5</v>
      </c>
      <c r="S54" s="66">
        <f>ROUND((((P54*Settings!$B$21)+(Q54*Settings!$B$22))+(R54*Settings!$B$23)),1)</f>
        <v>18.5</v>
      </c>
      <c r="T54" s="66">
        <f>IF(ISERROR(VLOOKUP(RANK(S54,S$4:S$182),T$4:T53,1,0)),RANK(S54,S$4:S$182),IF(ISERROR(VLOOKUP((RANK(S54,S$4:S$182)+1),T$4:T53,1,0)),(RANK(S54,S$4:S$182)+1),IF(ISERROR(VLOOKUP((RANK(S54,S$4:S$182)+2),T$4:T53,1,0)),(RANK(S54,S$4:S$182)+2),(RANK(S54,S$4:S$182)+3))))</f>
        <v>57</v>
      </c>
      <c r="U54" t="str">
        <f t="shared" si="5"/>
        <v>Rob Housler</v>
      </c>
    </row>
    <row r="55" spans="1:21" ht="12.75" customHeight="1">
      <c r="A55" s="33" t="str">
        <f>ESPNData!AX56</f>
        <v>Luke Willson, Sea TE</v>
      </c>
      <c r="B55" s="33" t="str">
        <f t="shared" si="3"/>
        <v>Luke Willson</v>
      </c>
      <c r="C55" s="64" t="str">
        <f t="shared" si="4"/>
        <v>SEA</v>
      </c>
      <c r="D55" s="117">
        <f>IF(ISERROR(VLOOKUP($B55,FFTodayData!$AN:$AT,4,0)),"",VLOOKUP($B55,FFTodayData!$AN:$AT,4,0))</f>
        <v>23</v>
      </c>
      <c r="E55" s="33">
        <f>IF(ISERROR(VLOOKUP($B55,FFTodayData!$AN:$AT,5,0)),"",VLOOKUP($B55,FFTodayData!$AN:$AT,5,0))</f>
        <v>269</v>
      </c>
      <c r="F55" s="64">
        <f>IF(ISERROR(VLOOKUP($B55,FFTodayData!$AN:$AT,6,0)),"",VLOOKUP($B55,FFTodayData!$AN:$AT,6,0))</f>
        <v>2</v>
      </c>
      <c r="G55" s="117">
        <f>IF(ISERROR(VLOOKUP($A55,ESPNData!$AX:$BK,11,0)),"",VLOOKUP($A55,ESPNData!$AX:$BK,11,0))</f>
        <v>0</v>
      </c>
      <c r="H55" s="33">
        <f>IF(ISERROR(VLOOKUP($A55,ESPNData!$AX:$BK,12,0)),"",VLOOKUP($A55,ESPNData!$AX:$BK,12,0))</f>
        <v>0</v>
      </c>
      <c r="I55" s="64">
        <f>IF(ISERROR(VLOOKUP($A55,ESPNData!$AX:$BK,13,0)),"",VLOOKUP($A55,ESPNData!$AX:$BK,13,0))</f>
        <v>0</v>
      </c>
      <c r="J55" s="117">
        <f>IF(ISERROR(VLOOKUP($B55,SportslineData!$AM:$AT,3,0)),"",ROUND(VLOOKUP($B55,SportslineData!$AM:$AT,3,0),0))</f>
        <v>23</v>
      </c>
      <c r="K55" s="33">
        <f>IF(ISERROR(VLOOKUP($B55,SportslineData!$AM:$AT,4,0)),"",VLOOKUP($B55,SportslineData!$AM:$AT,4,0))</f>
        <v>304.5</v>
      </c>
      <c r="L55" s="33">
        <f>IF(ISERROR(VLOOKUP($B55,SportslineData!$AM:$AT,6,0)),"",ROUND(VLOOKUP($B55,SportslineData!$AM:$AT,6,0),0))</f>
        <v>3</v>
      </c>
      <c r="M55" s="64">
        <f>IF(ISERROR(VLOOKUP($B55,SportslineData!$AM:$AT,7,0)),"",ROUND(VLOOKUP($B55,SportslineData!$AM:$AT,7,0),0))</f>
        <v>0</v>
      </c>
      <c r="N55" s="117"/>
      <c r="O55" s="33"/>
      <c r="P55" s="38">
        <f>IF(ISERROR(ROUND((((ROUNDDOWN((E55/5),0)*Settings!$F$11)+(D55*Settings!$I$11))+(F55*Settings!$F$12)),1)),0,ROUND((((ROUNDDOWN((E55/5),0)*Settings!$F$11)+(D55*Settings!$I$11))+(F55*Settings!$F$12)),1))</f>
        <v>50</v>
      </c>
      <c r="Q55" s="38">
        <f>IF(ISERROR(ROUND((((ROUNDDOWN((H55/5),0)*Settings!$F$11)+(G55*Settings!$I$11))+(I55*Settings!$F$12)),1)),0,ROUND((((ROUNDDOWN((H55/5),0)*Settings!$F$11)+(G55*Settings!$I$11))+(I55*Settings!$F$12)),1))</f>
        <v>0</v>
      </c>
      <c r="R55" s="38">
        <f>IF((J55=""),0,((((J55*Settings!$I$11)+(ROUND((K55/5),0)*Settings!$F$11))+(L55*Settings!$F$12))+(M55*Settings!$F$15)))</f>
        <v>60</v>
      </c>
      <c r="S55" s="66">
        <f>ROUND((((P55*Settings!$B$21)+(Q55*Settings!$B$22))+(R55*Settings!$B$23)),1)</f>
        <v>36.9</v>
      </c>
      <c r="T55" s="66">
        <f>IF(ISERROR(VLOOKUP(RANK(S55,S$4:S$182),T$4:T54,1,0)),RANK(S55,S$4:S$182),IF(ISERROR(VLOOKUP((RANK(S55,S$4:S$182)+1),T$4:T54,1,0)),(RANK(S55,S$4:S$182)+1),IF(ISERROR(VLOOKUP((RANK(S55,S$4:S$182)+2),T$4:T54,1,0)),(RANK(S55,S$4:S$182)+2),(RANK(S55,S$4:S$182)+3))))</f>
        <v>49</v>
      </c>
      <c r="U55" t="str">
        <f t="shared" si="5"/>
        <v>Luke Willson</v>
      </c>
    </row>
    <row r="56" spans="1:21" ht="12.75" customHeight="1">
      <c r="A56" s="33" t="str">
        <f>ESPNData!AX57</f>
        <v>Michael Hoomanawanui, NE TE</v>
      </c>
      <c r="B56" s="33" t="str">
        <f t="shared" si="3"/>
        <v>Michael Hoomanawanui</v>
      </c>
      <c r="C56" s="64" t="str">
        <f t="shared" si="4"/>
        <v>NE</v>
      </c>
      <c r="D56" s="117" t="str">
        <f>IF(ISERROR(VLOOKUP($B56,FFTodayData!$AN:$AT,4,0)),"",VLOOKUP($B56,FFTodayData!$AN:$AT,4,0))</f>
        <v/>
      </c>
      <c r="E56" s="33" t="str">
        <f>IF(ISERROR(VLOOKUP($B56,FFTodayData!$AN:$AT,5,0)),"",VLOOKUP($B56,FFTodayData!$AN:$AT,5,0))</f>
        <v/>
      </c>
      <c r="F56" s="64" t="str">
        <f>IF(ISERROR(VLOOKUP($B56,FFTodayData!$AN:$AT,6,0)),"",VLOOKUP($B56,FFTodayData!$AN:$AT,6,0))</f>
        <v/>
      </c>
      <c r="G56" s="117">
        <f>IF(ISERROR(VLOOKUP($A56,ESPNData!$AX:$BK,11,0)),"",VLOOKUP($A56,ESPNData!$AX:$BK,11,0))</f>
        <v>0</v>
      </c>
      <c r="H56" s="33">
        <f>IF(ISERROR(VLOOKUP($A56,ESPNData!$AX:$BK,12,0)),"",VLOOKUP($A56,ESPNData!$AX:$BK,12,0))</f>
        <v>0</v>
      </c>
      <c r="I56" s="64">
        <f>IF(ISERROR(VLOOKUP($A56,ESPNData!$AX:$BK,13,0)),"",VLOOKUP($A56,ESPNData!$AX:$BK,13,0))</f>
        <v>0</v>
      </c>
      <c r="J56" s="117">
        <f>IF(ISERROR(VLOOKUP($B56,SportslineData!$AM:$AT,3,0)),"",ROUND(VLOOKUP($B56,SportslineData!$AM:$AT,3,0),0))</f>
        <v>15</v>
      </c>
      <c r="K56" s="33">
        <f>IF(ISERROR(VLOOKUP($B56,SportslineData!$AM:$AT,4,0)),"",VLOOKUP($B56,SportslineData!$AM:$AT,4,0))</f>
        <v>171</v>
      </c>
      <c r="L56" s="33">
        <f>IF(ISERROR(VLOOKUP($B56,SportslineData!$AM:$AT,6,0)),"",ROUND(VLOOKUP($B56,SportslineData!$AM:$AT,6,0),0))</f>
        <v>1</v>
      </c>
      <c r="M56" s="64">
        <f>IF(ISERROR(VLOOKUP($B56,SportslineData!$AM:$AT,7,0)),"",ROUND(VLOOKUP($B56,SportslineData!$AM:$AT,7,0),0))</f>
        <v>0</v>
      </c>
      <c r="N56" s="117"/>
      <c r="O56" s="33"/>
      <c r="P56" s="38">
        <f>IF(ISERROR(ROUND((((ROUNDDOWN((E56/5),0)*Settings!$F$11)+(D56*Settings!$I$11))+(F56*Settings!$F$12)),1)),0,ROUND((((ROUNDDOWN((E56/5),0)*Settings!$F$11)+(D56*Settings!$I$11))+(F56*Settings!$F$12)),1))</f>
        <v>0</v>
      </c>
      <c r="Q56" s="38">
        <f>IF(ISERROR(ROUND((((ROUNDDOWN((H56/5),0)*Settings!$F$11)+(G56*Settings!$I$11))+(I56*Settings!$F$12)),1)),0,ROUND((((ROUNDDOWN((H56/5),0)*Settings!$F$11)+(G56*Settings!$I$11))+(I56*Settings!$F$12)),1))</f>
        <v>0</v>
      </c>
      <c r="R56" s="38">
        <f>IF((J56=""),0,((((J56*Settings!$I$11)+(ROUND((K56/5),0)*Settings!$F$11))+(L56*Settings!$F$12))+(M56*Settings!$F$15)))</f>
        <v>30.5</v>
      </c>
      <c r="S56" s="66">
        <f>ROUND((((P56*Settings!$B$21)+(Q56*Settings!$B$22))+(R56*Settings!$B$23)),1)</f>
        <v>10.4</v>
      </c>
      <c r="T56" s="66">
        <f>IF(ISERROR(VLOOKUP(RANK(S56,S$4:S$182),T$4:T55,1,0)),RANK(S56,S$4:S$182),IF(ISERROR(VLOOKUP((RANK(S56,S$4:S$182)+1),T$4:T55,1,0)),(RANK(S56,S$4:S$182)+1),IF(ISERROR(VLOOKUP((RANK(S56,S$4:S$182)+2),T$4:T55,1,0)),(RANK(S56,S$4:S$182)+2),(RANK(S56,S$4:S$182)+3))))</f>
        <v>67</v>
      </c>
      <c r="U56" t="str">
        <f t="shared" si="5"/>
        <v>Michael Hoomanawanui</v>
      </c>
    </row>
    <row r="57" spans="1:21" ht="12.75" customHeight="1">
      <c r="A57" s="33" t="str">
        <f>ESPNData!AX58</f>
        <v>Vance McDonald, SF TE</v>
      </c>
      <c r="B57" s="33" t="str">
        <f t="shared" si="3"/>
        <v>Vance McDonald</v>
      </c>
      <c r="C57" s="64" t="str">
        <f t="shared" si="4"/>
        <v>SF</v>
      </c>
      <c r="D57" s="117" t="str">
        <f>IF(ISERROR(VLOOKUP($B57,FFTodayData!$AN:$AT,4,0)),"",VLOOKUP($B57,FFTodayData!$AN:$AT,4,0))</f>
        <v/>
      </c>
      <c r="E57" s="33" t="str">
        <f>IF(ISERROR(VLOOKUP($B57,FFTodayData!$AN:$AT,5,0)),"",VLOOKUP($B57,FFTodayData!$AN:$AT,5,0))</f>
        <v/>
      </c>
      <c r="F57" s="64" t="str">
        <f>IF(ISERROR(VLOOKUP($B57,FFTodayData!$AN:$AT,6,0)),"",VLOOKUP($B57,FFTodayData!$AN:$AT,6,0))</f>
        <v/>
      </c>
      <c r="G57" s="117">
        <f>IF(ISERROR(VLOOKUP($A57,ESPNData!$AX:$BK,11,0)),"",VLOOKUP($A57,ESPNData!$AX:$BK,11,0))</f>
        <v>0</v>
      </c>
      <c r="H57" s="33">
        <f>IF(ISERROR(VLOOKUP($A57,ESPNData!$AX:$BK,12,0)),"",VLOOKUP($A57,ESPNData!$AX:$BK,12,0))</f>
        <v>0</v>
      </c>
      <c r="I57" s="64">
        <f>IF(ISERROR(VLOOKUP($A57,ESPNData!$AX:$BK,13,0)),"",VLOOKUP($A57,ESPNData!$AX:$BK,13,0))</f>
        <v>0</v>
      </c>
      <c r="J57" s="117">
        <f>IF(ISERROR(VLOOKUP($B57,SportslineData!$AM:$AT,3,0)),"",ROUND(VLOOKUP($B57,SportslineData!$AM:$AT,3,0),0))</f>
        <v>18</v>
      </c>
      <c r="K57" s="33">
        <f>IF(ISERROR(VLOOKUP($B57,SportslineData!$AM:$AT,4,0)),"",VLOOKUP($B57,SportslineData!$AM:$AT,4,0))</f>
        <v>256.5</v>
      </c>
      <c r="L57" s="33">
        <f>IF(ISERROR(VLOOKUP($B57,SportslineData!$AM:$AT,6,0)),"",ROUND(VLOOKUP($B57,SportslineData!$AM:$AT,6,0),0))</f>
        <v>1</v>
      </c>
      <c r="M57" s="64">
        <f>IF(ISERROR(VLOOKUP($B57,SportslineData!$AM:$AT,7,0)),"",ROUND(VLOOKUP($B57,SportslineData!$AM:$AT,7,0),0))</f>
        <v>0</v>
      </c>
      <c r="N57" s="117"/>
      <c r="O57" s="33"/>
      <c r="P57" s="38">
        <f>IF(ISERROR(ROUND((((ROUNDDOWN((E57/5),0)*Settings!$F$11)+(D57*Settings!$I$11))+(F57*Settings!$F$12)),1)),0,ROUND((((ROUNDDOWN((E57/5),0)*Settings!$F$11)+(D57*Settings!$I$11))+(F57*Settings!$F$12)),1))</f>
        <v>0</v>
      </c>
      <c r="Q57" s="38">
        <f>IF(ISERROR(ROUND((((ROUNDDOWN((H57/5),0)*Settings!$F$11)+(G57*Settings!$I$11))+(I57*Settings!$F$12)),1)),0,ROUND((((ROUNDDOWN((H57/5),0)*Settings!$F$11)+(G57*Settings!$I$11))+(I57*Settings!$F$12)),1))</f>
        <v>0</v>
      </c>
      <c r="R57" s="38">
        <f>IF((J57=""),0,((((J57*Settings!$I$11)+(ROUND((K57/5),0)*Settings!$F$11))+(L57*Settings!$F$12))+(M57*Settings!$F$15)))</f>
        <v>40.5</v>
      </c>
      <c r="S57" s="66">
        <f>ROUND((((P57*Settings!$B$21)+(Q57*Settings!$B$22))+(R57*Settings!$B$23)),1)</f>
        <v>13.8</v>
      </c>
      <c r="T57" s="66">
        <f>IF(ISERROR(VLOOKUP(RANK(S57,S$4:S$182),T$4:T56,1,0)),RANK(S57,S$4:S$182),IF(ISERROR(VLOOKUP((RANK(S57,S$4:S$182)+1),T$4:T56,1,0)),(RANK(S57,S$4:S$182)+1),IF(ISERROR(VLOOKUP((RANK(S57,S$4:S$182)+2),T$4:T56,1,0)),(RANK(S57,S$4:S$182)+2),(RANK(S57,S$4:S$182)+3))))</f>
        <v>61</v>
      </c>
      <c r="U57" t="str">
        <f t="shared" si="5"/>
        <v>Vance McDonald</v>
      </c>
    </row>
    <row r="58" spans="1:21" ht="12.75" customHeight="1">
      <c r="A58" s="33" t="str">
        <f>ESPNData!AX59</f>
        <v>Jacob Tamme, Den TE</v>
      </c>
      <c r="B58" s="33" t="str">
        <f t="shared" si="3"/>
        <v>Jacob Tamme</v>
      </c>
      <c r="C58" s="64" t="str">
        <f t="shared" si="4"/>
        <v>DEN</v>
      </c>
      <c r="D58" s="117" t="str">
        <f>IF(ISERROR(VLOOKUP($B58,FFTodayData!$AN:$AT,4,0)),"",VLOOKUP($B58,FFTodayData!$AN:$AT,4,0))</f>
        <v/>
      </c>
      <c r="E58" s="33" t="str">
        <f>IF(ISERROR(VLOOKUP($B58,FFTodayData!$AN:$AT,5,0)),"",VLOOKUP($B58,FFTodayData!$AN:$AT,5,0))</f>
        <v/>
      </c>
      <c r="F58" s="64" t="str">
        <f>IF(ISERROR(VLOOKUP($B58,FFTodayData!$AN:$AT,6,0)),"",VLOOKUP($B58,FFTodayData!$AN:$AT,6,0))</f>
        <v/>
      </c>
      <c r="G58" s="117">
        <f>IF(ISERROR(VLOOKUP($A58,ESPNData!$AX:$BK,11,0)),"",VLOOKUP($A58,ESPNData!$AX:$BK,11,0))</f>
        <v>0</v>
      </c>
      <c r="H58" s="33">
        <f>IF(ISERROR(VLOOKUP($A58,ESPNData!$AX:$BK,12,0)),"",VLOOKUP($A58,ESPNData!$AX:$BK,12,0))</f>
        <v>0</v>
      </c>
      <c r="I58" s="64">
        <f>IF(ISERROR(VLOOKUP($A58,ESPNData!$AX:$BK,13,0)),"",VLOOKUP($A58,ESPNData!$AX:$BK,13,0))</f>
        <v>0</v>
      </c>
      <c r="J58" s="117">
        <f>IF(ISERROR(VLOOKUP($B58,SportslineData!$AM:$AT,3,0)),"",ROUND(VLOOKUP($B58,SportslineData!$AM:$AT,3,0),0))</f>
        <v>19</v>
      </c>
      <c r="K58" s="33">
        <f>IF(ISERROR(VLOOKUP($B58,SportslineData!$AM:$AT,4,0)),"",VLOOKUP($B58,SportslineData!$AM:$AT,4,0))</f>
        <v>195.5</v>
      </c>
      <c r="L58" s="33">
        <f>IF(ISERROR(VLOOKUP($B58,SportslineData!$AM:$AT,6,0)),"",ROUND(VLOOKUP($B58,SportslineData!$AM:$AT,6,0),0))</f>
        <v>1</v>
      </c>
      <c r="M58" s="64">
        <f>IF(ISERROR(VLOOKUP($B58,SportslineData!$AM:$AT,7,0)),"",ROUND(VLOOKUP($B58,SportslineData!$AM:$AT,7,0),0))</f>
        <v>0</v>
      </c>
      <c r="N58" s="117"/>
      <c r="O58" s="33"/>
      <c r="P58" s="38">
        <f>IF(ISERROR(ROUND((((ROUNDDOWN((E58/5),0)*Settings!$F$11)+(D58*Settings!$I$11))+(F58*Settings!$F$12)),1)),0,ROUND((((ROUNDDOWN((E58/5),0)*Settings!$F$11)+(D58*Settings!$I$11))+(F58*Settings!$F$12)),1))</f>
        <v>0</v>
      </c>
      <c r="Q58" s="38">
        <f>IF(ISERROR(ROUND((((ROUNDDOWN((H58/5),0)*Settings!$F$11)+(G58*Settings!$I$11))+(I58*Settings!$F$12)),1)),0,ROUND((((ROUNDDOWN((H58/5),0)*Settings!$F$11)+(G58*Settings!$I$11))+(I58*Settings!$F$12)),1))</f>
        <v>0</v>
      </c>
      <c r="R58" s="38">
        <f>IF((J58=""),0,((((J58*Settings!$I$11)+(ROUND((K58/5),0)*Settings!$F$11))+(L58*Settings!$F$12))+(M58*Settings!$F$15)))</f>
        <v>35</v>
      </c>
      <c r="S58" s="66">
        <f>ROUND((((P58*Settings!$B$21)+(Q58*Settings!$B$22))+(R58*Settings!$B$23)),1)</f>
        <v>11.9</v>
      </c>
      <c r="T58" s="66">
        <f>IF(ISERROR(VLOOKUP(RANK(S58,S$4:S$182),T$4:T57,1,0)),RANK(S58,S$4:S$182),IF(ISERROR(VLOOKUP((RANK(S58,S$4:S$182)+1),T$4:T57,1,0)),(RANK(S58,S$4:S$182)+1),IF(ISERROR(VLOOKUP((RANK(S58,S$4:S$182)+2),T$4:T57,1,0)),(RANK(S58,S$4:S$182)+2),(RANK(S58,S$4:S$182)+3))))</f>
        <v>66</v>
      </c>
      <c r="U58" t="str">
        <f t="shared" si="5"/>
        <v>Jacob Tamme</v>
      </c>
    </row>
    <row r="59" spans="1:21" ht="12.75" customHeight="1">
      <c r="A59" s="33" t="str">
        <f>ESPNData!AX60</f>
        <v>Lance Kendricks, StL TE</v>
      </c>
      <c r="B59" s="33" t="str">
        <f t="shared" si="3"/>
        <v>Lance Kendricks</v>
      </c>
      <c r="C59" s="64" t="str">
        <f t="shared" si="4"/>
        <v>STL</v>
      </c>
      <c r="D59" s="117">
        <f>IF(ISERROR(VLOOKUP($B59,FFTodayData!$AN:$AT,4,0)),"",VLOOKUP($B59,FFTodayData!$AN:$AT,4,0))</f>
        <v>25</v>
      </c>
      <c r="E59" s="33">
        <f>IF(ISERROR(VLOOKUP($B59,FFTodayData!$AN:$AT,5,0)),"",VLOOKUP($B59,FFTodayData!$AN:$AT,5,0))</f>
        <v>286</v>
      </c>
      <c r="F59" s="64">
        <f>IF(ISERROR(VLOOKUP($B59,FFTodayData!$AN:$AT,6,0)),"",VLOOKUP($B59,FFTodayData!$AN:$AT,6,0))</f>
        <v>2</v>
      </c>
      <c r="G59" s="117">
        <f>IF(ISERROR(VLOOKUP($A59,ESPNData!$AX:$BK,11,0)),"",VLOOKUP($A59,ESPNData!$AX:$BK,11,0))</f>
        <v>0</v>
      </c>
      <c r="H59" s="33">
        <f>IF(ISERROR(VLOOKUP($A59,ESPNData!$AX:$BK,12,0)),"",VLOOKUP($A59,ESPNData!$AX:$BK,12,0))</f>
        <v>0</v>
      </c>
      <c r="I59" s="64">
        <f>IF(ISERROR(VLOOKUP($A59,ESPNData!$AX:$BK,13,0)),"",VLOOKUP($A59,ESPNData!$AX:$BK,13,0))</f>
        <v>0</v>
      </c>
      <c r="J59" s="117">
        <f>IF(ISERROR(VLOOKUP($B59,SportslineData!$AM:$AT,3,0)),"",ROUND(VLOOKUP($B59,SportslineData!$AM:$AT,3,0),0))</f>
        <v>28</v>
      </c>
      <c r="K59" s="33">
        <f>IF(ISERROR(VLOOKUP($B59,SportslineData!$AM:$AT,4,0)),"",VLOOKUP($B59,SportslineData!$AM:$AT,4,0))</f>
        <v>305.5</v>
      </c>
      <c r="L59" s="33">
        <f>IF(ISERROR(VLOOKUP($B59,SportslineData!$AM:$AT,6,0)),"",ROUND(VLOOKUP($B59,SportslineData!$AM:$AT,6,0),0))</f>
        <v>3</v>
      </c>
      <c r="M59" s="64">
        <f>IF(ISERROR(VLOOKUP($B59,SportslineData!$AM:$AT,7,0)),"",ROUND(VLOOKUP($B59,SportslineData!$AM:$AT,7,0),0))</f>
        <v>0</v>
      </c>
      <c r="N59" s="117"/>
      <c r="O59" s="33"/>
      <c r="P59" s="38">
        <f>IF(ISERROR(ROUND((((ROUNDDOWN((E59/5),0)*Settings!$F$11)+(D59*Settings!$I$11))+(F59*Settings!$F$12)),1)),0,ROUND((((ROUNDDOWN((E59/5),0)*Settings!$F$11)+(D59*Settings!$I$11))+(F59*Settings!$F$12)),1))</f>
        <v>53</v>
      </c>
      <c r="Q59" s="38">
        <f>IF(ISERROR(ROUND((((ROUNDDOWN((H59/5),0)*Settings!$F$11)+(G59*Settings!$I$11))+(I59*Settings!$F$12)),1)),0,ROUND((((ROUNDDOWN((H59/5),0)*Settings!$F$11)+(G59*Settings!$I$11))+(I59*Settings!$F$12)),1))</f>
        <v>0</v>
      </c>
      <c r="R59" s="38">
        <f>IF((J59=""),0,((((J59*Settings!$I$11)+(ROUND((K59/5),0)*Settings!$F$11))+(L59*Settings!$F$12))+(M59*Settings!$F$15)))</f>
        <v>62.5</v>
      </c>
      <c r="S59" s="66">
        <f>ROUND((((P59*Settings!$B$21)+(Q59*Settings!$B$22))+(R59*Settings!$B$23)),1)</f>
        <v>38.700000000000003</v>
      </c>
      <c r="T59" s="66">
        <f>IF(ISERROR(VLOOKUP(RANK(S59,S$4:S$182),T$4:T58,1,0)),RANK(S59,S$4:S$182),IF(ISERROR(VLOOKUP((RANK(S59,S$4:S$182)+1),T$4:T58,1,0)),(RANK(S59,S$4:S$182)+1),IF(ISERROR(VLOOKUP((RANK(S59,S$4:S$182)+2),T$4:T58,1,0)),(RANK(S59,S$4:S$182)+2),(RANK(S59,S$4:S$182)+3))))</f>
        <v>46</v>
      </c>
      <c r="U59" t="str">
        <f t="shared" si="5"/>
        <v>Lance Kendricks</v>
      </c>
    </row>
    <row r="60" spans="1:21" ht="12.75" customHeight="1">
      <c r="A60" s="33" t="str">
        <f>ESPNData!AX61</f>
        <v>Brandon Myers, TB TE</v>
      </c>
      <c r="B60" s="33" t="str">
        <f t="shared" si="3"/>
        <v>Brandon Myers</v>
      </c>
      <c r="C60" s="64" t="str">
        <f t="shared" si="4"/>
        <v>TB</v>
      </c>
      <c r="D60" s="117">
        <f>IF(ISERROR(VLOOKUP($B60,FFTodayData!$AN:$AT,4,0)),"",VLOOKUP($B60,FFTodayData!$AN:$AT,4,0))</f>
        <v>33</v>
      </c>
      <c r="E60" s="33">
        <f>IF(ISERROR(VLOOKUP($B60,FFTodayData!$AN:$AT,5,0)),"",VLOOKUP($B60,FFTodayData!$AN:$AT,5,0))</f>
        <v>344</v>
      </c>
      <c r="F60" s="64">
        <f>IF(ISERROR(VLOOKUP($B60,FFTodayData!$AN:$AT,6,0)),"",VLOOKUP($B60,FFTodayData!$AN:$AT,6,0))</f>
        <v>2</v>
      </c>
      <c r="G60" s="117">
        <f>IF(ISERROR(VLOOKUP($A60,ESPNData!$AX:$BK,11,0)),"",VLOOKUP($A60,ESPNData!$AX:$BK,11,0))</f>
        <v>0</v>
      </c>
      <c r="H60" s="33">
        <f>IF(ISERROR(VLOOKUP($A60,ESPNData!$AX:$BK,12,0)),"",VLOOKUP($A60,ESPNData!$AX:$BK,12,0))</f>
        <v>0</v>
      </c>
      <c r="I60" s="64">
        <f>IF(ISERROR(VLOOKUP($A60,ESPNData!$AX:$BK,13,0)),"",VLOOKUP($A60,ESPNData!$AX:$BK,13,0))</f>
        <v>0</v>
      </c>
      <c r="J60" s="117">
        <f>IF(ISERROR(VLOOKUP($B60,SportslineData!$AM:$AT,3,0)),"",ROUND(VLOOKUP($B60,SportslineData!$AM:$AT,3,0),0))</f>
        <v>26</v>
      </c>
      <c r="K60" s="33">
        <f>IF(ISERROR(VLOOKUP($B60,SportslineData!$AM:$AT,4,0)),"",VLOOKUP($B60,SportslineData!$AM:$AT,4,0))</f>
        <v>278</v>
      </c>
      <c r="L60" s="33">
        <f>IF(ISERROR(VLOOKUP($B60,SportslineData!$AM:$AT,6,0)),"",ROUND(VLOOKUP($B60,SportslineData!$AM:$AT,6,0),0))</f>
        <v>2</v>
      </c>
      <c r="M60" s="64">
        <f>IF(ISERROR(VLOOKUP($B60,SportslineData!$AM:$AT,7,0)),"",ROUND(VLOOKUP($B60,SportslineData!$AM:$AT,7,0),0))</f>
        <v>0</v>
      </c>
      <c r="N60" s="117"/>
      <c r="O60" s="33"/>
      <c r="P60" s="38">
        <f>IF(ISERROR(ROUND((((ROUNDDOWN((E60/5),0)*Settings!$F$11)+(D60*Settings!$I$11))+(F60*Settings!$F$12)),1)),0,ROUND((((ROUNDDOWN((E60/5),0)*Settings!$F$11)+(D60*Settings!$I$11))+(F60*Settings!$F$12)),1))</f>
        <v>62.5</v>
      </c>
      <c r="Q60" s="38">
        <f>IF(ISERROR(ROUND((((ROUNDDOWN((H60/5),0)*Settings!$F$11)+(G60*Settings!$I$11))+(I60*Settings!$F$12)),1)),0,ROUND((((ROUNDDOWN((H60/5),0)*Settings!$F$11)+(G60*Settings!$I$11))+(I60*Settings!$F$12)),1))</f>
        <v>0</v>
      </c>
      <c r="R60" s="38">
        <f>IF((J60=""),0,((((J60*Settings!$I$11)+(ROUND((K60/5),0)*Settings!$F$11))+(L60*Settings!$F$12))+(M60*Settings!$F$15)))</f>
        <v>53</v>
      </c>
      <c r="S60" s="66">
        <f>ROUND((((P60*Settings!$B$21)+(Q60*Settings!$B$22))+(R60*Settings!$B$23)),1)</f>
        <v>38.6</v>
      </c>
      <c r="T60" s="66">
        <f>IF(ISERROR(VLOOKUP(RANK(S60,S$4:S$182),T$4:T59,1,0)),RANK(S60,S$4:S$182),IF(ISERROR(VLOOKUP((RANK(S60,S$4:S$182)+1),T$4:T59,1,0)),(RANK(S60,S$4:S$182)+1),IF(ISERROR(VLOOKUP((RANK(S60,S$4:S$182)+2),T$4:T59,1,0)),(RANK(S60,S$4:S$182)+2),(RANK(S60,S$4:S$182)+3))))</f>
        <v>47</v>
      </c>
      <c r="U60" t="str">
        <f t="shared" si="5"/>
        <v>Brandon Myers</v>
      </c>
    </row>
    <row r="61" spans="1:21" ht="12.75" customHeight="1">
      <c r="A61" s="33" t="str">
        <f>ESPNData!AX62</f>
        <v>MarQueis Gray, Cle TE, RB</v>
      </c>
      <c r="B61" s="33" t="str">
        <f t="shared" si="3"/>
        <v>MarQueis Gray</v>
      </c>
      <c r="C61" s="64" t="str">
        <f t="shared" si="4"/>
        <v>CLE</v>
      </c>
      <c r="D61" s="117" t="str">
        <f>IF(ISERROR(VLOOKUP($B61,FFTodayData!$AN:$AT,4,0)),"",VLOOKUP($B61,FFTodayData!$AN:$AT,4,0))</f>
        <v/>
      </c>
      <c r="E61" s="33" t="str">
        <f>IF(ISERROR(VLOOKUP($B61,FFTodayData!$AN:$AT,5,0)),"",VLOOKUP($B61,FFTodayData!$AN:$AT,5,0))</f>
        <v/>
      </c>
      <c r="F61" s="64" t="str">
        <f>IF(ISERROR(VLOOKUP($B61,FFTodayData!$AN:$AT,6,0)),"",VLOOKUP($B61,FFTodayData!$AN:$AT,6,0))</f>
        <v/>
      </c>
      <c r="G61" s="117">
        <f>IF(ISERROR(VLOOKUP($A61,ESPNData!$AX:$BK,11,0)),"",VLOOKUP($A61,ESPNData!$AX:$BK,11,0))</f>
        <v>0</v>
      </c>
      <c r="H61" s="33">
        <f>IF(ISERROR(VLOOKUP($A61,ESPNData!$AX:$BK,12,0)),"",VLOOKUP($A61,ESPNData!$AX:$BK,12,0))</f>
        <v>0</v>
      </c>
      <c r="I61" s="64">
        <f>IF(ISERROR(VLOOKUP($A61,ESPNData!$AX:$BK,13,0)),"",VLOOKUP($A61,ESPNData!$AX:$BK,13,0))</f>
        <v>0</v>
      </c>
      <c r="J61" s="117">
        <f>IF(ISERROR(VLOOKUP($B61,SportslineData!$AM:$AT,3,0)),"",ROUND(VLOOKUP($B61,SportslineData!$AM:$AT,3,0),0))</f>
        <v>4</v>
      </c>
      <c r="K61" s="33">
        <f>IF(ISERROR(VLOOKUP($B61,SportslineData!$AM:$AT,4,0)),"",VLOOKUP($B61,SportslineData!$AM:$AT,4,0))</f>
        <v>27.5</v>
      </c>
      <c r="L61" s="33">
        <f>IF(ISERROR(VLOOKUP($B61,SportslineData!$AM:$AT,6,0)),"",ROUND(VLOOKUP($B61,SportslineData!$AM:$AT,6,0),0))</f>
        <v>0</v>
      </c>
      <c r="M61" s="64">
        <f>IF(ISERROR(VLOOKUP($B61,SportslineData!$AM:$AT,7,0)),"",ROUND(VLOOKUP($B61,SportslineData!$AM:$AT,7,0),0))</f>
        <v>0</v>
      </c>
      <c r="N61" s="117"/>
      <c r="O61" s="33"/>
      <c r="P61" s="38">
        <f>IF(ISERROR(ROUND((((ROUNDDOWN((E61/5),0)*Settings!$F$11)+(D61*Settings!$I$11))+(F61*Settings!$F$12)),1)),0,ROUND((((ROUNDDOWN((E61/5),0)*Settings!$F$11)+(D61*Settings!$I$11))+(F61*Settings!$F$12)),1))</f>
        <v>0</v>
      </c>
      <c r="Q61" s="38">
        <f>IF(ISERROR(ROUND((((ROUNDDOWN((H61/5),0)*Settings!$F$11)+(G61*Settings!$I$11))+(I61*Settings!$F$12)),1)),0,ROUND((((ROUNDDOWN((H61/5),0)*Settings!$F$11)+(G61*Settings!$I$11))+(I61*Settings!$F$12)),1))</f>
        <v>0</v>
      </c>
      <c r="R61" s="38">
        <f>IF((J61=""),0,((((J61*Settings!$I$11)+(ROUND((K61/5),0)*Settings!$F$11))+(L61*Settings!$F$12))+(M61*Settings!$F$15)))</f>
        <v>5</v>
      </c>
      <c r="S61" s="66">
        <f>ROUND((((P61*Settings!$B$21)+(Q61*Settings!$B$22))+(R61*Settings!$B$23)),1)</f>
        <v>1.7</v>
      </c>
      <c r="T61" s="66">
        <f>IF(ISERROR(VLOOKUP(RANK(S61,S$4:S$182),T$4:T60,1,0)),RANK(S61,S$4:S$182),IF(ISERROR(VLOOKUP((RANK(S61,S$4:S$182)+1),T$4:T60,1,0)),(RANK(S61,S$4:S$182)+1),IF(ISERROR(VLOOKUP((RANK(S61,S$4:S$182)+2),T$4:T60,1,0)),(RANK(S61,S$4:S$182)+2),(RANK(S61,S$4:S$182)+3))))</f>
        <v>83</v>
      </c>
      <c r="U61" t="str">
        <f t="shared" si="5"/>
        <v>MarQueis Gray</v>
      </c>
    </row>
    <row r="62" spans="1:21" ht="12.75" customHeight="1">
      <c r="A62" s="33" t="str">
        <f>ESPNData!AX63</f>
        <v>Taylor Thompson, Ten TE</v>
      </c>
      <c r="B62" s="33" t="str">
        <f t="shared" si="3"/>
        <v>Taylor Thompson</v>
      </c>
      <c r="C62" s="64" t="str">
        <f t="shared" si="4"/>
        <v>TEN</v>
      </c>
      <c r="D62" s="117" t="str">
        <f>IF(ISERROR(VLOOKUP($B62,FFTodayData!$AN:$AT,4,0)),"",VLOOKUP($B62,FFTodayData!$AN:$AT,4,0))</f>
        <v/>
      </c>
      <c r="E62" s="33" t="str">
        <f>IF(ISERROR(VLOOKUP($B62,FFTodayData!$AN:$AT,5,0)),"",VLOOKUP($B62,FFTodayData!$AN:$AT,5,0))</f>
        <v/>
      </c>
      <c r="F62" s="64" t="str">
        <f>IF(ISERROR(VLOOKUP($B62,FFTodayData!$AN:$AT,6,0)),"",VLOOKUP($B62,FFTodayData!$AN:$AT,6,0))</f>
        <v/>
      </c>
      <c r="G62" s="117">
        <f>IF(ISERROR(VLOOKUP($A62,ESPNData!$AX:$BK,11,0)),"",VLOOKUP($A62,ESPNData!$AX:$BK,11,0))</f>
        <v>0</v>
      </c>
      <c r="H62" s="33">
        <f>IF(ISERROR(VLOOKUP($A62,ESPNData!$AX:$BK,12,0)),"",VLOOKUP($A62,ESPNData!$AX:$BK,12,0))</f>
        <v>0</v>
      </c>
      <c r="I62" s="64">
        <f>IF(ISERROR(VLOOKUP($A62,ESPNData!$AX:$BK,13,0)),"",VLOOKUP($A62,ESPNData!$AX:$BK,13,0))</f>
        <v>0</v>
      </c>
      <c r="J62" s="117">
        <f>IF(ISERROR(VLOOKUP($B62,SportslineData!$AM:$AT,3,0)),"",ROUND(VLOOKUP($B62,SportslineData!$AM:$AT,3,0),0))</f>
        <v>8</v>
      </c>
      <c r="K62" s="33">
        <f>IF(ISERROR(VLOOKUP($B62,SportslineData!$AM:$AT,4,0)),"",VLOOKUP($B62,SportslineData!$AM:$AT,4,0))</f>
        <v>90.5</v>
      </c>
      <c r="L62" s="33">
        <f>IF(ISERROR(VLOOKUP($B62,SportslineData!$AM:$AT,6,0)),"",ROUND(VLOOKUP($B62,SportslineData!$AM:$AT,6,0),0))</f>
        <v>0</v>
      </c>
      <c r="M62" s="64">
        <f>IF(ISERROR(VLOOKUP($B62,SportslineData!$AM:$AT,7,0)),"",ROUND(VLOOKUP($B62,SportslineData!$AM:$AT,7,0),0))</f>
        <v>0</v>
      </c>
      <c r="N62" s="117"/>
      <c r="O62" s="33"/>
      <c r="P62" s="38">
        <f>IF(ISERROR(ROUND((((ROUNDDOWN((E62/5),0)*Settings!$F$11)+(D62*Settings!$I$11))+(F62*Settings!$F$12)),1)),0,ROUND((((ROUNDDOWN((E62/5),0)*Settings!$F$11)+(D62*Settings!$I$11))+(F62*Settings!$F$12)),1))</f>
        <v>0</v>
      </c>
      <c r="Q62" s="38">
        <f>IF(ISERROR(ROUND((((ROUNDDOWN((H62/5),0)*Settings!$F$11)+(G62*Settings!$I$11))+(I62*Settings!$F$12)),1)),0,ROUND((((ROUNDDOWN((H62/5),0)*Settings!$F$11)+(G62*Settings!$I$11))+(I62*Settings!$F$12)),1))</f>
        <v>0</v>
      </c>
      <c r="R62" s="38">
        <f>IF((J62=""),0,((((J62*Settings!$I$11)+(ROUND((K62/5),0)*Settings!$F$11))+(L62*Settings!$F$12))+(M62*Settings!$F$15)))</f>
        <v>13</v>
      </c>
      <c r="S62" s="66">
        <f>ROUND((((P62*Settings!$B$21)+(Q62*Settings!$B$22))+(R62*Settings!$B$23)),1)</f>
        <v>4.4000000000000004</v>
      </c>
      <c r="T62" s="66">
        <f>IF(ISERROR(VLOOKUP(RANK(S62,S$4:S$182),T$4:T61,1,0)),RANK(S62,S$4:S$182),IF(ISERROR(VLOOKUP((RANK(S62,S$4:S$182)+1),T$4:T61,1,0)),(RANK(S62,S$4:S$182)+1),IF(ISERROR(VLOOKUP((RANK(S62,S$4:S$182)+2),T$4:T61,1,0)),(RANK(S62,S$4:S$182)+2),(RANK(S62,S$4:S$182)+3))))</f>
        <v>78</v>
      </c>
      <c r="U62" t="str">
        <f t="shared" si="5"/>
        <v>Taylor Thompson</v>
      </c>
    </row>
    <row r="63" spans="1:21" ht="12.75" customHeight="1">
      <c r="A63" s="33" t="str">
        <f>ESPNData!AX64</f>
        <v>Clay Harbor, Jac TE  Q</v>
      </c>
      <c r="B63" s="33" t="str">
        <f t="shared" si="3"/>
        <v>Clay Harbor</v>
      </c>
      <c r="C63" s="64" t="str">
        <f t="shared" si="4"/>
        <v>JAC</v>
      </c>
      <c r="D63" s="117">
        <f>IF(ISERROR(VLOOKUP($B63,FFTodayData!$AN:$AT,4,0)),"",VLOOKUP($B63,FFTodayData!$AN:$AT,4,0))</f>
        <v>20</v>
      </c>
      <c r="E63" s="33">
        <f>IF(ISERROR(VLOOKUP($B63,FFTodayData!$AN:$AT,5,0)),"",VLOOKUP($B63,FFTodayData!$AN:$AT,5,0))</f>
        <v>212</v>
      </c>
      <c r="F63" s="64">
        <f>IF(ISERROR(VLOOKUP($B63,FFTodayData!$AN:$AT,6,0)),"",VLOOKUP($B63,FFTodayData!$AN:$AT,6,0))</f>
        <v>1</v>
      </c>
      <c r="G63" s="117">
        <f>IF(ISERROR(VLOOKUP($A63,ESPNData!$AX:$BK,11,0)),"",VLOOKUP($A63,ESPNData!$AX:$BK,11,0))</f>
        <v>0</v>
      </c>
      <c r="H63" s="33">
        <f>IF(ISERROR(VLOOKUP($A63,ESPNData!$AX:$BK,12,0)),"",VLOOKUP($A63,ESPNData!$AX:$BK,12,0))</f>
        <v>0</v>
      </c>
      <c r="I63" s="64">
        <f>IF(ISERROR(VLOOKUP($A63,ESPNData!$AX:$BK,13,0)),"",VLOOKUP($A63,ESPNData!$AX:$BK,13,0))</f>
        <v>0</v>
      </c>
      <c r="J63" s="117">
        <f>IF(ISERROR(VLOOKUP($B63,SportslineData!$AM:$AT,3,0)),"",ROUND(VLOOKUP($B63,SportslineData!$AM:$AT,3,0),0))</f>
        <v>22</v>
      </c>
      <c r="K63" s="33">
        <f>IF(ISERROR(VLOOKUP($B63,SportslineData!$AM:$AT,4,0)),"",VLOOKUP($B63,SportslineData!$AM:$AT,4,0))</f>
        <v>244.5</v>
      </c>
      <c r="L63" s="33">
        <f>IF(ISERROR(VLOOKUP($B63,SportslineData!$AM:$AT,6,0)),"",ROUND(VLOOKUP($B63,SportslineData!$AM:$AT,6,0),0))</f>
        <v>2</v>
      </c>
      <c r="M63" s="64">
        <f>IF(ISERROR(VLOOKUP($B63,SportslineData!$AM:$AT,7,0)),"",ROUND(VLOOKUP($B63,SportslineData!$AM:$AT,7,0),0))</f>
        <v>0</v>
      </c>
      <c r="N63" s="117"/>
      <c r="O63" s="33"/>
      <c r="P63" s="38">
        <f>IF(ISERROR(ROUND((((ROUNDDOWN((E63/5),0)*Settings!$F$11)+(D63*Settings!$I$11))+(F63*Settings!$F$12)),1)),0,ROUND((((ROUNDDOWN((E63/5),0)*Settings!$F$11)+(D63*Settings!$I$11))+(F63*Settings!$F$12)),1))</f>
        <v>37</v>
      </c>
      <c r="Q63" s="38">
        <f>IF(ISERROR(ROUND((((ROUNDDOWN((H63/5),0)*Settings!$F$11)+(G63*Settings!$I$11))+(I63*Settings!$F$12)),1)),0,ROUND((((ROUNDDOWN((H63/5),0)*Settings!$F$11)+(G63*Settings!$I$11))+(I63*Settings!$F$12)),1))</f>
        <v>0</v>
      </c>
      <c r="R63" s="38">
        <f>IF((J63=""),0,((((J63*Settings!$I$11)+(ROUND((K63/5),0)*Settings!$F$11))+(L63*Settings!$F$12))+(M63*Settings!$F$15)))</f>
        <v>47.5</v>
      </c>
      <c r="S63" s="66">
        <f>ROUND((((P63*Settings!$B$21)+(Q63*Settings!$B$22))+(R63*Settings!$B$23)),1)</f>
        <v>28.4</v>
      </c>
      <c r="T63" s="66">
        <f>IF(ISERROR(VLOOKUP(RANK(S63,S$4:S$182),T$4:T62,1,0)),RANK(S63,S$4:S$182),IF(ISERROR(VLOOKUP((RANK(S63,S$4:S$182)+1),T$4:T62,1,0)),(RANK(S63,S$4:S$182)+1),IF(ISERROR(VLOOKUP((RANK(S63,S$4:S$182)+2),T$4:T62,1,0)),(RANK(S63,S$4:S$182)+2),(RANK(S63,S$4:S$182)+3))))</f>
        <v>53</v>
      </c>
      <c r="U63" t="str">
        <f t="shared" si="5"/>
        <v>Clay Harbor</v>
      </c>
    </row>
    <row r="64" spans="1:21" ht="12.75" customHeight="1">
      <c r="A64" s="33" t="str">
        <f>ESPNData!AX65</f>
        <v>Larry Donnell, NYG TE</v>
      </c>
      <c r="B64" s="33" t="str">
        <f t="shared" si="3"/>
        <v>Larry Donnell</v>
      </c>
      <c r="C64" s="64" t="str">
        <f t="shared" si="4"/>
        <v>NYG</v>
      </c>
      <c r="D64" s="117" t="str">
        <f>IF(ISERROR(VLOOKUP($B64,FFTodayData!$AN:$AT,4,0)),"",VLOOKUP($B64,FFTodayData!$AN:$AT,4,0))</f>
        <v/>
      </c>
      <c r="E64" s="33" t="str">
        <f>IF(ISERROR(VLOOKUP($B64,FFTodayData!$AN:$AT,5,0)),"",VLOOKUP($B64,FFTodayData!$AN:$AT,5,0))</f>
        <v/>
      </c>
      <c r="F64" s="64" t="str">
        <f>IF(ISERROR(VLOOKUP($B64,FFTodayData!$AN:$AT,6,0)),"",VLOOKUP($B64,FFTodayData!$AN:$AT,6,0))</f>
        <v/>
      </c>
      <c r="G64" s="117">
        <f>IF(ISERROR(VLOOKUP($A64,ESPNData!$AX:$BK,11,0)),"",VLOOKUP($A64,ESPNData!$AX:$BK,11,0))</f>
        <v>0</v>
      </c>
      <c r="H64" s="33">
        <f>IF(ISERROR(VLOOKUP($A64,ESPNData!$AX:$BK,12,0)),"",VLOOKUP($A64,ESPNData!$AX:$BK,12,0))</f>
        <v>0</v>
      </c>
      <c r="I64" s="64">
        <f>IF(ISERROR(VLOOKUP($A64,ESPNData!$AX:$BK,13,0)),"",VLOOKUP($A64,ESPNData!$AX:$BK,13,0))</f>
        <v>0</v>
      </c>
      <c r="J64" s="117">
        <f>IF(ISERROR(VLOOKUP($B64,SportslineData!$AM:$AT,3,0)),"",ROUND(VLOOKUP($B64,SportslineData!$AM:$AT,3,0),0))</f>
        <v>10</v>
      </c>
      <c r="K64" s="33">
        <f>IF(ISERROR(VLOOKUP($B64,SportslineData!$AM:$AT,4,0)),"",VLOOKUP($B64,SportslineData!$AM:$AT,4,0))</f>
        <v>107.5</v>
      </c>
      <c r="L64" s="33">
        <f>IF(ISERROR(VLOOKUP($B64,SportslineData!$AM:$AT,6,0)),"",ROUND(VLOOKUP($B64,SportslineData!$AM:$AT,6,0),0))</f>
        <v>1</v>
      </c>
      <c r="M64" s="64">
        <f>IF(ISERROR(VLOOKUP($B64,SportslineData!$AM:$AT,7,0)),"",ROUND(VLOOKUP($B64,SportslineData!$AM:$AT,7,0),0))</f>
        <v>0</v>
      </c>
      <c r="N64" s="117"/>
      <c r="O64" s="33"/>
      <c r="P64" s="38">
        <f>IF(ISERROR(ROUND((((ROUNDDOWN((E64/5),0)*Settings!$F$11)+(D64*Settings!$I$11))+(F64*Settings!$F$12)),1)),0,ROUND((((ROUNDDOWN((E64/5),0)*Settings!$F$11)+(D64*Settings!$I$11))+(F64*Settings!$F$12)),1))</f>
        <v>0</v>
      </c>
      <c r="Q64" s="38">
        <f>IF(ISERROR(ROUND((((ROUNDDOWN((H64/5),0)*Settings!$F$11)+(G64*Settings!$I$11))+(I64*Settings!$F$12)),1)),0,ROUND((((ROUNDDOWN((H64/5),0)*Settings!$F$11)+(G64*Settings!$I$11))+(I64*Settings!$F$12)),1))</f>
        <v>0</v>
      </c>
      <c r="R64" s="38">
        <f>IF((J64=""),0,((((J64*Settings!$I$11)+(ROUND((K64/5),0)*Settings!$F$11))+(L64*Settings!$F$12))+(M64*Settings!$F$15)))</f>
        <v>22</v>
      </c>
      <c r="S64" s="66">
        <f>ROUND((((P64*Settings!$B$21)+(Q64*Settings!$B$22))+(R64*Settings!$B$23)),1)</f>
        <v>7.5</v>
      </c>
      <c r="T64" s="66">
        <f>IF(ISERROR(VLOOKUP(RANK(S64,S$4:S$182),T$4:T63,1,0)),RANK(S64,S$4:S$182),IF(ISERROR(VLOOKUP((RANK(S64,S$4:S$182)+1),T$4:T63,1,0)),(RANK(S64,S$4:S$182)+1),IF(ISERROR(VLOOKUP((RANK(S64,S$4:S$182)+2),T$4:T63,1,0)),(RANK(S64,S$4:S$182)+2),(RANK(S64,S$4:S$182)+3))))</f>
        <v>72</v>
      </c>
      <c r="U64" t="str">
        <f t="shared" si="5"/>
        <v>Larry Donnell</v>
      </c>
    </row>
    <row r="65" spans="1:21" ht="12.75" customHeight="1">
      <c r="A65" s="33" t="str">
        <f>ESPNData!AX66</f>
        <v>Kellen Davis, NYG TE</v>
      </c>
      <c r="B65" s="33" t="str">
        <f t="shared" si="3"/>
        <v>Kellen Davis</v>
      </c>
      <c r="C65" s="64" t="str">
        <f t="shared" si="4"/>
        <v>NYG</v>
      </c>
      <c r="D65" s="117">
        <f>IF(ISERROR(VLOOKUP($B65,FFTodayData!$AN:$AT,4,0)),"",VLOOKUP($B65,FFTodayData!$AN:$AT,4,0))</f>
        <v>23</v>
      </c>
      <c r="E65" s="33">
        <f>IF(ISERROR(VLOOKUP($B65,FFTodayData!$AN:$AT,5,0)),"",VLOOKUP($B65,FFTodayData!$AN:$AT,5,0))</f>
        <v>254</v>
      </c>
      <c r="F65" s="64">
        <f>IF(ISERROR(VLOOKUP($B65,FFTodayData!$AN:$AT,6,0)),"",VLOOKUP($B65,FFTodayData!$AN:$AT,6,0))</f>
        <v>2</v>
      </c>
      <c r="G65" s="117">
        <f>IF(ISERROR(VLOOKUP($A65,ESPNData!$AX:$BK,11,0)),"",VLOOKUP($A65,ESPNData!$AX:$BK,11,0))</f>
        <v>0</v>
      </c>
      <c r="H65" s="33">
        <f>IF(ISERROR(VLOOKUP($A65,ESPNData!$AX:$BK,12,0)),"",VLOOKUP($A65,ESPNData!$AX:$BK,12,0))</f>
        <v>0</v>
      </c>
      <c r="I65" s="64">
        <f>IF(ISERROR(VLOOKUP($A65,ESPNData!$AX:$BK,13,0)),"",VLOOKUP($A65,ESPNData!$AX:$BK,13,0))</f>
        <v>0</v>
      </c>
      <c r="J65" s="117">
        <f>IF(ISERROR(VLOOKUP($B65,SportslineData!$AM:$AT,3,0)),"",ROUND(VLOOKUP($B65,SportslineData!$AM:$AT,3,0),0))</f>
        <v>8</v>
      </c>
      <c r="K65" s="33">
        <f>IF(ISERROR(VLOOKUP($B65,SportslineData!$AM:$AT,4,0)),"",VLOOKUP($B65,SportslineData!$AM:$AT,4,0))</f>
        <v>77.5</v>
      </c>
      <c r="L65" s="33">
        <f>IF(ISERROR(VLOOKUP($B65,SportslineData!$AM:$AT,6,0)),"",ROUND(VLOOKUP($B65,SportslineData!$AM:$AT,6,0),0))</f>
        <v>1</v>
      </c>
      <c r="M65" s="64">
        <f>IF(ISERROR(VLOOKUP($B65,SportslineData!$AM:$AT,7,0)),"",ROUND(VLOOKUP($B65,SportslineData!$AM:$AT,7,0),0))</f>
        <v>0</v>
      </c>
      <c r="N65" s="117"/>
      <c r="O65" s="33"/>
      <c r="P65" s="38">
        <f>IF(ISERROR(ROUND((((ROUNDDOWN((E65/5),0)*Settings!$F$11)+(D65*Settings!$I$11))+(F65*Settings!$F$12)),1)),0,ROUND((((ROUNDDOWN((E65/5),0)*Settings!$F$11)+(D65*Settings!$I$11))+(F65*Settings!$F$12)),1))</f>
        <v>48.5</v>
      </c>
      <c r="Q65" s="38">
        <f>IF(ISERROR(ROUND((((ROUNDDOWN((H65/5),0)*Settings!$F$11)+(G65*Settings!$I$11))+(I65*Settings!$F$12)),1)),0,ROUND((((ROUNDDOWN((H65/5),0)*Settings!$F$11)+(G65*Settings!$I$11))+(I65*Settings!$F$12)),1))</f>
        <v>0</v>
      </c>
      <c r="R65" s="38">
        <f>IF((J65=""),0,((((J65*Settings!$I$11)+(ROUND((K65/5),0)*Settings!$F$11))+(L65*Settings!$F$12))+(M65*Settings!$F$15)))</f>
        <v>18</v>
      </c>
      <c r="S65" s="66">
        <f>ROUND((((P65*Settings!$B$21)+(Q65*Settings!$B$22))+(R65*Settings!$B$23)),1)</f>
        <v>22.1</v>
      </c>
      <c r="T65" s="66">
        <f>IF(ISERROR(VLOOKUP(RANK(S65,S$4:S$182),T$4:T64,1,0)),RANK(S65,S$4:S$182),IF(ISERROR(VLOOKUP((RANK(S65,S$4:S$182)+1),T$4:T64,1,0)),(RANK(S65,S$4:S$182)+1),IF(ISERROR(VLOOKUP((RANK(S65,S$4:S$182)+2),T$4:T64,1,0)),(RANK(S65,S$4:S$182)+2),(RANK(S65,S$4:S$182)+3))))</f>
        <v>56</v>
      </c>
      <c r="U65" t="str">
        <f t="shared" si="5"/>
        <v>Kellen Davis</v>
      </c>
    </row>
    <row r="66" spans="1:21" ht="12.75" customHeight="1">
      <c r="A66" s="33" t="str">
        <f>ESPNData!AX67</f>
        <v>Mickey Shuler, Atl TE  P</v>
      </c>
      <c r="B66" s="33" t="str">
        <f t="shared" si="3"/>
        <v>Mickey Shuler</v>
      </c>
      <c r="C66" s="64" t="str">
        <f t="shared" si="4"/>
        <v>ATL</v>
      </c>
      <c r="D66" s="117" t="str">
        <f>IF(ISERROR(VLOOKUP($B66,FFTodayData!$AN:$AT,4,0)),"",VLOOKUP($B66,FFTodayData!$AN:$AT,4,0))</f>
        <v/>
      </c>
      <c r="E66" s="33" t="str">
        <f>IF(ISERROR(VLOOKUP($B66,FFTodayData!$AN:$AT,5,0)),"",VLOOKUP($B66,FFTodayData!$AN:$AT,5,0))</f>
        <v/>
      </c>
      <c r="F66" s="64" t="str">
        <f>IF(ISERROR(VLOOKUP($B66,FFTodayData!$AN:$AT,6,0)),"",VLOOKUP($B66,FFTodayData!$AN:$AT,6,0))</f>
        <v/>
      </c>
      <c r="G66" s="117">
        <f>IF(ISERROR(VLOOKUP($A66,ESPNData!$AX:$BK,11,0)),"",VLOOKUP($A66,ESPNData!$AX:$BK,11,0))</f>
        <v>0</v>
      </c>
      <c r="H66" s="33">
        <f>IF(ISERROR(VLOOKUP($A66,ESPNData!$AX:$BK,12,0)),"",VLOOKUP($A66,ESPNData!$AX:$BK,12,0))</f>
        <v>0</v>
      </c>
      <c r="I66" s="64">
        <f>IF(ISERROR(VLOOKUP($A66,ESPNData!$AX:$BK,13,0)),"",VLOOKUP($A66,ESPNData!$AX:$BK,13,0))</f>
        <v>0</v>
      </c>
      <c r="J66" s="117">
        <f>IF(ISERROR(VLOOKUP($B66,SportslineData!$AM:$AT,3,0)),"",ROUND(VLOOKUP($B66,SportslineData!$AM:$AT,3,0),0))</f>
        <v>5</v>
      </c>
      <c r="K66" s="33">
        <f>IF(ISERROR(VLOOKUP($B66,SportslineData!$AM:$AT,4,0)),"",VLOOKUP($B66,SportslineData!$AM:$AT,4,0))</f>
        <v>49</v>
      </c>
      <c r="L66" s="33">
        <f>IF(ISERROR(VLOOKUP($B66,SportslineData!$AM:$AT,6,0)),"",ROUND(VLOOKUP($B66,SportslineData!$AM:$AT,6,0),0))</f>
        <v>0</v>
      </c>
      <c r="M66" s="64">
        <f>IF(ISERROR(VLOOKUP($B66,SportslineData!$AM:$AT,7,0)),"",ROUND(VLOOKUP($B66,SportslineData!$AM:$AT,7,0),0))</f>
        <v>0</v>
      </c>
      <c r="N66" s="117"/>
      <c r="O66" s="33"/>
      <c r="P66" s="38">
        <f>IF(ISERROR(ROUND((((ROUNDDOWN((E66/5),0)*Settings!$F$11)+(D66*Settings!$I$11))+(F66*Settings!$F$12)),1)),0,ROUND((((ROUNDDOWN((E66/5),0)*Settings!$F$11)+(D66*Settings!$I$11))+(F66*Settings!$F$12)),1))</f>
        <v>0</v>
      </c>
      <c r="Q66" s="38">
        <f>IF(ISERROR(ROUND((((ROUNDDOWN((H66/5),0)*Settings!$F$11)+(G66*Settings!$I$11))+(I66*Settings!$F$12)),1)),0,ROUND((((ROUNDDOWN((H66/5),0)*Settings!$F$11)+(G66*Settings!$I$11))+(I66*Settings!$F$12)),1))</f>
        <v>0</v>
      </c>
      <c r="R66" s="38">
        <f>IF((J66=""),0,((((J66*Settings!$I$11)+(ROUND((K66/5),0)*Settings!$F$11))+(L66*Settings!$F$12))+(M66*Settings!$F$15)))</f>
        <v>7.5</v>
      </c>
      <c r="S66" s="66">
        <f>ROUND((((P66*Settings!$B$21)+(Q66*Settings!$B$22))+(R66*Settings!$B$23)),1)</f>
        <v>2.6</v>
      </c>
      <c r="T66" s="66">
        <f>IF(ISERROR(VLOOKUP(RANK(S66,S$4:S$182),T$4:T65,1,0)),RANK(S66,S$4:S$182),IF(ISERROR(VLOOKUP((RANK(S66,S$4:S$182)+1),T$4:T65,1,0)),(RANK(S66,S$4:S$182)+1),IF(ISERROR(VLOOKUP((RANK(S66,S$4:S$182)+2),T$4:T65,1,0)),(RANK(S66,S$4:S$182)+2),(RANK(S66,S$4:S$182)+3))))</f>
        <v>81</v>
      </c>
      <c r="U66" t="str">
        <f t="shared" si="5"/>
        <v>Mickey Shuler</v>
      </c>
    </row>
    <row r="67" spans="1:21" ht="12.75" customHeight="1">
      <c r="A67" s="33" t="str">
        <f>ESPNData!AX68</f>
        <v>Gary Barnidge, Cle TE</v>
      </c>
      <c r="B67" s="33" t="str">
        <f t="shared" si="3"/>
        <v>Gary Barnidge</v>
      </c>
      <c r="C67" s="64" t="str">
        <f t="shared" si="4"/>
        <v>CLE</v>
      </c>
      <c r="D67" s="117">
        <f>IF(ISERROR(VLOOKUP($B67,FFTodayData!$AN:$AT,4,0)),"",VLOOKUP($B67,FFTodayData!$AN:$AT,4,0))</f>
        <v>14</v>
      </c>
      <c r="E67" s="33">
        <f>IF(ISERROR(VLOOKUP($B67,FFTodayData!$AN:$AT,5,0)),"",VLOOKUP($B67,FFTodayData!$AN:$AT,5,0))</f>
        <v>150</v>
      </c>
      <c r="F67" s="64">
        <f>IF(ISERROR(VLOOKUP($B67,FFTodayData!$AN:$AT,6,0)),"",VLOOKUP($B67,FFTodayData!$AN:$AT,6,0))</f>
        <v>0</v>
      </c>
      <c r="G67" s="117">
        <f>IF(ISERROR(VLOOKUP($A67,ESPNData!$AX:$BK,11,0)),"",VLOOKUP($A67,ESPNData!$AX:$BK,11,0))</f>
        <v>0</v>
      </c>
      <c r="H67" s="33">
        <f>IF(ISERROR(VLOOKUP($A67,ESPNData!$AX:$BK,12,0)),"",VLOOKUP($A67,ESPNData!$AX:$BK,12,0))</f>
        <v>0</v>
      </c>
      <c r="I67" s="64">
        <f>IF(ISERROR(VLOOKUP($A67,ESPNData!$AX:$BK,13,0)),"",VLOOKUP($A67,ESPNData!$AX:$BK,13,0))</f>
        <v>0</v>
      </c>
      <c r="J67" s="117">
        <f>IF(ISERROR(VLOOKUP($B67,SportslineData!$AM:$AT,3,0)),"",ROUND(VLOOKUP($B67,SportslineData!$AM:$AT,3,0),0))</f>
        <v>16</v>
      </c>
      <c r="K67" s="33">
        <f>IF(ISERROR(VLOOKUP($B67,SportslineData!$AM:$AT,4,0)),"",VLOOKUP($B67,SportslineData!$AM:$AT,4,0))</f>
        <v>148</v>
      </c>
      <c r="L67" s="33">
        <f>IF(ISERROR(VLOOKUP($B67,SportslineData!$AM:$AT,6,0)),"",ROUND(VLOOKUP($B67,SportslineData!$AM:$AT,6,0),0))</f>
        <v>1</v>
      </c>
      <c r="M67" s="64">
        <f>IF(ISERROR(VLOOKUP($B67,SportslineData!$AM:$AT,7,0)),"",ROUND(VLOOKUP($B67,SportslineData!$AM:$AT,7,0),0))</f>
        <v>0</v>
      </c>
      <c r="N67" s="117"/>
      <c r="O67" s="33"/>
      <c r="P67" s="38">
        <f>IF(ISERROR(ROUND((((ROUNDDOWN((E67/5),0)*Settings!$F$11)+(D67*Settings!$I$11))+(F67*Settings!$F$12)),1)),0,ROUND((((ROUNDDOWN((E67/5),0)*Settings!$F$11)+(D67*Settings!$I$11))+(F67*Settings!$F$12)),1))</f>
        <v>22</v>
      </c>
      <c r="Q67" s="38">
        <f>IF(ISERROR(ROUND((((ROUNDDOWN((H67/5),0)*Settings!$F$11)+(G67*Settings!$I$11))+(I67*Settings!$F$12)),1)),0,ROUND((((ROUNDDOWN((H67/5),0)*Settings!$F$11)+(G67*Settings!$I$11))+(I67*Settings!$F$12)),1))</f>
        <v>0</v>
      </c>
      <c r="R67" s="38">
        <f>IF((J67=""),0,((((J67*Settings!$I$11)+(ROUND((K67/5),0)*Settings!$F$11))+(L67*Settings!$F$12))+(M67*Settings!$F$15)))</f>
        <v>29</v>
      </c>
      <c r="S67" s="66">
        <f>ROUND((((P67*Settings!$B$21)+(Q67*Settings!$B$22))+(R67*Settings!$B$23)),1)</f>
        <v>17.100000000000001</v>
      </c>
      <c r="T67" s="66">
        <f>IF(ISERROR(VLOOKUP(RANK(S67,S$4:S$182),T$4:T66,1,0)),RANK(S67,S$4:S$182),IF(ISERROR(VLOOKUP((RANK(S67,S$4:S$182)+1),T$4:T66,1,0)),(RANK(S67,S$4:S$182)+1),IF(ISERROR(VLOOKUP((RANK(S67,S$4:S$182)+2),T$4:T66,1,0)),(RANK(S67,S$4:S$182)+2),(RANK(S67,S$4:S$182)+3))))</f>
        <v>59</v>
      </c>
      <c r="U67" t="str">
        <f t="shared" si="5"/>
        <v>Gary Barnidge</v>
      </c>
    </row>
    <row r="68" spans="1:21" ht="12.75" customHeight="1">
      <c r="A68" s="33" t="str">
        <f>ESPNData!AX69</f>
        <v>Michael Palmer, Pit TE</v>
      </c>
      <c r="B68" s="33" t="str">
        <f t="shared" ref="B68:B99" si="6">IF(OR((A68=""),(A68=0)),"",IF(ISERROR(FIND("*",A68)),LEFT(A68,(FIND(",",A68)-1)),LEFT(A68,(FIND("*",A68)-1))))</f>
        <v>Michael Palmer</v>
      </c>
      <c r="C68" s="64" t="str">
        <f t="shared" ref="C68:C99" si="7">IF((A68=""),"",UPPER(RIGHT(LEFT(A68,(FIND("TE",A68)-2)),(LEN(LEFT(A68,(FIND("TE",A68)-2)))-(FIND(",",LEFT(A68,(FIND("TE",A68)-2)))+1)))))</f>
        <v>PIT</v>
      </c>
      <c r="D68" s="117">
        <f>IF(ISERROR(VLOOKUP($B68,FFTodayData!$AN:$AT,4,0)),"",VLOOKUP($B68,FFTodayData!$AN:$AT,4,0))</f>
        <v>8</v>
      </c>
      <c r="E68" s="33">
        <f>IF(ISERROR(VLOOKUP($B68,FFTodayData!$AN:$AT,5,0)),"",VLOOKUP($B68,FFTodayData!$AN:$AT,5,0))</f>
        <v>77</v>
      </c>
      <c r="F68" s="64">
        <f>IF(ISERROR(VLOOKUP($B68,FFTodayData!$AN:$AT,6,0)),"",VLOOKUP($B68,FFTodayData!$AN:$AT,6,0))</f>
        <v>0</v>
      </c>
      <c r="G68" s="117">
        <f>IF(ISERROR(VLOOKUP($A68,ESPNData!$AX:$BK,11,0)),"",VLOOKUP($A68,ESPNData!$AX:$BK,11,0))</f>
        <v>0</v>
      </c>
      <c r="H68" s="33">
        <f>IF(ISERROR(VLOOKUP($A68,ESPNData!$AX:$BK,12,0)),"",VLOOKUP($A68,ESPNData!$AX:$BK,12,0))</f>
        <v>0</v>
      </c>
      <c r="I68" s="64">
        <f>IF(ISERROR(VLOOKUP($A68,ESPNData!$AX:$BK,13,0)),"",VLOOKUP($A68,ESPNData!$AX:$BK,13,0))</f>
        <v>0</v>
      </c>
      <c r="J68" s="117" t="str">
        <f>IF(ISERROR(VLOOKUP($B68,SportslineData!$AM:$AT,3,0)),"",ROUND(VLOOKUP($B68,SportslineData!$AM:$AT,3,0),0))</f>
        <v/>
      </c>
      <c r="K68" s="33" t="str">
        <f>IF(ISERROR(VLOOKUP($B68,SportslineData!$AM:$AT,4,0)),"",VLOOKUP($B68,SportslineData!$AM:$AT,4,0))</f>
        <v/>
      </c>
      <c r="L68" s="33" t="str">
        <f>IF(ISERROR(VLOOKUP($B68,SportslineData!$AM:$AT,6,0)),"",ROUND(VLOOKUP($B68,SportslineData!$AM:$AT,6,0),0))</f>
        <v/>
      </c>
      <c r="M68" s="64" t="str">
        <f>IF(ISERROR(VLOOKUP($B68,SportslineData!$AM:$AT,7,0)),"",ROUND(VLOOKUP($B68,SportslineData!$AM:$AT,7,0),0))</f>
        <v/>
      </c>
      <c r="N68" s="117"/>
      <c r="O68" s="33"/>
      <c r="P68" s="38">
        <f>IF(ISERROR(ROUND((((ROUNDDOWN((E68/5),0)*Settings!$F$11)+(D68*Settings!$I$11))+(F68*Settings!$F$12)),1)),0,ROUND((((ROUNDDOWN((E68/5),0)*Settings!$F$11)+(D68*Settings!$I$11))+(F68*Settings!$F$12)),1))</f>
        <v>11.5</v>
      </c>
      <c r="Q68" s="38">
        <f>IF(ISERROR(ROUND((((ROUNDDOWN((H68/5),0)*Settings!$F$11)+(G68*Settings!$I$11))+(I68*Settings!$F$12)),1)),0,ROUND((((ROUNDDOWN((H68/5),0)*Settings!$F$11)+(G68*Settings!$I$11))+(I68*Settings!$F$12)),1))</f>
        <v>0</v>
      </c>
      <c r="R68" s="38">
        <f>IF((J68=""),0,((((J68*Settings!$I$11)+(ROUND((K68/5),0)*Settings!$F$11))+(L68*Settings!$F$12))+(M68*Settings!$F$15)))</f>
        <v>0</v>
      </c>
      <c r="S68" s="66">
        <f>ROUND((((P68*Settings!$B$21)+(Q68*Settings!$B$22))+(R68*Settings!$B$23)),1)</f>
        <v>3.8</v>
      </c>
      <c r="T68" s="66">
        <f>IF(ISERROR(VLOOKUP(RANK(S68,S$4:S$182),T$4:T67,1,0)),RANK(S68,S$4:S$182),IF(ISERROR(VLOOKUP((RANK(S68,S$4:S$182)+1),T$4:T67,1,0)),(RANK(S68,S$4:S$182)+1),IF(ISERROR(VLOOKUP((RANK(S68,S$4:S$182)+2),T$4:T67,1,0)),(RANK(S68,S$4:S$182)+2),(RANK(S68,S$4:S$182)+3))))</f>
        <v>79</v>
      </c>
      <c r="U68" t="str">
        <f t="shared" ref="U68:U99" si="8">B68</f>
        <v>Michael Palmer</v>
      </c>
    </row>
    <row r="69" spans="1:21" ht="12.75" customHeight="1">
      <c r="A69" s="33" t="str">
        <f>ESPNData!AX70</f>
        <v>Logan Paulsen, Wsh TE</v>
      </c>
      <c r="B69" s="33" t="str">
        <f t="shared" si="6"/>
        <v>Logan Paulsen</v>
      </c>
      <c r="C69" s="64" t="str">
        <f t="shared" si="7"/>
        <v>WSH</v>
      </c>
      <c r="D69" s="117" t="str">
        <f>IF(ISERROR(VLOOKUP($B69,FFTodayData!$AN:$AT,4,0)),"",VLOOKUP($B69,FFTodayData!$AN:$AT,4,0))</f>
        <v/>
      </c>
      <c r="E69" s="33" t="str">
        <f>IF(ISERROR(VLOOKUP($B69,FFTodayData!$AN:$AT,5,0)),"",VLOOKUP($B69,FFTodayData!$AN:$AT,5,0))</f>
        <v/>
      </c>
      <c r="F69" s="64" t="str">
        <f>IF(ISERROR(VLOOKUP($B69,FFTodayData!$AN:$AT,6,0)),"",VLOOKUP($B69,FFTodayData!$AN:$AT,6,0))</f>
        <v/>
      </c>
      <c r="G69" s="117">
        <f>IF(ISERROR(VLOOKUP($A69,ESPNData!$AX:$BK,11,0)),"",VLOOKUP($A69,ESPNData!$AX:$BK,11,0))</f>
        <v>0</v>
      </c>
      <c r="H69" s="33">
        <f>IF(ISERROR(VLOOKUP($A69,ESPNData!$AX:$BK,12,0)),"",VLOOKUP($A69,ESPNData!$AX:$BK,12,0))</f>
        <v>0</v>
      </c>
      <c r="I69" s="64">
        <f>IF(ISERROR(VLOOKUP($A69,ESPNData!$AX:$BK,13,0)),"",VLOOKUP($A69,ESPNData!$AX:$BK,13,0))</f>
        <v>0</v>
      </c>
      <c r="J69" s="117">
        <f>IF(ISERROR(VLOOKUP($B69,SportslineData!$AM:$AT,3,0)),"",ROUND(VLOOKUP($B69,SportslineData!$AM:$AT,3,0),0))</f>
        <v>19</v>
      </c>
      <c r="K69" s="33">
        <f>IF(ISERROR(VLOOKUP($B69,SportslineData!$AM:$AT,4,0)),"",VLOOKUP($B69,SportslineData!$AM:$AT,4,0))</f>
        <v>208</v>
      </c>
      <c r="L69" s="33">
        <f>IF(ISERROR(VLOOKUP($B69,SportslineData!$AM:$AT,6,0)),"",ROUND(VLOOKUP($B69,SportslineData!$AM:$AT,6,0),0))</f>
        <v>1</v>
      </c>
      <c r="M69" s="64">
        <f>IF(ISERROR(VLOOKUP($B69,SportslineData!$AM:$AT,7,0)),"",ROUND(VLOOKUP($B69,SportslineData!$AM:$AT,7,0),0))</f>
        <v>0</v>
      </c>
      <c r="N69" s="117"/>
      <c r="O69" s="33"/>
      <c r="P69" s="38">
        <f>IF(ISERROR(ROUND((((ROUNDDOWN((E69/5),0)*Settings!$F$11)+(D69*Settings!$I$11))+(F69*Settings!$F$12)),1)),0,ROUND((((ROUNDDOWN((E69/5),0)*Settings!$F$11)+(D69*Settings!$I$11))+(F69*Settings!$F$12)),1))</f>
        <v>0</v>
      </c>
      <c r="Q69" s="38">
        <f>IF(ISERROR(ROUND((((ROUNDDOWN((H69/5),0)*Settings!$F$11)+(G69*Settings!$I$11))+(I69*Settings!$F$12)),1)),0,ROUND((((ROUNDDOWN((H69/5),0)*Settings!$F$11)+(G69*Settings!$I$11))+(I69*Settings!$F$12)),1))</f>
        <v>0</v>
      </c>
      <c r="R69" s="38">
        <f>IF((J69=""),0,((((J69*Settings!$I$11)+(ROUND((K69/5),0)*Settings!$F$11))+(L69*Settings!$F$12))+(M69*Settings!$F$15)))</f>
        <v>36.5</v>
      </c>
      <c r="S69" s="66">
        <f>ROUND((((P69*Settings!$B$21)+(Q69*Settings!$B$22))+(R69*Settings!$B$23)),1)</f>
        <v>12.4</v>
      </c>
      <c r="T69" s="66">
        <f>IF(ISERROR(VLOOKUP(RANK(S69,S$4:S$182),T$4:T68,1,0)),RANK(S69,S$4:S$182),IF(ISERROR(VLOOKUP((RANK(S69,S$4:S$182)+1),T$4:T68,1,0)),(RANK(S69,S$4:S$182)+1),IF(ISERROR(VLOOKUP((RANK(S69,S$4:S$182)+2),T$4:T68,1,0)),(RANK(S69,S$4:S$182)+2),(RANK(S69,S$4:S$182)+3))))</f>
        <v>65</v>
      </c>
      <c r="U69" t="str">
        <f t="shared" si="8"/>
        <v>Logan Paulsen</v>
      </c>
    </row>
    <row r="70" spans="1:21" ht="12.75" customHeight="1">
      <c r="A70" s="33" t="str">
        <f>ESPNData!AX71</f>
        <v>Adrien Robinson, NYG TE</v>
      </c>
      <c r="B70" s="33" t="str">
        <f t="shared" si="6"/>
        <v>Adrien Robinson</v>
      </c>
      <c r="C70" s="64" t="str">
        <f t="shared" si="7"/>
        <v>NYG</v>
      </c>
      <c r="D70" s="117">
        <f>IF(ISERROR(VLOOKUP($B70,FFTodayData!$AN:$AT,4,0)),"",VLOOKUP($B70,FFTodayData!$AN:$AT,4,0))</f>
        <v>28</v>
      </c>
      <c r="E70" s="33">
        <f>IF(ISERROR(VLOOKUP($B70,FFTodayData!$AN:$AT,5,0)),"",VLOOKUP($B70,FFTodayData!$AN:$AT,5,0))</f>
        <v>324</v>
      </c>
      <c r="F70" s="64">
        <f>IF(ISERROR(VLOOKUP($B70,FFTodayData!$AN:$AT,6,0)),"",VLOOKUP($B70,FFTodayData!$AN:$AT,6,0))</f>
        <v>2</v>
      </c>
      <c r="G70" s="117">
        <f>IF(ISERROR(VLOOKUP($A70,ESPNData!$AX:$BK,11,0)),"",VLOOKUP($A70,ESPNData!$AX:$BK,11,0))</f>
        <v>0</v>
      </c>
      <c r="H70" s="33">
        <f>IF(ISERROR(VLOOKUP($A70,ESPNData!$AX:$BK,12,0)),"",VLOOKUP($A70,ESPNData!$AX:$BK,12,0))</f>
        <v>0</v>
      </c>
      <c r="I70" s="64">
        <f>IF(ISERROR(VLOOKUP($A70,ESPNData!$AX:$BK,13,0)),"",VLOOKUP($A70,ESPNData!$AX:$BK,13,0))</f>
        <v>0</v>
      </c>
      <c r="J70" s="117">
        <f>IF(ISERROR(VLOOKUP($B70,SportslineData!$AM:$AT,3,0)),"",ROUND(VLOOKUP($B70,SportslineData!$AM:$AT,3,0),0))</f>
        <v>32</v>
      </c>
      <c r="K70" s="33">
        <f>IF(ISERROR(VLOOKUP($B70,SportslineData!$AM:$AT,4,0)),"",VLOOKUP($B70,SportslineData!$AM:$AT,4,0))</f>
        <v>424.5</v>
      </c>
      <c r="L70" s="33">
        <f>IF(ISERROR(VLOOKUP($B70,SportslineData!$AM:$AT,6,0)),"",ROUND(VLOOKUP($B70,SportslineData!$AM:$AT,6,0),0))</f>
        <v>3</v>
      </c>
      <c r="M70" s="64">
        <f>IF(ISERROR(VLOOKUP($B70,SportslineData!$AM:$AT,7,0)),"",ROUND(VLOOKUP($B70,SportslineData!$AM:$AT,7,0),0))</f>
        <v>0</v>
      </c>
      <c r="N70" s="117"/>
      <c r="O70" s="33"/>
      <c r="P70" s="38">
        <f>IF(ISERROR(ROUND((((ROUNDDOWN((E70/5),0)*Settings!$F$11)+(D70*Settings!$I$11))+(F70*Settings!$F$12)),1)),0,ROUND((((ROUNDDOWN((E70/5),0)*Settings!$F$11)+(D70*Settings!$I$11))+(F70*Settings!$F$12)),1))</f>
        <v>58</v>
      </c>
      <c r="Q70" s="38">
        <f>IF(ISERROR(ROUND((((ROUNDDOWN((H70/5),0)*Settings!$F$11)+(G70*Settings!$I$11))+(I70*Settings!$F$12)),1)),0,ROUND((((ROUNDDOWN((H70/5),0)*Settings!$F$11)+(G70*Settings!$I$11))+(I70*Settings!$F$12)),1))</f>
        <v>0</v>
      </c>
      <c r="R70" s="38">
        <f>IF((J70=""),0,((((J70*Settings!$I$11)+(ROUND((K70/5),0)*Settings!$F$11))+(L70*Settings!$F$12))+(M70*Settings!$F$15)))</f>
        <v>76.5</v>
      </c>
      <c r="S70" s="66">
        <f>ROUND((((P70*Settings!$B$21)+(Q70*Settings!$B$22))+(R70*Settings!$B$23)),1)</f>
        <v>45.2</v>
      </c>
      <c r="T70" s="66">
        <f>IF(ISERROR(VLOOKUP(RANK(S70,S$4:S$182),T$4:T69,1,0)),RANK(S70,S$4:S$182),IF(ISERROR(VLOOKUP((RANK(S70,S$4:S$182)+1),T$4:T69,1,0)),(RANK(S70,S$4:S$182)+1),IF(ISERROR(VLOOKUP((RANK(S70,S$4:S$182)+2),T$4:T69,1,0)),(RANK(S70,S$4:S$182)+2),(RANK(S70,S$4:S$182)+3))))</f>
        <v>40</v>
      </c>
      <c r="U70" t="str">
        <f t="shared" si="8"/>
        <v>Adrien Robinson</v>
      </c>
    </row>
    <row r="71" spans="1:21" ht="12.75" customHeight="1">
      <c r="A71" s="33" t="str">
        <f>ESPNData!AX72</f>
        <v>James Casey, Phi TE</v>
      </c>
      <c r="B71" s="33" t="str">
        <f t="shared" si="6"/>
        <v>James Casey</v>
      </c>
      <c r="C71" s="64" t="str">
        <f t="shared" si="7"/>
        <v>PHI</v>
      </c>
      <c r="D71" s="117">
        <f>IF(ISERROR(VLOOKUP($B71,FFTodayData!$AN:$AT,4,0)),"",VLOOKUP($B71,FFTodayData!$AN:$AT,4,0))</f>
        <v>6</v>
      </c>
      <c r="E71" s="33">
        <f>IF(ISERROR(VLOOKUP($B71,FFTodayData!$AN:$AT,5,0)),"",VLOOKUP($B71,FFTodayData!$AN:$AT,5,0))</f>
        <v>72</v>
      </c>
      <c r="F71" s="64">
        <f>IF(ISERROR(VLOOKUP($B71,FFTodayData!$AN:$AT,6,0)),"",VLOOKUP($B71,FFTodayData!$AN:$AT,6,0))</f>
        <v>1</v>
      </c>
      <c r="G71" s="117">
        <f>IF(ISERROR(VLOOKUP($A71,ESPNData!$AX:$BK,11,0)),"",VLOOKUP($A71,ESPNData!$AX:$BK,11,0))</f>
        <v>0</v>
      </c>
      <c r="H71" s="33">
        <f>IF(ISERROR(VLOOKUP($A71,ESPNData!$AX:$BK,12,0)),"",VLOOKUP($A71,ESPNData!$AX:$BK,12,0))</f>
        <v>0</v>
      </c>
      <c r="I71" s="64">
        <f>IF(ISERROR(VLOOKUP($A71,ESPNData!$AX:$BK,13,0)),"",VLOOKUP($A71,ESPNData!$AX:$BK,13,0))</f>
        <v>0</v>
      </c>
      <c r="J71" s="117">
        <f>IF(ISERROR(VLOOKUP($B71,SportslineData!$AM:$AT,3,0)),"",ROUND(VLOOKUP($B71,SportslineData!$AM:$AT,3,0),0))</f>
        <v>11</v>
      </c>
      <c r="K71" s="33">
        <f>IF(ISERROR(VLOOKUP($B71,SportslineData!$AM:$AT,4,0)),"",VLOOKUP($B71,SportslineData!$AM:$AT,4,0))</f>
        <v>130</v>
      </c>
      <c r="L71" s="33">
        <f>IF(ISERROR(VLOOKUP($B71,SportslineData!$AM:$AT,6,0)),"",ROUND(VLOOKUP($B71,SportslineData!$AM:$AT,6,0),0))</f>
        <v>1</v>
      </c>
      <c r="M71" s="64">
        <f>IF(ISERROR(VLOOKUP($B71,SportslineData!$AM:$AT,7,0)),"",ROUND(VLOOKUP($B71,SportslineData!$AM:$AT,7,0),0))</f>
        <v>0</v>
      </c>
      <c r="N71" s="117"/>
      <c r="O71" s="33"/>
      <c r="P71" s="38">
        <f>IF(ISERROR(ROUND((((ROUNDDOWN((E71/5),0)*Settings!$F$11)+(D71*Settings!$I$11))+(F71*Settings!$F$12)),1)),0,ROUND((((ROUNDDOWN((E71/5),0)*Settings!$F$11)+(D71*Settings!$I$11))+(F71*Settings!$F$12)),1))</f>
        <v>16</v>
      </c>
      <c r="Q71" s="38">
        <f>IF(ISERROR(ROUND((((ROUNDDOWN((H71/5),0)*Settings!$F$11)+(G71*Settings!$I$11))+(I71*Settings!$F$12)),1)),0,ROUND((((ROUNDDOWN((H71/5),0)*Settings!$F$11)+(G71*Settings!$I$11))+(I71*Settings!$F$12)),1))</f>
        <v>0</v>
      </c>
      <c r="R71" s="38">
        <f>IF((J71=""),0,((((J71*Settings!$I$11)+(ROUND((K71/5),0)*Settings!$F$11))+(L71*Settings!$F$12))+(M71*Settings!$F$15)))</f>
        <v>24.5</v>
      </c>
      <c r="S71" s="66">
        <f>ROUND((((P71*Settings!$B$21)+(Q71*Settings!$B$22))+(R71*Settings!$B$23)),1)</f>
        <v>13.6</v>
      </c>
      <c r="T71" s="66">
        <f>IF(ISERROR(VLOOKUP(RANK(S71,S$4:S$182),T$4:T70,1,0)),RANK(S71,S$4:S$182),IF(ISERROR(VLOOKUP((RANK(S71,S$4:S$182)+1),T$4:T70,1,0)),(RANK(S71,S$4:S$182)+1),IF(ISERROR(VLOOKUP((RANK(S71,S$4:S$182)+2),T$4:T70,1,0)),(RANK(S71,S$4:S$182)+2),(RANK(S71,S$4:S$182)+3))))</f>
        <v>63</v>
      </c>
      <c r="U71" t="str">
        <f t="shared" si="8"/>
        <v>James Casey</v>
      </c>
    </row>
    <row r="72" spans="1:21" ht="12.75" customHeight="1">
      <c r="A72" s="33" t="str">
        <f>ESPNData!AX73</f>
        <v>Michael Higgins, Min TE</v>
      </c>
      <c r="B72" s="33" t="str">
        <f t="shared" si="6"/>
        <v>Michael Higgins</v>
      </c>
      <c r="C72" s="64" t="str">
        <f t="shared" si="7"/>
        <v>MIN</v>
      </c>
      <c r="D72" s="117" t="str">
        <f>IF(ISERROR(VLOOKUP($B72,FFTodayData!$AN:$AT,4,0)),"",VLOOKUP($B72,FFTodayData!$AN:$AT,4,0))</f>
        <v/>
      </c>
      <c r="E72" s="33" t="str">
        <f>IF(ISERROR(VLOOKUP($B72,FFTodayData!$AN:$AT,5,0)),"",VLOOKUP($B72,FFTodayData!$AN:$AT,5,0))</f>
        <v/>
      </c>
      <c r="F72" s="64" t="str">
        <f>IF(ISERROR(VLOOKUP($B72,FFTodayData!$AN:$AT,6,0)),"",VLOOKUP($B72,FFTodayData!$AN:$AT,6,0))</f>
        <v/>
      </c>
      <c r="G72" s="117">
        <f>IF(ISERROR(VLOOKUP($A72,ESPNData!$AX:$BK,11,0)),"",VLOOKUP($A72,ESPNData!$AX:$BK,11,0))</f>
        <v>0</v>
      </c>
      <c r="H72" s="33">
        <f>IF(ISERROR(VLOOKUP($A72,ESPNData!$AX:$BK,12,0)),"",VLOOKUP($A72,ESPNData!$AX:$BK,12,0))</f>
        <v>0</v>
      </c>
      <c r="I72" s="64">
        <f>IF(ISERROR(VLOOKUP($A72,ESPNData!$AX:$BK,13,0)),"",VLOOKUP($A72,ESPNData!$AX:$BK,13,0))</f>
        <v>0</v>
      </c>
      <c r="J72" s="117" t="str">
        <f>IF(ISERROR(VLOOKUP($B72,SportslineData!$AM:$AT,3,0)),"",ROUND(VLOOKUP($B72,SportslineData!$AM:$AT,3,0),0))</f>
        <v/>
      </c>
      <c r="K72" s="33" t="str">
        <f>IF(ISERROR(VLOOKUP($B72,SportslineData!$AM:$AT,4,0)),"",VLOOKUP($B72,SportslineData!$AM:$AT,4,0))</f>
        <v/>
      </c>
      <c r="L72" s="33" t="str">
        <f>IF(ISERROR(VLOOKUP($B72,SportslineData!$AM:$AT,6,0)),"",ROUND(VLOOKUP($B72,SportslineData!$AM:$AT,6,0),0))</f>
        <v/>
      </c>
      <c r="M72" s="64" t="str">
        <f>IF(ISERROR(VLOOKUP($B72,SportslineData!$AM:$AT,7,0)),"",ROUND(VLOOKUP($B72,SportslineData!$AM:$AT,7,0),0))</f>
        <v/>
      </c>
      <c r="N72" s="117"/>
      <c r="O72" s="33"/>
      <c r="P72" s="38">
        <f>IF(ISERROR(ROUND((((ROUNDDOWN((E72/5),0)*Settings!$F$11)+(D72*Settings!$I$11))+(F72*Settings!$F$12)),1)),0,ROUND((((ROUNDDOWN((E72/5),0)*Settings!$F$11)+(D72*Settings!$I$11))+(F72*Settings!$F$12)),1))</f>
        <v>0</v>
      </c>
      <c r="Q72" s="38">
        <f>IF(ISERROR(ROUND((((ROUNDDOWN((H72/5),0)*Settings!$F$11)+(G72*Settings!$I$11))+(I72*Settings!$F$12)),1)),0,ROUND((((ROUNDDOWN((H72/5),0)*Settings!$F$11)+(G72*Settings!$I$11))+(I72*Settings!$F$12)),1))</f>
        <v>0</v>
      </c>
      <c r="R72" s="38">
        <f>IF((J72=""),0,((((J72*Settings!$I$11)+(ROUND((K72/5),0)*Settings!$F$11))+(L72*Settings!$F$12))+(M72*Settings!$F$15)))</f>
        <v>0</v>
      </c>
      <c r="S72" s="66">
        <f>ROUND((((P72*Settings!$B$21)+(Q72*Settings!$B$22))+(R72*Settings!$B$23)),1)</f>
        <v>0</v>
      </c>
      <c r="T72" s="66">
        <f>IF(ISERROR(VLOOKUP(RANK(S72,S$4:S$182),T$4:T71,1,0)),RANK(S72,S$4:S$182),IF(ISERROR(VLOOKUP((RANK(S72,S$4:S$182)+1),T$4:T71,1,0)),(RANK(S72,S$4:S$182)+1),IF(ISERROR(VLOOKUP((RANK(S72,S$4:S$182)+2),T$4:T71,1,0)),(RANK(S72,S$4:S$182)+2),(RANK(S72,S$4:S$182)+3))))</f>
        <v>84</v>
      </c>
      <c r="U72" t="str">
        <f t="shared" si="8"/>
        <v>Michael Higgins</v>
      </c>
    </row>
    <row r="73" spans="1:21" ht="12.75" customHeight="1">
      <c r="A73" s="33" t="str">
        <f>ESPNData!AX74</f>
        <v>Zach Sudfeld, NYJ TE</v>
      </c>
      <c r="B73" s="33" t="str">
        <f t="shared" si="6"/>
        <v>Zach Sudfeld</v>
      </c>
      <c r="C73" s="64" t="str">
        <f t="shared" si="7"/>
        <v>NYJ</v>
      </c>
      <c r="D73" s="117">
        <f>IF(ISERROR(VLOOKUP($B73,FFTodayData!$AN:$AT,4,0)),"",VLOOKUP($B73,FFTodayData!$AN:$AT,4,0))</f>
        <v>24</v>
      </c>
      <c r="E73" s="33">
        <f>IF(ISERROR(VLOOKUP($B73,FFTodayData!$AN:$AT,5,0)),"",VLOOKUP($B73,FFTodayData!$AN:$AT,5,0))</f>
        <v>256</v>
      </c>
      <c r="F73" s="64">
        <f>IF(ISERROR(VLOOKUP($B73,FFTodayData!$AN:$AT,6,0)),"",VLOOKUP($B73,FFTodayData!$AN:$AT,6,0))</f>
        <v>1</v>
      </c>
      <c r="G73" s="117">
        <f>IF(ISERROR(VLOOKUP($A73,ESPNData!$AX:$BK,11,0)),"",VLOOKUP($A73,ESPNData!$AX:$BK,11,0))</f>
        <v>0</v>
      </c>
      <c r="H73" s="33">
        <f>IF(ISERROR(VLOOKUP($A73,ESPNData!$AX:$BK,12,0)),"",VLOOKUP($A73,ESPNData!$AX:$BK,12,0))</f>
        <v>0</v>
      </c>
      <c r="I73" s="64">
        <f>IF(ISERROR(VLOOKUP($A73,ESPNData!$AX:$BK,13,0)),"",VLOOKUP($A73,ESPNData!$AX:$BK,13,0))</f>
        <v>0</v>
      </c>
      <c r="J73" s="117">
        <f>IF(ISERROR(VLOOKUP($B73,SportslineData!$AM:$AT,3,0)),"",ROUND(VLOOKUP($B73,SportslineData!$AM:$AT,3,0),0))</f>
        <v>17</v>
      </c>
      <c r="K73" s="33">
        <f>IF(ISERROR(VLOOKUP($B73,SportslineData!$AM:$AT,4,0)),"",VLOOKUP($B73,SportslineData!$AM:$AT,4,0))</f>
        <v>227.5</v>
      </c>
      <c r="L73" s="33">
        <f>IF(ISERROR(VLOOKUP($B73,SportslineData!$AM:$AT,6,0)),"",ROUND(VLOOKUP($B73,SportslineData!$AM:$AT,6,0),0))</f>
        <v>1</v>
      </c>
      <c r="M73" s="64">
        <f>IF(ISERROR(VLOOKUP($B73,SportslineData!$AM:$AT,7,0)),"",ROUND(VLOOKUP($B73,SportslineData!$AM:$AT,7,0),0))</f>
        <v>0</v>
      </c>
      <c r="N73" s="117"/>
      <c r="O73" s="33"/>
      <c r="P73" s="38">
        <f>IF(ISERROR(ROUND((((ROUNDDOWN((E73/5),0)*Settings!$F$11)+(D73*Settings!$I$11))+(F73*Settings!$F$12)),1)),0,ROUND((((ROUNDDOWN((E73/5),0)*Settings!$F$11)+(D73*Settings!$I$11))+(F73*Settings!$F$12)),1))</f>
        <v>43.5</v>
      </c>
      <c r="Q73" s="38">
        <f>IF(ISERROR(ROUND((((ROUNDDOWN((H73/5),0)*Settings!$F$11)+(G73*Settings!$I$11))+(I73*Settings!$F$12)),1)),0,ROUND((((ROUNDDOWN((H73/5),0)*Settings!$F$11)+(G73*Settings!$I$11))+(I73*Settings!$F$12)),1))</f>
        <v>0</v>
      </c>
      <c r="R73" s="38">
        <f>IF((J73=""),0,((((J73*Settings!$I$11)+(ROUND((K73/5),0)*Settings!$F$11))+(L73*Settings!$F$12))+(M73*Settings!$F$15)))</f>
        <v>37.5</v>
      </c>
      <c r="S73" s="66">
        <f>ROUND((((P73*Settings!$B$21)+(Q73*Settings!$B$22))+(R73*Settings!$B$23)),1)</f>
        <v>27.1</v>
      </c>
      <c r="T73" s="66">
        <f>IF(ISERROR(VLOOKUP(RANK(S73,S$4:S$182),T$4:T72,1,0)),RANK(S73,S$4:S$182),IF(ISERROR(VLOOKUP((RANK(S73,S$4:S$182)+1),T$4:T72,1,0)),(RANK(S73,S$4:S$182)+1),IF(ISERROR(VLOOKUP((RANK(S73,S$4:S$182)+2),T$4:T72,1,0)),(RANK(S73,S$4:S$182)+2),(RANK(S73,S$4:S$182)+3))))</f>
        <v>54</v>
      </c>
      <c r="U73" t="str">
        <f t="shared" si="8"/>
        <v>Zach Sudfeld</v>
      </c>
    </row>
    <row r="74" spans="1:21" ht="12.75" customHeight="1">
      <c r="A74" s="33" t="str">
        <f>ESPNData!AX75</f>
        <v>Dion Sims, Mia TE</v>
      </c>
      <c r="B74" s="33" t="str">
        <f t="shared" si="6"/>
        <v>Dion Sims</v>
      </c>
      <c r="C74" s="64" t="str">
        <f t="shared" si="7"/>
        <v>MIA</v>
      </c>
      <c r="D74" s="117" t="str">
        <f>IF(ISERROR(VLOOKUP($B74,FFTodayData!$AN:$AT,4,0)),"",VLOOKUP($B74,FFTodayData!$AN:$AT,4,0))</f>
        <v/>
      </c>
      <c r="E74" s="33" t="str">
        <f>IF(ISERROR(VLOOKUP($B74,FFTodayData!$AN:$AT,5,0)),"",VLOOKUP($B74,FFTodayData!$AN:$AT,5,0))</f>
        <v/>
      </c>
      <c r="F74" s="64" t="str">
        <f>IF(ISERROR(VLOOKUP($B74,FFTodayData!$AN:$AT,6,0)),"",VLOOKUP($B74,FFTodayData!$AN:$AT,6,0))</f>
        <v/>
      </c>
      <c r="G74" s="117">
        <f>IF(ISERROR(VLOOKUP($A74,ESPNData!$AX:$BK,11,0)),"",VLOOKUP($A74,ESPNData!$AX:$BK,11,0))</f>
        <v>0</v>
      </c>
      <c r="H74" s="33">
        <f>IF(ISERROR(VLOOKUP($A74,ESPNData!$AX:$BK,12,0)),"",VLOOKUP($A74,ESPNData!$AX:$BK,12,0))</f>
        <v>0</v>
      </c>
      <c r="I74" s="64">
        <f>IF(ISERROR(VLOOKUP($A74,ESPNData!$AX:$BK,13,0)),"",VLOOKUP($A74,ESPNData!$AX:$BK,13,0))</f>
        <v>0</v>
      </c>
      <c r="J74" s="117">
        <f>IF(ISERROR(VLOOKUP($B74,SportslineData!$AM:$AT,3,0)),"",ROUND(VLOOKUP($B74,SportslineData!$AM:$AT,3,0),0))</f>
        <v>13</v>
      </c>
      <c r="K74" s="33">
        <f>IF(ISERROR(VLOOKUP($B74,SportslineData!$AM:$AT,4,0)),"",VLOOKUP($B74,SportslineData!$AM:$AT,4,0))</f>
        <v>167.5</v>
      </c>
      <c r="L74" s="33">
        <f>IF(ISERROR(VLOOKUP($B74,SportslineData!$AM:$AT,6,0)),"",ROUND(VLOOKUP($B74,SportslineData!$AM:$AT,6,0),0))</f>
        <v>1</v>
      </c>
      <c r="M74" s="64">
        <f>IF(ISERROR(VLOOKUP($B74,SportslineData!$AM:$AT,7,0)),"",ROUND(VLOOKUP($B74,SportslineData!$AM:$AT,7,0),0))</f>
        <v>0</v>
      </c>
      <c r="N74" s="117"/>
      <c r="O74" s="33"/>
      <c r="P74" s="38">
        <f>IF(ISERROR(ROUND((((ROUNDDOWN((E74/5),0)*Settings!$F$11)+(D74*Settings!$I$11))+(F74*Settings!$F$12)),1)),0,ROUND((((ROUNDDOWN((E74/5),0)*Settings!$F$11)+(D74*Settings!$I$11))+(F74*Settings!$F$12)),1))</f>
        <v>0</v>
      </c>
      <c r="Q74" s="38">
        <f>IF(ISERROR(ROUND((((ROUNDDOWN((H74/5),0)*Settings!$F$11)+(G74*Settings!$I$11))+(I74*Settings!$F$12)),1)),0,ROUND((((ROUNDDOWN((H74/5),0)*Settings!$F$11)+(G74*Settings!$I$11))+(I74*Settings!$F$12)),1))</f>
        <v>0</v>
      </c>
      <c r="R74" s="38">
        <f>IF((J74=""),0,((((J74*Settings!$I$11)+(ROUND((K74/5),0)*Settings!$F$11))+(L74*Settings!$F$12))+(M74*Settings!$F$15)))</f>
        <v>29.5</v>
      </c>
      <c r="S74" s="66">
        <f>ROUND((((P74*Settings!$B$21)+(Q74*Settings!$B$22))+(R74*Settings!$B$23)),1)</f>
        <v>10</v>
      </c>
      <c r="T74" s="66">
        <f>IF(ISERROR(VLOOKUP(RANK(S74,S$4:S$182),T$4:T73,1,0)),RANK(S74,S$4:S$182),IF(ISERROR(VLOOKUP((RANK(S74,S$4:S$182)+1),T$4:T73,1,0)),(RANK(S74,S$4:S$182)+1),IF(ISERROR(VLOOKUP((RANK(S74,S$4:S$182)+2),T$4:T73,1,0)),(RANK(S74,S$4:S$182)+2),(RANK(S74,S$4:S$182)+3))))</f>
        <v>68</v>
      </c>
      <c r="U74" t="str">
        <f t="shared" si="8"/>
        <v>Dion Sims</v>
      </c>
    </row>
    <row r="75" spans="1:21" ht="12.75" customHeight="1">
      <c r="A75" s="33" t="str">
        <f>ESPNData!AX76</f>
        <v>Tony Moeaki, Buf TE  P</v>
      </c>
      <c r="B75" s="33" t="str">
        <f t="shared" si="6"/>
        <v>Tony Moeaki</v>
      </c>
      <c r="C75" s="64" t="str">
        <f t="shared" si="7"/>
        <v>BUF</v>
      </c>
      <c r="D75" s="117" t="str">
        <f>IF(ISERROR(VLOOKUP($B75,FFTodayData!$AN:$AT,4,0)),"",VLOOKUP($B75,FFTodayData!$AN:$AT,4,0))</f>
        <v/>
      </c>
      <c r="E75" s="33" t="str">
        <f>IF(ISERROR(VLOOKUP($B75,FFTodayData!$AN:$AT,5,0)),"",VLOOKUP($B75,FFTodayData!$AN:$AT,5,0))</f>
        <v/>
      </c>
      <c r="F75" s="64" t="str">
        <f>IF(ISERROR(VLOOKUP($B75,FFTodayData!$AN:$AT,6,0)),"",VLOOKUP($B75,FFTodayData!$AN:$AT,6,0))</f>
        <v/>
      </c>
      <c r="G75" s="117">
        <f>IF(ISERROR(VLOOKUP($A75,ESPNData!$AX:$BK,11,0)),"",VLOOKUP($A75,ESPNData!$AX:$BK,11,0))</f>
        <v>0</v>
      </c>
      <c r="H75" s="33">
        <f>IF(ISERROR(VLOOKUP($A75,ESPNData!$AX:$BK,12,0)),"",VLOOKUP($A75,ESPNData!$AX:$BK,12,0))</f>
        <v>0</v>
      </c>
      <c r="I75" s="64">
        <f>IF(ISERROR(VLOOKUP($A75,ESPNData!$AX:$BK,13,0)),"",VLOOKUP($A75,ESPNData!$AX:$BK,13,0))</f>
        <v>0</v>
      </c>
      <c r="J75" s="117">
        <f>IF(ISERROR(VLOOKUP($B75,SportslineData!$AM:$AT,3,0)),"",ROUND(VLOOKUP($B75,SportslineData!$AM:$AT,3,0),0))</f>
        <v>15</v>
      </c>
      <c r="K75" s="33">
        <f>IF(ISERROR(VLOOKUP($B75,SportslineData!$AM:$AT,4,0)),"",VLOOKUP($B75,SportslineData!$AM:$AT,4,0))</f>
        <v>188.5</v>
      </c>
      <c r="L75" s="33">
        <f>IF(ISERROR(VLOOKUP($B75,SportslineData!$AM:$AT,6,0)),"",ROUND(VLOOKUP($B75,SportslineData!$AM:$AT,6,0),0))</f>
        <v>2</v>
      </c>
      <c r="M75" s="64">
        <f>IF(ISERROR(VLOOKUP($B75,SportslineData!$AM:$AT,7,0)),"",ROUND(VLOOKUP($B75,SportslineData!$AM:$AT,7,0),0))</f>
        <v>0</v>
      </c>
      <c r="N75" s="117"/>
      <c r="O75" s="33"/>
      <c r="P75" s="38">
        <f>IF(ISERROR(ROUND((((ROUNDDOWN((E75/5),0)*Settings!$F$11)+(D75*Settings!$I$11))+(F75*Settings!$F$12)),1)),0,ROUND((((ROUNDDOWN((E75/5),0)*Settings!$F$11)+(D75*Settings!$I$11))+(F75*Settings!$F$12)),1))</f>
        <v>0</v>
      </c>
      <c r="Q75" s="38">
        <f>IF(ISERROR(ROUND((((ROUNDDOWN((H75/5),0)*Settings!$F$11)+(G75*Settings!$I$11))+(I75*Settings!$F$12)),1)),0,ROUND((((ROUNDDOWN((H75/5),0)*Settings!$F$11)+(G75*Settings!$I$11))+(I75*Settings!$F$12)),1))</f>
        <v>0</v>
      </c>
      <c r="R75" s="38">
        <f>IF((J75=""),0,((((J75*Settings!$I$11)+(ROUND((K75/5),0)*Settings!$F$11))+(L75*Settings!$F$12))+(M75*Settings!$F$15)))</f>
        <v>38.5</v>
      </c>
      <c r="S75" s="66">
        <f>ROUND((((P75*Settings!$B$21)+(Q75*Settings!$B$22))+(R75*Settings!$B$23)),1)</f>
        <v>13.1</v>
      </c>
      <c r="T75" s="66">
        <f>IF(ISERROR(VLOOKUP(RANK(S75,S$4:S$182),T$4:T74,1,0)),RANK(S75,S$4:S$182),IF(ISERROR(VLOOKUP((RANK(S75,S$4:S$182)+1),T$4:T74,1,0)),(RANK(S75,S$4:S$182)+1),IF(ISERROR(VLOOKUP((RANK(S75,S$4:S$182)+2),T$4:T74,1,0)),(RANK(S75,S$4:S$182)+2),(RANK(S75,S$4:S$182)+3))))</f>
        <v>64</v>
      </c>
      <c r="U75" t="str">
        <f t="shared" si="8"/>
        <v>Tony Moeaki</v>
      </c>
    </row>
    <row r="76" spans="1:21" ht="12.75" customHeight="1">
      <c r="A76" s="33" t="str">
        <f>ESPNData!AX77</f>
        <v>Josh Hill, NO TE</v>
      </c>
      <c r="B76" s="33" t="str">
        <f t="shared" si="6"/>
        <v>Josh Hill</v>
      </c>
      <c r="C76" s="64" t="str">
        <f t="shared" si="7"/>
        <v>NO</v>
      </c>
      <c r="D76" s="117" t="str">
        <f>IF(ISERROR(VLOOKUP($B76,FFTodayData!$AN:$AT,4,0)),"",VLOOKUP($B76,FFTodayData!$AN:$AT,4,0))</f>
        <v/>
      </c>
      <c r="E76" s="33" t="str">
        <f>IF(ISERROR(VLOOKUP($B76,FFTodayData!$AN:$AT,5,0)),"",VLOOKUP($B76,FFTodayData!$AN:$AT,5,0))</f>
        <v/>
      </c>
      <c r="F76" s="64" t="str">
        <f>IF(ISERROR(VLOOKUP($B76,FFTodayData!$AN:$AT,6,0)),"",VLOOKUP($B76,FFTodayData!$AN:$AT,6,0))</f>
        <v/>
      </c>
      <c r="G76" s="117">
        <f>IF(ISERROR(VLOOKUP($A76,ESPNData!$AX:$BK,11,0)),"",VLOOKUP($A76,ESPNData!$AX:$BK,11,0))</f>
        <v>0</v>
      </c>
      <c r="H76" s="33">
        <f>IF(ISERROR(VLOOKUP($A76,ESPNData!$AX:$BK,12,0)),"",VLOOKUP($A76,ESPNData!$AX:$BK,12,0))</f>
        <v>0</v>
      </c>
      <c r="I76" s="64">
        <f>IF(ISERROR(VLOOKUP($A76,ESPNData!$AX:$BK,13,0)),"",VLOOKUP($A76,ESPNData!$AX:$BK,13,0))</f>
        <v>0</v>
      </c>
      <c r="J76" s="117">
        <f>IF(ISERROR(VLOOKUP($B76,SportslineData!$AM:$AT,3,0)),"",ROUND(VLOOKUP($B76,SportslineData!$AM:$AT,3,0),0))</f>
        <v>11</v>
      </c>
      <c r="K76" s="33">
        <f>IF(ISERROR(VLOOKUP($B76,SportslineData!$AM:$AT,4,0)),"",VLOOKUP($B76,SportslineData!$AM:$AT,4,0))</f>
        <v>115</v>
      </c>
      <c r="L76" s="33">
        <f>IF(ISERROR(VLOOKUP($B76,SportslineData!$AM:$AT,6,0)),"",ROUND(VLOOKUP($B76,SportslineData!$AM:$AT,6,0),0))</f>
        <v>1</v>
      </c>
      <c r="M76" s="64">
        <f>IF(ISERROR(VLOOKUP($B76,SportslineData!$AM:$AT,7,0)),"",ROUND(VLOOKUP($B76,SportslineData!$AM:$AT,7,0),0))</f>
        <v>0</v>
      </c>
      <c r="N76" s="117"/>
      <c r="O76" s="33"/>
      <c r="P76" s="38">
        <f>IF(ISERROR(ROUND((((ROUNDDOWN((E76/5),0)*Settings!$F$11)+(D76*Settings!$I$11))+(F76*Settings!$F$12)),1)),0,ROUND((((ROUNDDOWN((E76/5),0)*Settings!$F$11)+(D76*Settings!$I$11))+(F76*Settings!$F$12)),1))</f>
        <v>0</v>
      </c>
      <c r="Q76" s="38">
        <f>IF(ISERROR(ROUND((((ROUNDDOWN((H76/5),0)*Settings!$F$11)+(G76*Settings!$I$11))+(I76*Settings!$F$12)),1)),0,ROUND((((ROUNDDOWN((H76/5),0)*Settings!$F$11)+(G76*Settings!$I$11))+(I76*Settings!$F$12)),1))</f>
        <v>0</v>
      </c>
      <c r="R76" s="38">
        <f>IF((J76=""),0,((((J76*Settings!$I$11)+(ROUND((K76/5),0)*Settings!$F$11))+(L76*Settings!$F$12))+(M76*Settings!$F$15)))</f>
        <v>23</v>
      </c>
      <c r="S76" s="66">
        <f>ROUND((((P76*Settings!$B$21)+(Q76*Settings!$B$22))+(R76*Settings!$B$23)),1)</f>
        <v>7.8</v>
      </c>
      <c r="T76" s="66">
        <f>IF(ISERROR(VLOOKUP(RANK(S76,S$4:S$182),T$4:T75,1,0)),RANK(S76,S$4:S$182),IF(ISERROR(VLOOKUP((RANK(S76,S$4:S$182)+1),T$4:T75,1,0)),(RANK(S76,S$4:S$182)+1),IF(ISERROR(VLOOKUP((RANK(S76,S$4:S$182)+2),T$4:T75,1,0)),(RANK(S76,S$4:S$182)+2),(RANK(S76,S$4:S$182)+3))))</f>
        <v>70</v>
      </c>
      <c r="U76" t="str">
        <f t="shared" si="8"/>
        <v>Josh Hill</v>
      </c>
    </row>
    <row r="77" spans="1:21" ht="12.75" customHeight="1">
      <c r="A77" s="33" t="str">
        <f>ESPNData!AX78</f>
        <v>Luke Stocker, TB TE</v>
      </c>
      <c r="B77" s="33" t="str">
        <f t="shared" si="6"/>
        <v>Luke Stocker</v>
      </c>
      <c r="C77" s="64" t="str">
        <f t="shared" si="7"/>
        <v>TB</v>
      </c>
      <c r="D77" s="117" t="str">
        <f>IF(ISERROR(VLOOKUP($B77,FFTodayData!$AN:$AT,4,0)),"",VLOOKUP($B77,FFTodayData!$AN:$AT,4,0))</f>
        <v/>
      </c>
      <c r="E77" s="33" t="str">
        <f>IF(ISERROR(VLOOKUP($B77,FFTodayData!$AN:$AT,5,0)),"",VLOOKUP($B77,FFTodayData!$AN:$AT,5,0))</f>
        <v/>
      </c>
      <c r="F77" s="64" t="str">
        <f>IF(ISERROR(VLOOKUP($B77,FFTodayData!$AN:$AT,6,0)),"",VLOOKUP($B77,FFTodayData!$AN:$AT,6,0))</f>
        <v/>
      </c>
      <c r="G77" s="117">
        <f>IF(ISERROR(VLOOKUP($A77,ESPNData!$AX:$BK,11,0)),"",VLOOKUP($A77,ESPNData!$AX:$BK,11,0))</f>
        <v>0</v>
      </c>
      <c r="H77" s="33">
        <f>IF(ISERROR(VLOOKUP($A77,ESPNData!$AX:$BK,12,0)),"",VLOOKUP($A77,ESPNData!$AX:$BK,12,0))</f>
        <v>0</v>
      </c>
      <c r="I77" s="64">
        <f>IF(ISERROR(VLOOKUP($A77,ESPNData!$AX:$BK,13,0)),"",VLOOKUP($A77,ESPNData!$AX:$BK,13,0))</f>
        <v>0</v>
      </c>
      <c r="J77" s="117">
        <f>IF(ISERROR(VLOOKUP($B77,SportslineData!$AM:$AT,3,0)),"",ROUND(VLOOKUP($B77,SportslineData!$AM:$AT,3,0),0))</f>
        <v>4</v>
      </c>
      <c r="K77" s="33">
        <f>IF(ISERROR(VLOOKUP($B77,SportslineData!$AM:$AT,4,0)),"",VLOOKUP($B77,SportslineData!$AM:$AT,4,0))</f>
        <v>43.5</v>
      </c>
      <c r="L77" s="33">
        <f>IF(ISERROR(VLOOKUP($B77,SportslineData!$AM:$AT,6,0)),"",ROUND(VLOOKUP($B77,SportslineData!$AM:$AT,6,0),0))</f>
        <v>0</v>
      </c>
      <c r="M77" s="64">
        <f>IF(ISERROR(VLOOKUP($B77,SportslineData!$AM:$AT,7,0)),"",ROUND(VLOOKUP($B77,SportslineData!$AM:$AT,7,0),0))</f>
        <v>0</v>
      </c>
      <c r="N77" s="117"/>
      <c r="O77" s="33"/>
      <c r="P77" s="38">
        <f>IF(ISERROR(ROUND((((ROUNDDOWN((E77/5),0)*Settings!$F$11)+(D77*Settings!$I$11))+(F77*Settings!$F$12)),1)),0,ROUND((((ROUNDDOWN((E77/5),0)*Settings!$F$11)+(D77*Settings!$I$11))+(F77*Settings!$F$12)),1))</f>
        <v>0</v>
      </c>
      <c r="Q77" s="38">
        <f>IF(ISERROR(ROUND((((ROUNDDOWN((H77/5),0)*Settings!$F$11)+(G77*Settings!$I$11))+(I77*Settings!$F$12)),1)),0,ROUND((((ROUNDDOWN((H77/5),0)*Settings!$F$11)+(G77*Settings!$I$11))+(I77*Settings!$F$12)),1))</f>
        <v>0</v>
      </c>
      <c r="R77" s="38">
        <f>IF((J77=""),0,((((J77*Settings!$I$11)+(ROUND((K77/5),0)*Settings!$F$11))+(L77*Settings!$F$12))+(M77*Settings!$F$15)))</f>
        <v>6.5</v>
      </c>
      <c r="S77" s="66">
        <f>ROUND((((P77*Settings!$B$21)+(Q77*Settings!$B$22))+(R77*Settings!$B$23)),1)</f>
        <v>2.2000000000000002</v>
      </c>
      <c r="T77" s="66">
        <f>IF(ISERROR(VLOOKUP(RANK(S77,S$4:S$182),T$4:T76,1,0)),RANK(S77,S$4:S$182),IF(ISERROR(VLOOKUP((RANK(S77,S$4:S$182)+1),T$4:T76,1,0)),(RANK(S77,S$4:S$182)+1),IF(ISERROR(VLOOKUP((RANK(S77,S$4:S$182)+2),T$4:T76,1,0)),(RANK(S77,S$4:S$182)+2),(RANK(S77,S$4:S$182)+3))))</f>
        <v>82</v>
      </c>
      <c r="U77" t="str">
        <f t="shared" si="8"/>
        <v>Luke Stocker</v>
      </c>
    </row>
    <row r="78" spans="1:21" ht="12.75" customHeight="1">
      <c r="A78" s="33" t="str">
        <f>ESPNData!AX79</f>
        <v>Bear Pascoe, Atl TE</v>
      </c>
      <c r="B78" s="33" t="str">
        <f t="shared" si="6"/>
        <v>Bear Pascoe</v>
      </c>
      <c r="C78" s="64" t="str">
        <f t="shared" si="7"/>
        <v>ATL</v>
      </c>
      <c r="D78" s="117" t="str">
        <f>IF(ISERROR(VLOOKUP($B78,FFTodayData!$AN:$AT,4,0)),"",VLOOKUP($B78,FFTodayData!$AN:$AT,4,0))</f>
        <v/>
      </c>
      <c r="E78" s="33" t="str">
        <f>IF(ISERROR(VLOOKUP($B78,FFTodayData!$AN:$AT,5,0)),"",VLOOKUP($B78,FFTodayData!$AN:$AT,5,0))</f>
        <v/>
      </c>
      <c r="F78" s="64" t="str">
        <f>IF(ISERROR(VLOOKUP($B78,FFTodayData!$AN:$AT,6,0)),"",VLOOKUP($B78,FFTodayData!$AN:$AT,6,0))</f>
        <v/>
      </c>
      <c r="G78" s="117">
        <f>IF(ISERROR(VLOOKUP($A78,ESPNData!$AX:$BK,11,0)),"",VLOOKUP($A78,ESPNData!$AX:$BK,11,0))</f>
        <v>0</v>
      </c>
      <c r="H78" s="33">
        <f>IF(ISERROR(VLOOKUP($A78,ESPNData!$AX:$BK,12,0)),"",VLOOKUP($A78,ESPNData!$AX:$BK,12,0))</f>
        <v>0</v>
      </c>
      <c r="I78" s="64">
        <f>IF(ISERROR(VLOOKUP($A78,ESPNData!$AX:$BK,13,0)),"",VLOOKUP($A78,ESPNData!$AX:$BK,13,0))</f>
        <v>0</v>
      </c>
      <c r="J78" s="117">
        <f>IF(ISERROR(VLOOKUP($B78,SportslineData!$AM:$AT,3,0)),"",ROUND(VLOOKUP($B78,SportslineData!$AM:$AT,3,0),0))</f>
        <v>13</v>
      </c>
      <c r="K78" s="33">
        <f>IF(ISERROR(VLOOKUP($B78,SportslineData!$AM:$AT,4,0)),"",VLOOKUP($B78,SportslineData!$AM:$AT,4,0))</f>
        <v>128</v>
      </c>
      <c r="L78" s="33">
        <f>IF(ISERROR(VLOOKUP($B78,SportslineData!$AM:$AT,6,0)),"",ROUND(VLOOKUP($B78,SportslineData!$AM:$AT,6,0),0))</f>
        <v>1</v>
      </c>
      <c r="M78" s="64">
        <f>IF(ISERROR(VLOOKUP($B78,SportslineData!$AM:$AT,7,0)),"",ROUND(VLOOKUP($B78,SportslineData!$AM:$AT,7,0),0))</f>
        <v>0</v>
      </c>
      <c r="N78" s="117"/>
      <c r="O78" s="33"/>
      <c r="P78" s="38">
        <f>IF(ISERROR(ROUND((((ROUNDDOWN((E78/5),0)*Settings!$F$11)+(D78*Settings!$I$11))+(F78*Settings!$F$12)),1)),0,ROUND((((ROUNDDOWN((E78/5),0)*Settings!$F$11)+(D78*Settings!$I$11))+(F78*Settings!$F$12)),1))</f>
        <v>0</v>
      </c>
      <c r="Q78" s="38">
        <f>IF(ISERROR(ROUND((((ROUNDDOWN((H78/5),0)*Settings!$F$11)+(G78*Settings!$I$11))+(I78*Settings!$F$12)),1)),0,ROUND((((ROUNDDOWN((H78/5),0)*Settings!$F$11)+(G78*Settings!$I$11))+(I78*Settings!$F$12)),1))</f>
        <v>0</v>
      </c>
      <c r="R78" s="38">
        <f>IF((J78=""),0,((((J78*Settings!$I$11)+(ROUND((K78/5),0)*Settings!$F$11))+(L78*Settings!$F$12))+(M78*Settings!$F$15)))</f>
        <v>25.5</v>
      </c>
      <c r="S78" s="66">
        <f>ROUND((((P78*Settings!$B$21)+(Q78*Settings!$B$22))+(R78*Settings!$B$23)),1)</f>
        <v>8.6999999999999993</v>
      </c>
      <c r="T78" s="66">
        <f>IF(ISERROR(VLOOKUP(RANK(S78,S$4:S$182),T$4:T77,1,0)),RANK(S78,S$4:S$182),IF(ISERROR(VLOOKUP((RANK(S78,S$4:S$182)+1),T$4:T77,1,0)),(RANK(S78,S$4:S$182)+1),IF(ISERROR(VLOOKUP((RANK(S78,S$4:S$182)+2),T$4:T77,1,0)),(RANK(S78,S$4:S$182)+2),(RANK(S78,S$4:S$182)+3))))</f>
        <v>69</v>
      </c>
      <c r="U78" t="str">
        <f t="shared" si="8"/>
        <v>Bear Pascoe</v>
      </c>
    </row>
    <row r="79" spans="1:21" ht="12.75" customHeight="1">
      <c r="A79" s="33" t="str">
        <f>ESPNData!AX80</f>
        <v>David Ausberry, Oak TE  Q</v>
      </c>
      <c r="B79" s="33" t="str">
        <f t="shared" si="6"/>
        <v>David Ausberry</v>
      </c>
      <c r="C79" s="64" t="str">
        <f t="shared" si="7"/>
        <v>OAK</v>
      </c>
      <c r="D79" s="117">
        <f>IF(ISERROR(VLOOKUP($B79,FFTodayData!$AN:$AT,4,0)),"",VLOOKUP($B79,FFTodayData!$AN:$AT,4,0))</f>
        <v>26</v>
      </c>
      <c r="E79" s="33">
        <f>IF(ISERROR(VLOOKUP($B79,FFTodayData!$AN:$AT,5,0)),"",VLOOKUP($B79,FFTodayData!$AN:$AT,5,0))</f>
        <v>300</v>
      </c>
      <c r="F79" s="64">
        <f>IF(ISERROR(VLOOKUP($B79,FFTodayData!$AN:$AT,6,0)),"",VLOOKUP($B79,FFTodayData!$AN:$AT,6,0))</f>
        <v>2</v>
      </c>
      <c r="G79" s="117">
        <f>IF(ISERROR(VLOOKUP($A79,ESPNData!$AX:$BK,11,0)),"",VLOOKUP($A79,ESPNData!$AX:$BK,11,0))</f>
        <v>0</v>
      </c>
      <c r="H79" s="33">
        <f>IF(ISERROR(VLOOKUP($A79,ESPNData!$AX:$BK,12,0)),"",VLOOKUP($A79,ESPNData!$AX:$BK,12,0))</f>
        <v>0</v>
      </c>
      <c r="I79" s="64">
        <f>IF(ISERROR(VLOOKUP($A79,ESPNData!$AX:$BK,13,0)),"",VLOOKUP($A79,ESPNData!$AX:$BK,13,0))</f>
        <v>0</v>
      </c>
      <c r="J79" s="117">
        <f>IF(ISERROR(VLOOKUP($B79,SportslineData!$AM:$AT,3,0)),"",ROUND(VLOOKUP($B79,SportslineData!$AM:$AT,3,0),0))</f>
        <v>15</v>
      </c>
      <c r="K79" s="33">
        <f>IF(ISERROR(VLOOKUP($B79,SportslineData!$AM:$AT,4,0)),"",VLOOKUP($B79,SportslineData!$AM:$AT,4,0))</f>
        <v>178</v>
      </c>
      <c r="L79" s="33">
        <f>IF(ISERROR(VLOOKUP($B79,SportslineData!$AM:$AT,6,0)),"",ROUND(VLOOKUP($B79,SportslineData!$AM:$AT,6,0),0))</f>
        <v>1</v>
      </c>
      <c r="M79" s="64">
        <f>IF(ISERROR(VLOOKUP($B79,SportslineData!$AM:$AT,7,0)),"",ROUND(VLOOKUP($B79,SportslineData!$AM:$AT,7,0),0))</f>
        <v>0</v>
      </c>
      <c r="N79" s="117"/>
      <c r="O79" s="33"/>
      <c r="P79" s="38">
        <f>IF(ISERROR(ROUND((((ROUNDDOWN((E79/5),0)*Settings!$F$11)+(D79*Settings!$I$11))+(F79*Settings!$F$12)),1)),0,ROUND((((ROUNDDOWN((E79/5),0)*Settings!$F$11)+(D79*Settings!$I$11))+(F79*Settings!$F$12)),1))</f>
        <v>55</v>
      </c>
      <c r="Q79" s="38">
        <f>IF(ISERROR(ROUND((((ROUNDDOWN((H79/5),0)*Settings!$F$11)+(G79*Settings!$I$11))+(I79*Settings!$F$12)),1)),0,ROUND((((ROUNDDOWN((H79/5),0)*Settings!$F$11)+(G79*Settings!$I$11))+(I79*Settings!$F$12)),1))</f>
        <v>0</v>
      </c>
      <c r="R79" s="38">
        <f>IF((J79=""),0,((((J79*Settings!$I$11)+(ROUND((K79/5),0)*Settings!$F$11))+(L79*Settings!$F$12))+(M79*Settings!$F$15)))</f>
        <v>31.5</v>
      </c>
      <c r="S79" s="66">
        <f>ROUND((((P79*Settings!$B$21)+(Q79*Settings!$B$22))+(R79*Settings!$B$23)),1)</f>
        <v>28.9</v>
      </c>
      <c r="T79" s="66">
        <f>IF(ISERROR(VLOOKUP(RANK(S79,S$4:S$182),T$4:T78,1,0)),RANK(S79,S$4:S$182),IF(ISERROR(VLOOKUP((RANK(S79,S$4:S$182)+1),T$4:T78,1,0)),(RANK(S79,S$4:S$182)+1),IF(ISERROR(VLOOKUP((RANK(S79,S$4:S$182)+2),T$4:T78,1,0)),(RANK(S79,S$4:S$182)+2),(RANK(S79,S$4:S$182)+3))))</f>
        <v>52</v>
      </c>
      <c r="U79" t="str">
        <f t="shared" si="8"/>
        <v>David Ausberry</v>
      </c>
    </row>
    <row r="80" spans="1:21" ht="12.75" customHeight="1">
      <c r="A80" s="33" t="str">
        <f>ESPNData!AX81</f>
        <v>Chris Gragg, Buf TE</v>
      </c>
      <c r="B80" s="33" t="str">
        <f t="shared" si="6"/>
        <v>Chris Gragg</v>
      </c>
      <c r="C80" s="64" t="str">
        <f t="shared" si="7"/>
        <v>BUF</v>
      </c>
      <c r="D80" s="117" t="str">
        <f>IF(ISERROR(VLOOKUP($B80,FFTodayData!$AN:$AT,4,0)),"",VLOOKUP($B80,FFTodayData!$AN:$AT,4,0))</f>
        <v/>
      </c>
      <c r="E80" s="33" t="str">
        <f>IF(ISERROR(VLOOKUP($B80,FFTodayData!$AN:$AT,5,0)),"",VLOOKUP($B80,FFTodayData!$AN:$AT,5,0))</f>
        <v/>
      </c>
      <c r="F80" s="64" t="str">
        <f>IF(ISERROR(VLOOKUP($B80,FFTodayData!$AN:$AT,6,0)),"",VLOOKUP($B80,FFTodayData!$AN:$AT,6,0))</f>
        <v/>
      </c>
      <c r="G80" s="117">
        <f>IF(ISERROR(VLOOKUP($A80,ESPNData!$AX:$BK,11,0)),"",VLOOKUP($A80,ESPNData!$AX:$BK,11,0))</f>
        <v>0</v>
      </c>
      <c r="H80" s="33">
        <f>IF(ISERROR(VLOOKUP($A80,ESPNData!$AX:$BK,12,0)),"",VLOOKUP($A80,ESPNData!$AX:$BK,12,0))</f>
        <v>0</v>
      </c>
      <c r="I80" s="64">
        <f>IF(ISERROR(VLOOKUP($A80,ESPNData!$AX:$BK,13,0)),"",VLOOKUP($A80,ESPNData!$AX:$BK,13,0))</f>
        <v>0</v>
      </c>
      <c r="J80" s="117">
        <f>IF(ISERROR(VLOOKUP($B80,SportslineData!$AM:$AT,3,0)),"",ROUND(VLOOKUP($B80,SportslineData!$AM:$AT,3,0),0))</f>
        <v>8</v>
      </c>
      <c r="K80" s="33">
        <f>IF(ISERROR(VLOOKUP($B80,SportslineData!$AM:$AT,4,0)),"",VLOOKUP($B80,SportslineData!$AM:$AT,4,0))</f>
        <v>82.5</v>
      </c>
      <c r="L80" s="33">
        <f>IF(ISERROR(VLOOKUP($B80,SportslineData!$AM:$AT,6,0)),"",ROUND(VLOOKUP($B80,SportslineData!$AM:$AT,6,0),0))</f>
        <v>1</v>
      </c>
      <c r="M80" s="64">
        <f>IF(ISERROR(VLOOKUP($B80,SportslineData!$AM:$AT,7,0)),"",ROUND(VLOOKUP($B80,SportslineData!$AM:$AT,7,0),0))</f>
        <v>0</v>
      </c>
      <c r="N80" s="117"/>
      <c r="O80" s="33"/>
      <c r="P80" s="38">
        <f>IF(ISERROR(ROUND((((ROUNDDOWN((E80/5),0)*Settings!$F$11)+(D80*Settings!$I$11))+(F80*Settings!$F$12)),1)),0,ROUND((((ROUNDDOWN((E80/5),0)*Settings!$F$11)+(D80*Settings!$I$11))+(F80*Settings!$F$12)),1))</f>
        <v>0</v>
      </c>
      <c r="Q80" s="38">
        <f>IF(ISERROR(ROUND((((ROUNDDOWN((H80/5),0)*Settings!$F$11)+(G80*Settings!$I$11))+(I80*Settings!$F$12)),1)),0,ROUND((((ROUNDDOWN((H80/5),0)*Settings!$F$11)+(G80*Settings!$I$11))+(I80*Settings!$F$12)),1))</f>
        <v>0</v>
      </c>
      <c r="R80" s="38">
        <f>IF((J80=""),0,((((J80*Settings!$I$11)+(ROUND((K80/5),0)*Settings!$F$11))+(L80*Settings!$F$12))+(M80*Settings!$F$15)))</f>
        <v>18.5</v>
      </c>
      <c r="S80" s="66">
        <f>ROUND((((P80*Settings!$B$21)+(Q80*Settings!$B$22))+(R80*Settings!$B$23)),1)</f>
        <v>6.3</v>
      </c>
      <c r="T80" s="66">
        <f>IF(ISERROR(VLOOKUP(RANK(S80,S$4:S$182),T$4:T79,1,0)),RANK(S80,S$4:S$182),IF(ISERROR(VLOOKUP((RANK(S80,S$4:S$182)+1),T$4:T79,1,0)),(RANK(S80,S$4:S$182)+1),IF(ISERROR(VLOOKUP((RANK(S80,S$4:S$182)+2),T$4:T79,1,0)),(RANK(S80,S$4:S$182)+2),(RANK(S80,S$4:S$182)+3))))</f>
        <v>75</v>
      </c>
      <c r="U80" t="str">
        <f t="shared" si="8"/>
        <v>Chris Gragg</v>
      </c>
    </row>
    <row r="81" spans="1:21" ht="12.75" customHeight="1">
      <c r="A81" s="33" t="str">
        <f>ESPNData!AX82</f>
        <v>Nick Kasa*, Oak TE  O</v>
      </c>
      <c r="B81" s="33" t="str">
        <f t="shared" si="6"/>
        <v>Nick Kasa</v>
      </c>
      <c r="C81" s="64" t="str">
        <f t="shared" si="7"/>
        <v>OAK</v>
      </c>
      <c r="D81" s="117" t="str">
        <f>IF(ISERROR(VLOOKUP($B81,FFTodayData!$AN:$AT,4,0)),"",VLOOKUP($B81,FFTodayData!$AN:$AT,4,0))</f>
        <v/>
      </c>
      <c r="E81" s="33" t="str">
        <f>IF(ISERROR(VLOOKUP($B81,FFTodayData!$AN:$AT,5,0)),"",VLOOKUP($B81,FFTodayData!$AN:$AT,5,0))</f>
        <v/>
      </c>
      <c r="F81" s="64" t="str">
        <f>IF(ISERROR(VLOOKUP($B81,FFTodayData!$AN:$AT,6,0)),"",VLOOKUP($B81,FFTodayData!$AN:$AT,6,0))</f>
        <v/>
      </c>
      <c r="G81" s="117">
        <f>IF(ISERROR(VLOOKUP($A81,ESPNData!$AX:$BK,11,0)),"",VLOOKUP($A81,ESPNData!$AX:$BK,11,0))</f>
        <v>0</v>
      </c>
      <c r="H81" s="33">
        <f>IF(ISERROR(VLOOKUP($A81,ESPNData!$AX:$BK,12,0)),"",VLOOKUP($A81,ESPNData!$AX:$BK,12,0))</f>
        <v>0</v>
      </c>
      <c r="I81" s="64">
        <f>IF(ISERROR(VLOOKUP($A81,ESPNData!$AX:$BK,13,0)),"",VLOOKUP($A81,ESPNData!$AX:$BK,13,0))</f>
        <v>0</v>
      </c>
      <c r="J81" s="117">
        <f>IF(ISERROR(VLOOKUP($B81,SportslineData!$AM:$AT,3,0)),"",ROUND(VLOOKUP($B81,SportslineData!$AM:$AT,3,0),0))</f>
        <v>9</v>
      </c>
      <c r="K81" s="33">
        <f>IF(ISERROR(VLOOKUP($B81,SportslineData!$AM:$AT,4,0)),"",VLOOKUP($B81,SportslineData!$AM:$AT,4,0))</f>
        <v>93</v>
      </c>
      <c r="L81" s="33">
        <f>IF(ISERROR(VLOOKUP($B81,SportslineData!$AM:$AT,6,0)),"",ROUND(VLOOKUP($B81,SportslineData!$AM:$AT,6,0),0))</f>
        <v>1</v>
      </c>
      <c r="M81" s="64">
        <f>IF(ISERROR(VLOOKUP($B81,SportslineData!$AM:$AT,7,0)),"",ROUND(VLOOKUP($B81,SportslineData!$AM:$AT,7,0),0))</f>
        <v>0</v>
      </c>
      <c r="N81" s="117"/>
      <c r="O81" s="33"/>
      <c r="P81" s="38">
        <f>IF(ISERROR(ROUND((((ROUNDDOWN((E81/5),0)*Settings!$F$11)+(D81*Settings!$I$11))+(F81*Settings!$F$12)),1)),0,ROUND((((ROUNDDOWN((E81/5),0)*Settings!$F$11)+(D81*Settings!$I$11))+(F81*Settings!$F$12)),1))</f>
        <v>0</v>
      </c>
      <c r="Q81" s="38">
        <f>IF(ISERROR(ROUND((((ROUNDDOWN((H81/5),0)*Settings!$F$11)+(G81*Settings!$I$11))+(I81*Settings!$F$12)),1)),0,ROUND((((ROUNDDOWN((H81/5),0)*Settings!$F$11)+(G81*Settings!$I$11))+(I81*Settings!$F$12)),1))</f>
        <v>0</v>
      </c>
      <c r="R81" s="38">
        <f>IF((J81=""),0,((((J81*Settings!$I$11)+(ROUND((K81/5),0)*Settings!$F$11))+(L81*Settings!$F$12))+(M81*Settings!$F$15)))</f>
        <v>20</v>
      </c>
      <c r="S81" s="66">
        <f>ROUND((((P81*Settings!$B$21)+(Q81*Settings!$B$22))+(R81*Settings!$B$23)),1)</f>
        <v>6.8</v>
      </c>
      <c r="T81" s="66">
        <f>IF(ISERROR(VLOOKUP(RANK(S81,S$4:S$182),T$4:T80,1,0)),RANK(S81,S$4:S$182),IF(ISERROR(VLOOKUP((RANK(S81,S$4:S$182)+1),T$4:T80,1,0)),(RANK(S81,S$4:S$182)+1),IF(ISERROR(VLOOKUP((RANK(S81,S$4:S$182)+2),T$4:T80,1,0)),(RANK(S81,S$4:S$182)+2),(RANK(S81,S$4:S$182)+3))))</f>
        <v>73</v>
      </c>
      <c r="U81" t="str">
        <f t="shared" si="8"/>
        <v>Nick Kasa</v>
      </c>
    </row>
    <row r="82" spans="1:21" ht="12.75" customHeight="1">
      <c r="A82" s="33" t="str">
        <f>ESPNData!AX83</f>
        <v>Zach Miller*, Chi TE  IR</v>
      </c>
      <c r="B82" s="33" t="str">
        <f t="shared" si="6"/>
        <v>Zach Miller</v>
      </c>
      <c r="C82" s="64" t="str">
        <f t="shared" si="7"/>
        <v>CHI</v>
      </c>
      <c r="D82" s="117">
        <f>IF(ISERROR(VLOOKUP($B82,FFTodayData!$AN:$AT,4,0)),"",VLOOKUP($B82,FFTodayData!$AN:$AT,4,0))</f>
        <v>38</v>
      </c>
      <c r="E82" s="33">
        <f>IF(ISERROR(VLOOKUP($B82,FFTodayData!$AN:$AT,5,0)),"",VLOOKUP($B82,FFTodayData!$AN:$AT,5,0))</f>
        <v>395</v>
      </c>
      <c r="F82" s="64">
        <f>IF(ISERROR(VLOOKUP($B82,FFTodayData!$AN:$AT,6,0)),"",VLOOKUP($B82,FFTodayData!$AN:$AT,6,0))</f>
        <v>4</v>
      </c>
      <c r="G82" s="117">
        <f>IF(ISERROR(VLOOKUP($A82,ESPNData!$AX:$BK,11,0)),"",VLOOKUP($A82,ESPNData!$AX:$BK,11,0))</f>
        <v>0</v>
      </c>
      <c r="H82" s="33">
        <f>IF(ISERROR(VLOOKUP($A82,ESPNData!$AX:$BK,12,0)),"",VLOOKUP($A82,ESPNData!$AX:$BK,12,0))</f>
        <v>0</v>
      </c>
      <c r="I82" s="64">
        <f>IF(ISERROR(VLOOKUP($A82,ESPNData!$AX:$BK,13,0)),"",VLOOKUP($A82,ESPNData!$AX:$BK,13,0))</f>
        <v>0</v>
      </c>
      <c r="J82" s="117">
        <f>IF(ISERROR(VLOOKUP($B82,SportslineData!$AM:$AT,3,0)),"",ROUND(VLOOKUP($B82,SportslineData!$AM:$AT,3,0),0))</f>
        <v>32</v>
      </c>
      <c r="K82" s="33">
        <f>IF(ISERROR(VLOOKUP($B82,SportslineData!$AM:$AT,4,0)),"",VLOOKUP($B82,SportslineData!$AM:$AT,4,0))</f>
        <v>371.5</v>
      </c>
      <c r="L82" s="33">
        <f>IF(ISERROR(VLOOKUP($B82,SportslineData!$AM:$AT,6,0)),"",ROUND(VLOOKUP($B82,SportslineData!$AM:$AT,6,0),0))</f>
        <v>4</v>
      </c>
      <c r="M82" s="64">
        <f>IF(ISERROR(VLOOKUP($B82,SportslineData!$AM:$AT,7,0)),"",ROUND(VLOOKUP($B82,SportslineData!$AM:$AT,7,0),0))</f>
        <v>0</v>
      </c>
      <c r="N82" s="117"/>
      <c r="O82" s="33"/>
      <c r="P82" s="38">
        <f>IF(ISERROR(ROUND((((ROUNDDOWN((E82/5),0)*Settings!$F$11)+(D82*Settings!$I$11))+(F82*Settings!$F$12)),1)),0,ROUND((((ROUNDDOWN((E82/5),0)*Settings!$F$11)+(D82*Settings!$I$11))+(F82*Settings!$F$12)),1))</f>
        <v>82.5</v>
      </c>
      <c r="Q82" s="38">
        <f>IF(ISERROR(ROUND((((ROUNDDOWN((H82/5),0)*Settings!$F$11)+(G82*Settings!$I$11))+(I82*Settings!$F$12)),1)),0,ROUND((((ROUNDDOWN((H82/5),0)*Settings!$F$11)+(G82*Settings!$I$11))+(I82*Settings!$F$12)),1))</f>
        <v>0</v>
      </c>
      <c r="R82" s="38">
        <f>IF((J82=""),0,((((J82*Settings!$I$11)+(ROUND((K82/5),0)*Settings!$F$11))+(L82*Settings!$F$12))+(M82*Settings!$F$15)))</f>
        <v>77</v>
      </c>
      <c r="S82" s="66">
        <f>ROUND((((P82*Settings!$B$21)+(Q82*Settings!$B$22))+(R82*Settings!$B$23)),1)</f>
        <v>53.4</v>
      </c>
      <c r="T82" s="66">
        <f>IF(ISERROR(VLOOKUP(RANK(S82,S$4:S$182),T$4:T81,1,0)),RANK(S82,S$4:S$182),IF(ISERROR(VLOOKUP((RANK(S82,S$4:S$182)+1),T$4:T81,1,0)),(RANK(S82,S$4:S$182)+1),IF(ISERROR(VLOOKUP((RANK(S82,S$4:S$182)+2),T$4:T81,1,0)),(RANK(S82,S$4:S$182)+2),(RANK(S82,S$4:S$182)+3))))</f>
        <v>36</v>
      </c>
      <c r="U82" t="str">
        <f t="shared" si="8"/>
        <v>Zach Miller</v>
      </c>
    </row>
    <row r="83" spans="1:21" ht="12.75" customHeight="1">
      <c r="A83" s="33" t="str">
        <f>ESPNData!AX84</f>
        <v>Sean McGrath, KC TE</v>
      </c>
      <c r="B83" s="33" t="str">
        <f t="shared" si="6"/>
        <v>Sean McGrath</v>
      </c>
      <c r="C83" s="64" t="str">
        <f t="shared" si="7"/>
        <v>KC</v>
      </c>
      <c r="D83" s="117" t="str">
        <f>IF(ISERROR(VLOOKUP($B83,FFTodayData!$AN:$AT,4,0)),"",VLOOKUP($B83,FFTodayData!$AN:$AT,4,0))</f>
        <v/>
      </c>
      <c r="E83" s="33" t="str">
        <f>IF(ISERROR(VLOOKUP($B83,FFTodayData!$AN:$AT,5,0)),"",VLOOKUP($B83,FFTodayData!$AN:$AT,5,0))</f>
        <v/>
      </c>
      <c r="F83" s="64" t="str">
        <f>IF(ISERROR(VLOOKUP($B83,FFTodayData!$AN:$AT,6,0)),"",VLOOKUP($B83,FFTodayData!$AN:$AT,6,0))</f>
        <v/>
      </c>
      <c r="G83" s="117">
        <f>IF(ISERROR(VLOOKUP($A83,ESPNData!$AX:$BK,11,0)),"",VLOOKUP($A83,ESPNData!$AX:$BK,11,0))</f>
        <v>0</v>
      </c>
      <c r="H83" s="33">
        <f>IF(ISERROR(VLOOKUP($A83,ESPNData!$AX:$BK,12,0)),"",VLOOKUP($A83,ESPNData!$AX:$BK,12,0))</f>
        <v>0</v>
      </c>
      <c r="I83" s="64">
        <f>IF(ISERROR(VLOOKUP($A83,ESPNData!$AX:$BK,13,0)),"",VLOOKUP($A83,ESPNData!$AX:$BK,13,0))</f>
        <v>0</v>
      </c>
      <c r="J83" s="117">
        <f>IF(ISERROR(VLOOKUP($B83,SportslineData!$AM:$AT,3,0)),"",ROUND(VLOOKUP($B83,SportslineData!$AM:$AT,3,0),0))</f>
        <v>8</v>
      </c>
      <c r="K83" s="33">
        <f>IF(ISERROR(VLOOKUP($B83,SportslineData!$AM:$AT,4,0)),"",VLOOKUP($B83,SportslineData!$AM:$AT,4,0))</f>
        <v>82.5</v>
      </c>
      <c r="L83" s="33">
        <f>IF(ISERROR(VLOOKUP($B83,SportslineData!$AM:$AT,6,0)),"",ROUND(VLOOKUP($B83,SportslineData!$AM:$AT,6,0),0))</f>
        <v>1</v>
      </c>
      <c r="M83" s="64">
        <f>IF(ISERROR(VLOOKUP($B83,SportslineData!$AM:$AT,7,0)),"",ROUND(VLOOKUP($B83,SportslineData!$AM:$AT,7,0),0))</f>
        <v>0</v>
      </c>
      <c r="N83" s="117"/>
      <c r="O83" s="33"/>
      <c r="P83" s="38">
        <f>IF(ISERROR(ROUND((((ROUNDDOWN((E83/5),0)*Settings!$F$11)+(D83*Settings!$I$11))+(F83*Settings!$F$12)),1)),0,ROUND((((ROUNDDOWN((E83/5),0)*Settings!$F$11)+(D83*Settings!$I$11))+(F83*Settings!$F$12)),1))</f>
        <v>0</v>
      </c>
      <c r="Q83" s="38">
        <f>IF(ISERROR(ROUND((((ROUNDDOWN((H83/5),0)*Settings!$F$11)+(G83*Settings!$I$11))+(I83*Settings!$F$12)),1)),0,ROUND((((ROUNDDOWN((H83/5),0)*Settings!$F$11)+(G83*Settings!$I$11))+(I83*Settings!$F$12)),1))</f>
        <v>0</v>
      </c>
      <c r="R83" s="38">
        <f>IF((J83=""),0,((((J83*Settings!$I$11)+(ROUND((K83/5),0)*Settings!$F$11))+(L83*Settings!$F$12))+(M83*Settings!$F$15)))</f>
        <v>18.5</v>
      </c>
      <c r="S83" s="66">
        <f>ROUND((((P83*Settings!$B$21)+(Q83*Settings!$B$22))+(R83*Settings!$B$23)),1)</f>
        <v>6.3</v>
      </c>
      <c r="T83" s="66">
        <f>IF(ISERROR(VLOOKUP(RANK(S83,S$4:S$182),T$4:T82,1,0)),RANK(S83,S$4:S$182),IF(ISERROR(VLOOKUP((RANK(S83,S$4:S$182)+1),T$4:T82,1,0)),(RANK(S83,S$4:S$182)+1),IF(ISERROR(VLOOKUP((RANK(S83,S$4:S$182)+2),T$4:T82,1,0)),(RANK(S83,S$4:S$182)+2),(RANK(S83,S$4:S$182)+3))))</f>
        <v>76</v>
      </c>
      <c r="U83" t="str">
        <f t="shared" si="8"/>
        <v>Sean McGrath</v>
      </c>
    </row>
    <row r="84" spans="1:21" ht="12.75" customHeight="1">
      <c r="A84" s="33" t="str">
        <f>ESPNData!AX87</f>
        <v>Jake Ballard, Ari TE</v>
      </c>
      <c r="B84" s="33" t="str">
        <f t="shared" si="6"/>
        <v>Jake Ballard</v>
      </c>
      <c r="C84" s="64" t="str">
        <f t="shared" si="7"/>
        <v>ARI</v>
      </c>
      <c r="D84" s="117" t="str">
        <f>IF(ISERROR(VLOOKUP($B84,FFTodayData!$AN:$AT,4,0)),"",VLOOKUP($B84,FFTodayData!$AN:$AT,4,0))</f>
        <v/>
      </c>
      <c r="E84" s="33" t="str">
        <f>IF(ISERROR(VLOOKUP($B84,FFTodayData!$AN:$AT,5,0)),"",VLOOKUP($B84,FFTodayData!$AN:$AT,5,0))</f>
        <v/>
      </c>
      <c r="F84" s="64" t="str">
        <f>IF(ISERROR(VLOOKUP($B84,FFTodayData!$AN:$AT,6,0)),"",VLOOKUP($B84,FFTodayData!$AN:$AT,6,0))</f>
        <v/>
      </c>
      <c r="G84" s="117">
        <f>IF(ISERROR(VLOOKUP($A84,ESPNData!$AX:$BK,11,0)),"",VLOOKUP($A84,ESPNData!$AX:$BK,11,0))</f>
        <v>0</v>
      </c>
      <c r="H84" s="33">
        <f>IF(ISERROR(VLOOKUP($A84,ESPNData!$AX:$BK,12,0)),"",VLOOKUP($A84,ESPNData!$AX:$BK,12,0))</f>
        <v>0</v>
      </c>
      <c r="I84" s="64">
        <f>IF(ISERROR(VLOOKUP($A84,ESPNData!$AX:$BK,13,0)),"",VLOOKUP($A84,ESPNData!$AX:$BK,13,0))</f>
        <v>0</v>
      </c>
      <c r="J84" s="117">
        <f>IF(ISERROR(VLOOKUP($B84,SportslineData!$AM:$AT,3,0)),"",ROUND(VLOOKUP($B84,SportslineData!$AM:$AT,3,0),0))</f>
        <v>8</v>
      </c>
      <c r="K84" s="33">
        <f>IF(ISERROR(VLOOKUP($B84,SportslineData!$AM:$AT,4,0)),"",VLOOKUP($B84,SportslineData!$AM:$AT,4,0))</f>
        <v>94</v>
      </c>
      <c r="L84" s="33">
        <f>IF(ISERROR(VLOOKUP($B84,SportslineData!$AM:$AT,6,0)),"",ROUND(VLOOKUP($B84,SportslineData!$AM:$AT,6,0),0))</f>
        <v>1</v>
      </c>
      <c r="M84" s="64">
        <f>IF(ISERROR(VLOOKUP($B84,SportslineData!$AM:$AT,7,0)),"",ROUND(VLOOKUP($B84,SportslineData!$AM:$AT,7,0),0))</f>
        <v>0</v>
      </c>
      <c r="N84" s="117"/>
      <c r="O84" s="33"/>
      <c r="P84" s="38">
        <f>IF(ISERROR(ROUND((((ROUNDDOWN((E84/5),0)*Settings!$F$11)+(D84*Settings!$I$11))+(F84*Settings!$F$12)),1)),0,ROUND((((ROUNDDOWN((E84/5),0)*Settings!$F$11)+(D84*Settings!$I$11))+(F84*Settings!$F$12)),1))</f>
        <v>0</v>
      </c>
      <c r="Q84" s="38">
        <f>IF(ISERROR(ROUND((((ROUNDDOWN((H84/5),0)*Settings!$F$11)+(G84*Settings!$I$11))+(I84*Settings!$F$12)),1)),0,ROUND((((ROUNDDOWN((H84/5),0)*Settings!$F$11)+(G84*Settings!$I$11))+(I84*Settings!$F$12)),1))</f>
        <v>0</v>
      </c>
      <c r="R84" s="38">
        <f>IF((J84=""),0,((((J84*Settings!$I$11)+(ROUND((K84/5),0)*Settings!$F$11))+(L84*Settings!$F$12))+(M84*Settings!$F$15)))</f>
        <v>19.5</v>
      </c>
      <c r="S84" s="66">
        <f>ROUND((((P84*Settings!$B$21)+(Q84*Settings!$B$22))+(R84*Settings!$B$23)),1)</f>
        <v>6.6</v>
      </c>
      <c r="T84" s="66">
        <f>IF(ISERROR(VLOOKUP(RANK(S84,S$4:S$182),T$4:T83,1,0)),RANK(S84,S$4:S$182),IF(ISERROR(VLOOKUP((RANK(S84,S$4:S$182)+1),T$4:T83,1,0)),(RANK(S84,S$4:S$182)+1),IF(ISERROR(VLOOKUP((RANK(S84,S$4:S$182)+2),T$4:T83,1,0)),(RANK(S84,S$4:S$182)+2),(RANK(S84,S$4:S$182)+3))))</f>
        <v>74</v>
      </c>
      <c r="U84" t="str">
        <f t="shared" si="8"/>
        <v>Jake Ballard</v>
      </c>
    </row>
    <row r="85" spans="1:21" ht="12.75" customHeight="1">
      <c r="A85" s="33" t="str">
        <f>ESPNData!AX88</f>
        <v>Tony Gonzalez, Atl TE</v>
      </c>
      <c r="B85" s="33" t="str">
        <f t="shared" si="6"/>
        <v>Tony Gonzalez</v>
      </c>
      <c r="C85" s="64" t="str">
        <f t="shared" si="7"/>
        <v>ATL</v>
      </c>
      <c r="D85" s="117" t="str">
        <f>IF(ISERROR(VLOOKUP($B85,FFTodayData!$AN:$AT,4,0)),"",VLOOKUP($B85,FFTodayData!$AN:$AT,4,0))</f>
        <v/>
      </c>
      <c r="E85" s="33" t="str">
        <f>IF(ISERROR(VLOOKUP($B85,FFTodayData!$AN:$AT,5,0)),"",VLOOKUP($B85,FFTodayData!$AN:$AT,5,0))</f>
        <v/>
      </c>
      <c r="F85" s="64" t="str">
        <f>IF(ISERROR(VLOOKUP($B85,FFTodayData!$AN:$AT,6,0)),"",VLOOKUP($B85,FFTodayData!$AN:$AT,6,0))</f>
        <v/>
      </c>
      <c r="G85" s="117" t="str">
        <f>IF(ISERROR(VLOOKUP($A85,ESPNData!$AX:$BK,11,0)),"",VLOOKUP($A85,ESPNData!$AX:$BK,11,0))</f>
        <v>--</v>
      </c>
      <c r="H85" s="33" t="str">
        <f>IF(ISERROR(VLOOKUP($A85,ESPNData!$AX:$BK,12,0)),"",VLOOKUP($A85,ESPNData!$AX:$BK,12,0))</f>
        <v>--</v>
      </c>
      <c r="I85" s="64" t="str">
        <f>IF(ISERROR(VLOOKUP($A85,ESPNData!$AX:$BK,13,0)),"",VLOOKUP($A85,ESPNData!$AX:$BK,13,0))</f>
        <v>--</v>
      </c>
      <c r="J85" s="117" t="str">
        <f>IF(ISERROR(VLOOKUP($B85,SportslineData!$AM:$AT,3,0)),"",ROUND(VLOOKUP($B85,SportslineData!$AM:$AT,3,0),0))</f>
        <v/>
      </c>
      <c r="K85" s="33" t="str">
        <f>IF(ISERROR(VLOOKUP($B85,SportslineData!$AM:$AT,4,0)),"",VLOOKUP($B85,SportslineData!$AM:$AT,4,0))</f>
        <v/>
      </c>
      <c r="L85" s="33" t="str">
        <f>IF(ISERROR(VLOOKUP($B85,SportslineData!$AM:$AT,6,0)),"",ROUND(VLOOKUP($B85,SportslineData!$AM:$AT,6,0),0))</f>
        <v/>
      </c>
      <c r="M85" s="64" t="str">
        <f>IF(ISERROR(VLOOKUP($B85,SportslineData!$AM:$AT,7,0)),"",ROUND(VLOOKUP($B85,SportslineData!$AM:$AT,7,0),0))</f>
        <v/>
      </c>
      <c r="N85" s="117"/>
      <c r="O85" s="33"/>
      <c r="P85" s="38">
        <f>IF(ISERROR(ROUND((((ROUNDDOWN((E85/5),0)*Settings!$F$11)+(D85*Settings!$I$11))+(F85*Settings!$F$12)),1)),0,ROUND((((ROUNDDOWN((E85/5),0)*Settings!$F$11)+(D85*Settings!$I$11))+(F85*Settings!$F$12)),1))</f>
        <v>0</v>
      </c>
      <c r="Q85" s="38">
        <f>IF(ISERROR(ROUND((((ROUNDDOWN((H85/5),0)*Settings!$F$11)+(G85*Settings!$I$11))+(I85*Settings!$F$12)),1)),0,ROUND((((ROUNDDOWN((H85/5),0)*Settings!$F$11)+(G85*Settings!$I$11))+(I85*Settings!$F$12)),1))</f>
        <v>0</v>
      </c>
      <c r="R85" s="38">
        <f>IF((J85=""),0,((((J85*Settings!$I$11)+(ROUND((K85/5),0)*Settings!$F$11))+(L85*Settings!$F$12))+(M85*Settings!$F$15)))</f>
        <v>0</v>
      </c>
      <c r="S85" s="66">
        <f>ROUND((((P85*Settings!$B$21)+(Q85*Settings!$B$22))+(R85*Settings!$B$23)),1)</f>
        <v>0</v>
      </c>
      <c r="T85" s="66">
        <f>IF(ISERROR(VLOOKUP(RANK(S85,S$4:S$182),T$4:T84,1,0)),RANK(S85,S$4:S$182),IF(ISERROR(VLOOKUP((RANK(S85,S$4:S$182)+1),T$4:T84,1,0)),(RANK(S85,S$4:S$182)+1),IF(ISERROR(VLOOKUP((RANK(S85,S$4:S$182)+2),T$4:T84,1,0)),(RANK(S85,S$4:S$182)+2),(RANK(S85,S$4:S$182)+3))))</f>
        <v>85</v>
      </c>
      <c r="U85" t="str">
        <f t="shared" si="8"/>
        <v>Tony Gonzalez</v>
      </c>
    </row>
    <row r="86" spans="1:21" ht="12.75" customHeight="1">
      <c r="A86" s="33" t="str">
        <f>ESPNData!AX89</f>
        <v>Reggie Kelly, FA TE</v>
      </c>
      <c r="B86" s="33" t="str">
        <f t="shared" si="6"/>
        <v>Reggie Kelly</v>
      </c>
      <c r="C86" s="64" t="str">
        <f t="shared" si="7"/>
        <v>FA</v>
      </c>
      <c r="D86" s="117" t="str">
        <f>IF(ISERROR(VLOOKUP($B86,FFTodayData!$AN:$AT,4,0)),"",VLOOKUP($B86,FFTodayData!$AN:$AT,4,0))</f>
        <v/>
      </c>
      <c r="E86" s="33" t="str">
        <f>IF(ISERROR(VLOOKUP($B86,FFTodayData!$AN:$AT,5,0)),"",VLOOKUP($B86,FFTodayData!$AN:$AT,5,0))</f>
        <v/>
      </c>
      <c r="F86" s="64" t="str">
        <f>IF(ISERROR(VLOOKUP($B86,FFTodayData!$AN:$AT,6,0)),"",VLOOKUP($B86,FFTodayData!$AN:$AT,6,0))</f>
        <v/>
      </c>
      <c r="G86" s="117" t="str">
        <f>IF(ISERROR(VLOOKUP($A86,ESPNData!$AX:$BK,11,0)),"",VLOOKUP($A86,ESPNData!$AX:$BK,11,0))</f>
        <v>--</v>
      </c>
      <c r="H86" s="33" t="str">
        <f>IF(ISERROR(VLOOKUP($A86,ESPNData!$AX:$BK,12,0)),"",VLOOKUP($A86,ESPNData!$AX:$BK,12,0))</f>
        <v>--</v>
      </c>
      <c r="I86" s="64" t="str">
        <f>IF(ISERROR(VLOOKUP($A86,ESPNData!$AX:$BK,13,0)),"",VLOOKUP($A86,ESPNData!$AX:$BK,13,0))</f>
        <v>--</v>
      </c>
      <c r="J86" s="117" t="str">
        <f>IF(ISERROR(VLOOKUP($B86,SportslineData!$AM:$AT,3,0)),"",ROUND(VLOOKUP($B86,SportslineData!$AM:$AT,3,0),0))</f>
        <v/>
      </c>
      <c r="K86" s="33" t="str">
        <f>IF(ISERROR(VLOOKUP($B86,SportslineData!$AM:$AT,4,0)),"",VLOOKUP($B86,SportslineData!$AM:$AT,4,0))</f>
        <v/>
      </c>
      <c r="L86" s="33" t="str">
        <f>IF(ISERROR(VLOOKUP($B86,SportslineData!$AM:$AT,6,0)),"",ROUND(VLOOKUP($B86,SportslineData!$AM:$AT,6,0),0))</f>
        <v/>
      </c>
      <c r="M86" s="64" t="str">
        <f>IF(ISERROR(VLOOKUP($B86,SportslineData!$AM:$AT,7,0)),"",ROUND(VLOOKUP($B86,SportslineData!$AM:$AT,7,0),0))</f>
        <v/>
      </c>
      <c r="N86" s="117"/>
      <c r="O86" s="33"/>
      <c r="P86" s="38">
        <f>IF(ISERROR(ROUND((((ROUNDDOWN((E86/5),0)*Settings!$F$11)+(D86*Settings!$I$11))+(F86*Settings!$F$12)),1)),0,ROUND((((ROUNDDOWN((E86/5),0)*Settings!$F$11)+(D86*Settings!$I$11))+(F86*Settings!$F$12)),1))</f>
        <v>0</v>
      </c>
      <c r="Q86" s="38">
        <f>IF(ISERROR(ROUND((((ROUNDDOWN((H86/5),0)*Settings!$F$11)+(G86*Settings!$I$11))+(I86*Settings!$F$12)),1)),0,ROUND((((ROUNDDOWN((H86/5),0)*Settings!$F$11)+(G86*Settings!$I$11))+(I86*Settings!$F$12)),1))</f>
        <v>0</v>
      </c>
      <c r="R86" s="38">
        <f>IF((J86=""),0,((((J86*Settings!$I$11)+(ROUND((K86/5),0)*Settings!$F$11))+(L86*Settings!$F$12))+(M86*Settings!$F$15)))</f>
        <v>0</v>
      </c>
      <c r="S86" s="66">
        <f>ROUND((((P86*Settings!$B$21)+(Q86*Settings!$B$22))+(R86*Settings!$B$23)),1)</f>
        <v>0</v>
      </c>
      <c r="T86" s="66">
        <f>IF(ISERROR(VLOOKUP(RANK(S86,S$4:S$182),T$4:T85,1,0)),RANK(S86,S$4:S$182),IF(ISERROR(VLOOKUP((RANK(S86,S$4:S$182)+1),T$4:T85,1,0)),(RANK(S86,S$4:S$182)+1),IF(ISERROR(VLOOKUP((RANK(S86,S$4:S$182)+2),T$4:T85,1,0)),(RANK(S86,S$4:S$182)+2),(RANK(S86,S$4:S$182)+3))))</f>
        <v>86</v>
      </c>
      <c r="U86" t="str">
        <f t="shared" si="8"/>
        <v>Reggie Kelly</v>
      </c>
    </row>
    <row r="87" spans="1:21" ht="12.75" customHeight="1">
      <c r="A87" s="33" t="str">
        <f>ESPNData!AX90</f>
        <v>Jimmy Kleinsasser, FA TE</v>
      </c>
      <c r="B87" s="33" t="str">
        <f t="shared" si="6"/>
        <v>Jimmy Kleinsasser</v>
      </c>
      <c r="C87" s="64" t="str">
        <f t="shared" si="7"/>
        <v>FA</v>
      </c>
      <c r="D87" s="117" t="str">
        <f>IF(ISERROR(VLOOKUP($B87,FFTodayData!$AN:$AT,4,0)),"",VLOOKUP($B87,FFTodayData!$AN:$AT,4,0))</f>
        <v/>
      </c>
      <c r="E87" s="33" t="str">
        <f>IF(ISERROR(VLOOKUP($B87,FFTodayData!$AN:$AT,5,0)),"",VLOOKUP($B87,FFTodayData!$AN:$AT,5,0))</f>
        <v/>
      </c>
      <c r="F87" s="64" t="str">
        <f>IF(ISERROR(VLOOKUP($B87,FFTodayData!$AN:$AT,6,0)),"",VLOOKUP($B87,FFTodayData!$AN:$AT,6,0))</f>
        <v/>
      </c>
      <c r="G87" s="117" t="str">
        <f>IF(ISERROR(VLOOKUP($A87,ESPNData!$AX:$BK,11,0)),"",VLOOKUP($A87,ESPNData!$AX:$BK,11,0))</f>
        <v>--</v>
      </c>
      <c r="H87" s="33" t="str">
        <f>IF(ISERROR(VLOOKUP($A87,ESPNData!$AX:$BK,12,0)),"",VLOOKUP($A87,ESPNData!$AX:$BK,12,0))</f>
        <v>--</v>
      </c>
      <c r="I87" s="64" t="str">
        <f>IF(ISERROR(VLOOKUP($A87,ESPNData!$AX:$BK,13,0)),"",VLOOKUP($A87,ESPNData!$AX:$BK,13,0))</f>
        <v>--</v>
      </c>
      <c r="J87" s="117" t="str">
        <f>IF(ISERROR(VLOOKUP($B87,SportslineData!$AM:$AT,3,0)),"",ROUND(VLOOKUP($B87,SportslineData!$AM:$AT,3,0),0))</f>
        <v/>
      </c>
      <c r="K87" s="33" t="str">
        <f>IF(ISERROR(VLOOKUP($B87,SportslineData!$AM:$AT,4,0)),"",VLOOKUP($B87,SportslineData!$AM:$AT,4,0))</f>
        <v/>
      </c>
      <c r="L87" s="33" t="str">
        <f>IF(ISERROR(VLOOKUP($B87,SportslineData!$AM:$AT,6,0)),"",ROUND(VLOOKUP($B87,SportslineData!$AM:$AT,6,0),0))</f>
        <v/>
      </c>
      <c r="M87" s="64" t="str">
        <f>IF(ISERROR(VLOOKUP($B87,SportslineData!$AM:$AT,7,0)),"",ROUND(VLOOKUP($B87,SportslineData!$AM:$AT,7,0),0))</f>
        <v/>
      </c>
      <c r="N87" s="117"/>
      <c r="O87" s="33"/>
      <c r="P87" s="38">
        <f>IF(ISERROR(ROUND((((ROUNDDOWN((E87/5),0)*Settings!$F$11)+(D87*Settings!$I$11))+(F87*Settings!$F$12)),1)),0,ROUND((((ROUNDDOWN((E87/5),0)*Settings!$F$11)+(D87*Settings!$I$11))+(F87*Settings!$F$12)),1))</f>
        <v>0</v>
      </c>
      <c r="Q87" s="38">
        <f>IF(ISERROR(ROUND((((ROUNDDOWN((H87/5),0)*Settings!$F$11)+(G87*Settings!$I$11))+(I87*Settings!$F$12)),1)),0,ROUND((((ROUNDDOWN((H87/5),0)*Settings!$F$11)+(G87*Settings!$I$11))+(I87*Settings!$F$12)),1))</f>
        <v>0</v>
      </c>
      <c r="R87" s="38">
        <f>IF((J87=""),0,((((J87*Settings!$I$11)+(ROUND((K87/5),0)*Settings!$F$11))+(L87*Settings!$F$12))+(M87*Settings!$F$15)))</f>
        <v>0</v>
      </c>
      <c r="S87" s="66">
        <f>ROUND((((P87*Settings!$B$21)+(Q87*Settings!$B$22))+(R87*Settings!$B$23)),1)</f>
        <v>0</v>
      </c>
      <c r="T87" s="66">
        <f>IF(ISERROR(VLOOKUP(RANK(S87,S$4:S$182),T$4:T86,1,0)),RANK(S87,S$4:S$182),IF(ISERROR(VLOOKUP((RANK(S87,S$4:S$182)+1),T$4:T86,1,0)),(RANK(S87,S$4:S$182)+1),IF(ISERROR(VLOOKUP((RANK(S87,S$4:S$182)+2),T$4:T86,1,0)),(RANK(S87,S$4:S$182)+2),(RANK(S87,S$4:S$182)+3))))</f>
        <v>87</v>
      </c>
      <c r="U87" t="str">
        <f t="shared" si="8"/>
        <v>Jimmy Kleinsasser</v>
      </c>
    </row>
    <row r="88" spans="1:21" ht="12.75" customHeight="1">
      <c r="A88" s="33" t="str">
        <f>ESPNData!AX91</f>
        <v>Desmond Clark, FA TE</v>
      </c>
      <c r="B88" s="33" t="str">
        <f t="shared" si="6"/>
        <v>Desmond Clark</v>
      </c>
      <c r="C88" s="64" t="str">
        <f t="shared" si="7"/>
        <v>FA</v>
      </c>
      <c r="D88" s="117" t="str">
        <f>IF(ISERROR(VLOOKUP($B88,FFTodayData!$AN:$AT,4,0)),"",VLOOKUP($B88,FFTodayData!$AN:$AT,4,0))</f>
        <v/>
      </c>
      <c r="E88" s="33" t="str">
        <f>IF(ISERROR(VLOOKUP($B88,FFTodayData!$AN:$AT,5,0)),"",VLOOKUP($B88,FFTodayData!$AN:$AT,5,0))</f>
        <v/>
      </c>
      <c r="F88" s="64" t="str">
        <f>IF(ISERROR(VLOOKUP($B88,FFTodayData!$AN:$AT,6,0)),"",VLOOKUP($B88,FFTodayData!$AN:$AT,6,0))</f>
        <v/>
      </c>
      <c r="G88" s="117" t="str">
        <f>IF(ISERROR(VLOOKUP($A88,ESPNData!$AX:$BK,11,0)),"",VLOOKUP($A88,ESPNData!$AX:$BK,11,0))</f>
        <v>--</v>
      </c>
      <c r="H88" s="33" t="str">
        <f>IF(ISERROR(VLOOKUP($A88,ESPNData!$AX:$BK,12,0)),"",VLOOKUP($A88,ESPNData!$AX:$BK,12,0))</f>
        <v>--</v>
      </c>
      <c r="I88" s="64" t="str">
        <f>IF(ISERROR(VLOOKUP($A88,ESPNData!$AX:$BK,13,0)),"",VLOOKUP($A88,ESPNData!$AX:$BK,13,0))</f>
        <v>--</v>
      </c>
      <c r="J88" s="117" t="str">
        <f>IF(ISERROR(VLOOKUP($B88,SportslineData!$AM:$AT,3,0)),"",ROUND(VLOOKUP($B88,SportslineData!$AM:$AT,3,0),0))</f>
        <v/>
      </c>
      <c r="K88" s="33" t="str">
        <f>IF(ISERROR(VLOOKUP($B88,SportslineData!$AM:$AT,4,0)),"",VLOOKUP($B88,SportslineData!$AM:$AT,4,0))</f>
        <v/>
      </c>
      <c r="L88" s="33" t="str">
        <f>IF(ISERROR(VLOOKUP($B88,SportslineData!$AM:$AT,6,0)),"",ROUND(VLOOKUP($B88,SportslineData!$AM:$AT,6,0),0))</f>
        <v/>
      </c>
      <c r="M88" s="64" t="str">
        <f>IF(ISERROR(VLOOKUP($B88,SportslineData!$AM:$AT,7,0)),"",ROUND(VLOOKUP($B88,SportslineData!$AM:$AT,7,0),0))</f>
        <v/>
      </c>
      <c r="N88" s="117"/>
      <c r="O88" s="33"/>
      <c r="P88" s="38">
        <f>IF(ISERROR(ROUND((((ROUNDDOWN((E88/5),0)*Settings!$F$11)+(D88*Settings!$I$11))+(F88*Settings!$F$12)),1)),0,ROUND((((ROUNDDOWN((E88/5),0)*Settings!$F$11)+(D88*Settings!$I$11))+(F88*Settings!$F$12)),1))</f>
        <v>0</v>
      </c>
      <c r="Q88" s="38">
        <f>IF(ISERROR(ROUND((((ROUNDDOWN((H88/5),0)*Settings!$F$11)+(G88*Settings!$I$11))+(I88*Settings!$F$12)),1)),0,ROUND((((ROUNDDOWN((H88/5),0)*Settings!$F$11)+(G88*Settings!$I$11))+(I88*Settings!$F$12)),1))</f>
        <v>0</v>
      </c>
      <c r="R88" s="38">
        <f>IF((J88=""),0,((((J88*Settings!$I$11)+(ROUND((K88/5),0)*Settings!$F$11))+(L88*Settings!$F$12))+(M88*Settings!$F$15)))</f>
        <v>0</v>
      </c>
      <c r="S88" s="66">
        <f>ROUND((((P88*Settings!$B$21)+(Q88*Settings!$B$22))+(R88*Settings!$B$23)),1)</f>
        <v>0</v>
      </c>
      <c r="T88" s="66">
        <f>IF(ISERROR(VLOOKUP(RANK(S88,S$4:S$182),T$4:T87,1,0)),RANK(S88,S$4:S$182),IF(ISERROR(VLOOKUP((RANK(S88,S$4:S$182)+1),T$4:T87,1,0)),(RANK(S88,S$4:S$182)+1),IF(ISERROR(VLOOKUP((RANK(S88,S$4:S$182)+2),T$4:T87,1,0)),(RANK(S88,S$4:S$182)+2),(RANK(S88,S$4:S$182)+3))))</f>
        <v>87</v>
      </c>
      <c r="U88" t="str">
        <f t="shared" si="8"/>
        <v>Desmond Clark</v>
      </c>
    </row>
    <row r="89" spans="1:21" ht="12.75" customHeight="1">
      <c r="A89" s="33" t="str">
        <f>ESPNData!AX92</f>
        <v>Anthony Becht, FA TE</v>
      </c>
      <c r="B89" s="33" t="str">
        <f t="shared" si="6"/>
        <v>Anthony Becht</v>
      </c>
      <c r="C89" s="64" t="str">
        <f t="shared" si="7"/>
        <v>FA</v>
      </c>
      <c r="D89" s="117" t="str">
        <f>IF(ISERROR(VLOOKUP($B89,FFTodayData!$AN:$AT,4,0)),"",VLOOKUP($B89,FFTodayData!$AN:$AT,4,0))</f>
        <v/>
      </c>
      <c r="E89" s="33" t="str">
        <f>IF(ISERROR(VLOOKUP($B89,FFTodayData!$AN:$AT,5,0)),"",VLOOKUP($B89,FFTodayData!$AN:$AT,5,0))</f>
        <v/>
      </c>
      <c r="F89" s="64" t="str">
        <f>IF(ISERROR(VLOOKUP($B89,FFTodayData!$AN:$AT,6,0)),"",VLOOKUP($B89,FFTodayData!$AN:$AT,6,0))</f>
        <v/>
      </c>
      <c r="G89" s="117" t="str">
        <f>IF(ISERROR(VLOOKUP($A89,ESPNData!$AX:$BK,11,0)),"",VLOOKUP($A89,ESPNData!$AX:$BK,11,0))</f>
        <v>--</v>
      </c>
      <c r="H89" s="33" t="str">
        <f>IF(ISERROR(VLOOKUP($A89,ESPNData!$AX:$BK,12,0)),"",VLOOKUP($A89,ESPNData!$AX:$BK,12,0))</f>
        <v>--</v>
      </c>
      <c r="I89" s="64" t="str">
        <f>IF(ISERROR(VLOOKUP($A89,ESPNData!$AX:$BK,13,0)),"",VLOOKUP($A89,ESPNData!$AX:$BK,13,0))</f>
        <v>--</v>
      </c>
      <c r="J89" s="117" t="str">
        <f>IF(ISERROR(VLOOKUP($B89,SportslineData!$AM:$AT,3,0)),"",ROUND(VLOOKUP($B89,SportslineData!$AM:$AT,3,0),0))</f>
        <v/>
      </c>
      <c r="K89" s="33" t="str">
        <f>IF(ISERROR(VLOOKUP($B89,SportslineData!$AM:$AT,4,0)),"",VLOOKUP($B89,SportslineData!$AM:$AT,4,0))</f>
        <v/>
      </c>
      <c r="L89" s="33" t="str">
        <f>IF(ISERROR(VLOOKUP($B89,SportslineData!$AM:$AT,6,0)),"",ROUND(VLOOKUP($B89,SportslineData!$AM:$AT,6,0),0))</f>
        <v/>
      </c>
      <c r="M89" s="64" t="str">
        <f>IF(ISERROR(VLOOKUP($B89,SportslineData!$AM:$AT,7,0)),"",ROUND(VLOOKUP($B89,SportslineData!$AM:$AT,7,0),0))</f>
        <v/>
      </c>
      <c r="N89" s="117"/>
      <c r="O89" s="33"/>
      <c r="P89" s="38">
        <f>IF(ISERROR(ROUND((((ROUNDDOWN((E89/5),0)*Settings!$F$11)+(D89*Settings!$I$11))+(F89*Settings!$F$12)),1)),0,ROUND((((ROUNDDOWN((E89/5),0)*Settings!$F$11)+(D89*Settings!$I$11))+(F89*Settings!$F$12)),1))</f>
        <v>0</v>
      </c>
      <c r="Q89" s="38">
        <f>IF(ISERROR(ROUND((((ROUNDDOWN((H89/5),0)*Settings!$F$11)+(G89*Settings!$I$11))+(I89*Settings!$F$12)),1)),0,ROUND((((ROUNDDOWN((H89/5),0)*Settings!$F$11)+(G89*Settings!$I$11))+(I89*Settings!$F$12)),1))</f>
        <v>0</v>
      </c>
      <c r="R89" s="38">
        <f>IF((J89=""),0,((((J89*Settings!$I$11)+(ROUND((K89/5),0)*Settings!$F$11))+(L89*Settings!$F$12))+(M89*Settings!$F$15)))</f>
        <v>0</v>
      </c>
      <c r="S89" s="66">
        <f>ROUND((((P89*Settings!$B$21)+(Q89*Settings!$B$22))+(R89*Settings!$B$23)),1)</f>
        <v>0</v>
      </c>
      <c r="T89" s="66">
        <f>IF(ISERROR(VLOOKUP(RANK(S89,S$4:S$182),T$4:T88,1,0)),RANK(S89,S$4:S$182),IF(ISERROR(VLOOKUP((RANK(S89,S$4:S$182)+1),T$4:T88,1,0)),(RANK(S89,S$4:S$182)+1),IF(ISERROR(VLOOKUP((RANK(S89,S$4:S$182)+2),T$4:T88,1,0)),(RANK(S89,S$4:S$182)+2),(RANK(S89,S$4:S$182)+3))))</f>
        <v>87</v>
      </c>
      <c r="U89" t="str">
        <f t="shared" si="8"/>
        <v>Anthony Becht</v>
      </c>
    </row>
    <row r="90" spans="1:21" ht="12.75" customHeight="1">
      <c r="A90" s="33" t="str">
        <f>ESPNData!AX93</f>
        <v>Brian Jennings, FA TE</v>
      </c>
      <c r="B90" s="33" t="str">
        <f t="shared" si="6"/>
        <v>Brian Jennings</v>
      </c>
      <c r="C90" s="64" t="str">
        <f t="shared" si="7"/>
        <v>FA</v>
      </c>
      <c r="D90" s="117" t="str">
        <f>IF(ISERROR(VLOOKUP($B90,FFTodayData!$AN:$AT,4,0)),"",VLOOKUP($B90,FFTodayData!$AN:$AT,4,0))</f>
        <v/>
      </c>
      <c r="E90" s="33" t="str">
        <f>IF(ISERROR(VLOOKUP($B90,FFTodayData!$AN:$AT,5,0)),"",VLOOKUP($B90,FFTodayData!$AN:$AT,5,0))</f>
        <v/>
      </c>
      <c r="F90" s="64" t="str">
        <f>IF(ISERROR(VLOOKUP($B90,FFTodayData!$AN:$AT,6,0)),"",VLOOKUP($B90,FFTodayData!$AN:$AT,6,0))</f>
        <v/>
      </c>
      <c r="G90" s="117" t="str">
        <f>IF(ISERROR(VLOOKUP($A90,ESPNData!$AX:$BK,11,0)),"",VLOOKUP($A90,ESPNData!$AX:$BK,11,0))</f>
        <v>--</v>
      </c>
      <c r="H90" s="33" t="str">
        <f>IF(ISERROR(VLOOKUP($A90,ESPNData!$AX:$BK,12,0)),"",VLOOKUP($A90,ESPNData!$AX:$BK,12,0))</f>
        <v>--</v>
      </c>
      <c r="I90" s="64" t="str">
        <f>IF(ISERROR(VLOOKUP($A90,ESPNData!$AX:$BK,13,0)),"",VLOOKUP($A90,ESPNData!$AX:$BK,13,0))</f>
        <v>--</v>
      </c>
      <c r="J90" s="117" t="str">
        <f>IF(ISERROR(VLOOKUP($B90,SportslineData!$AM:$AT,3,0)),"",ROUND(VLOOKUP($B90,SportslineData!$AM:$AT,3,0),0))</f>
        <v/>
      </c>
      <c r="K90" s="33" t="str">
        <f>IF(ISERROR(VLOOKUP($B90,SportslineData!$AM:$AT,4,0)),"",VLOOKUP($B90,SportslineData!$AM:$AT,4,0))</f>
        <v/>
      </c>
      <c r="L90" s="33" t="str">
        <f>IF(ISERROR(VLOOKUP($B90,SportslineData!$AM:$AT,6,0)),"",ROUND(VLOOKUP($B90,SportslineData!$AM:$AT,6,0),0))</f>
        <v/>
      </c>
      <c r="M90" s="64" t="str">
        <f>IF(ISERROR(VLOOKUP($B90,SportslineData!$AM:$AT,7,0)),"",ROUND(VLOOKUP($B90,SportslineData!$AM:$AT,7,0),0))</f>
        <v/>
      </c>
      <c r="N90" s="117"/>
      <c r="O90" s="33"/>
      <c r="P90" s="38">
        <f>IF(ISERROR(ROUND((((ROUNDDOWN((E90/5),0)*Settings!$F$11)+(D90*Settings!$I$11))+(F90*Settings!$F$12)),1)),0,ROUND((((ROUNDDOWN((E90/5),0)*Settings!$F$11)+(D90*Settings!$I$11))+(F90*Settings!$F$12)),1))</f>
        <v>0</v>
      </c>
      <c r="Q90" s="38">
        <f>IF(ISERROR(ROUND((((ROUNDDOWN((H90/5),0)*Settings!$F$11)+(G90*Settings!$I$11))+(I90*Settings!$F$12)),1)),0,ROUND((((ROUNDDOWN((H90/5),0)*Settings!$F$11)+(G90*Settings!$I$11))+(I90*Settings!$F$12)),1))</f>
        <v>0</v>
      </c>
      <c r="R90" s="38">
        <f>IF((J90=""),0,((((J90*Settings!$I$11)+(ROUND((K90/5),0)*Settings!$F$11))+(L90*Settings!$F$12))+(M90*Settings!$F$15)))</f>
        <v>0</v>
      </c>
      <c r="S90" s="66">
        <f>ROUND((((P90*Settings!$B$21)+(Q90*Settings!$B$22))+(R90*Settings!$B$23)),1)</f>
        <v>0</v>
      </c>
      <c r="T90" s="66">
        <f>IF(ISERROR(VLOOKUP(RANK(S90,S$4:S$182),T$4:T89,1,0)),RANK(S90,S$4:S$182),IF(ISERROR(VLOOKUP((RANK(S90,S$4:S$182)+1),T$4:T89,1,0)),(RANK(S90,S$4:S$182)+1),IF(ISERROR(VLOOKUP((RANK(S90,S$4:S$182)+2),T$4:T89,1,0)),(RANK(S90,S$4:S$182)+2),(RANK(S90,S$4:S$182)+3))))</f>
        <v>87</v>
      </c>
      <c r="U90" t="str">
        <f t="shared" si="8"/>
        <v>Brian Jennings</v>
      </c>
    </row>
    <row r="91" spans="1:21" ht="12.75" customHeight="1">
      <c r="A91" s="33" t="str">
        <f>ESPNData!AX94</f>
        <v>Justin Snow, FA TE</v>
      </c>
      <c r="B91" s="33" t="str">
        <f t="shared" si="6"/>
        <v>Justin Snow</v>
      </c>
      <c r="C91" s="64" t="str">
        <f t="shared" si="7"/>
        <v>FA</v>
      </c>
      <c r="D91" s="117" t="str">
        <f>IF(ISERROR(VLOOKUP($B91,FFTodayData!$AN:$AT,4,0)),"",VLOOKUP($B91,FFTodayData!$AN:$AT,4,0))</f>
        <v/>
      </c>
      <c r="E91" s="33" t="str">
        <f>IF(ISERROR(VLOOKUP($B91,FFTodayData!$AN:$AT,5,0)),"",VLOOKUP($B91,FFTodayData!$AN:$AT,5,0))</f>
        <v/>
      </c>
      <c r="F91" s="64" t="str">
        <f>IF(ISERROR(VLOOKUP($B91,FFTodayData!$AN:$AT,6,0)),"",VLOOKUP($B91,FFTodayData!$AN:$AT,6,0))</f>
        <v/>
      </c>
      <c r="G91" s="117" t="str">
        <f>IF(ISERROR(VLOOKUP($A91,ESPNData!$AX:$BK,11,0)),"",VLOOKUP($A91,ESPNData!$AX:$BK,11,0))</f>
        <v>--</v>
      </c>
      <c r="H91" s="33" t="str">
        <f>IF(ISERROR(VLOOKUP($A91,ESPNData!$AX:$BK,12,0)),"",VLOOKUP($A91,ESPNData!$AX:$BK,12,0))</f>
        <v>--</v>
      </c>
      <c r="I91" s="64" t="str">
        <f>IF(ISERROR(VLOOKUP($A91,ESPNData!$AX:$BK,13,0)),"",VLOOKUP($A91,ESPNData!$AX:$BK,13,0))</f>
        <v>--</v>
      </c>
      <c r="J91" s="117" t="str">
        <f>IF(ISERROR(VLOOKUP($B91,SportslineData!$AM:$AT,3,0)),"",ROUND(VLOOKUP($B91,SportslineData!$AM:$AT,3,0),0))</f>
        <v/>
      </c>
      <c r="K91" s="33" t="str">
        <f>IF(ISERROR(VLOOKUP($B91,SportslineData!$AM:$AT,4,0)),"",VLOOKUP($B91,SportslineData!$AM:$AT,4,0))</f>
        <v/>
      </c>
      <c r="L91" s="33" t="str">
        <f>IF(ISERROR(VLOOKUP($B91,SportslineData!$AM:$AT,6,0)),"",ROUND(VLOOKUP($B91,SportslineData!$AM:$AT,6,0),0))</f>
        <v/>
      </c>
      <c r="M91" s="64" t="str">
        <f>IF(ISERROR(VLOOKUP($B91,SportslineData!$AM:$AT,7,0)),"",ROUND(VLOOKUP($B91,SportslineData!$AM:$AT,7,0),0))</f>
        <v/>
      </c>
      <c r="N91" s="117"/>
      <c r="O91" s="33"/>
      <c r="P91" s="38">
        <f>IF(ISERROR(ROUND((((ROUNDDOWN((E91/5),0)*Settings!$F$11)+(D91*Settings!$I$11))+(F91*Settings!$F$12)),1)),0,ROUND((((ROUNDDOWN((E91/5),0)*Settings!$F$11)+(D91*Settings!$I$11))+(F91*Settings!$F$12)),1))</f>
        <v>0</v>
      </c>
      <c r="Q91" s="38">
        <f>IF(ISERROR(ROUND((((ROUNDDOWN((H91/5),0)*Settings!$F$11)+(G91*Settings!$I$11))+(I91*Settings!$F$12)),1)),0,ROUND((((ROUNDDOWN((H91/5),0)*Settings!$F$11)+(G91*Settings!$I$11))+(I91*Settings!$F$12)),1))</f>
        <v>0</v>
      </c>
      <c r="R91" s="38">
        <f>IF((J91=""),0,((((J91*Settings!$I$11)+(ROUND((K91/5),0)*Settings!$F$11))+(L91*Settings!$F$12))+(M91*Settings!$F$15)))</f>
        <v>0</v>
      </c>
      <c r="S91" s="66">
        <f>ROUND((((P91*Settings!$B$21)+(Q91*Settings!$B$22))+(R91*Settings!$B$23)),1)</f>
        <v>0</v>
      </c>
      <c r="T91" s="66">
        <f>IF(ISERROR(VLOOKUP(RANK(S91,S$4:S$182),T$4:T90,1,0)),RANK(S91,S$4:S$182),IF(ISERROR(VLOOKUP((RANK(S91,S$4:S$182)+1),T$4:T90,1,0)),(RANK(S91,S$4:S$182)+1),IF(ISERROR(VLOOKUP((RANK(S91,S$4:S$182)+2),T$4:T90,1,0)),(RANK(S91,S$4:S$182)+2),(RANK(S91,S$4:S$182)+3))))</f>
        <v>87</v>
      </c>
      <c r="U91" t="str">
        <f t="shared" si="8"/>
        <v>Justin Snow</v>
      </c>
    </row>
    <row r="92" spans="1:21" ht="12.75" customHeight="1">
      <c r="A92" s="33" t="str">
        <f>ESPNData!AX95</f>
        <v>Todd Heap, FA TE</v>
      </c>
      <c r="B92" s="33" t="str">
        <f t="shared" si="6"/>
        <v>Todd Heap</v>
      </c>
      <c r="C92" s="64" t="str">
        <f t="shared" si="7"/>
        <v>FA</v>
      </c>
      <c r="D92" s="117" t="str">
        <f>IF(ISERROR(VLOOKUP($B92,FFTodayData!$AN:$AT,4,0)),"",VLOOKUP($B92,FFTodayData!$AN:$AT,4,0))</f>
        <v/>
      </c>
      <c r="E92" s="33" t="str">
        <f>IF(ISERROR(VLOOKUP($B92,FFTodayData!$AN:$AT,5,0)),"",VLOOKUP($B92,FFTodayData!$AN:$AT,5,0))</f>
        <v/>
      </c>
      <c r="F92" s="64" t="str">
        <f>IF(ISERROR(VLOOKUP($B92,FFTodayData!$AN:$AT,6,0)),"",VLOOKUP($B92,FFTodayData!$AN:$AT,6,0))</f>
        <v/>
      </c>
      <c r="G92" s="117" t="str">
        <f>IF(ISERROR(VLOOKUP($A92,ESPNData!$AX:$BK,11,0)),"",VLOOKUP($A92,ESPNData!$AX:$BK,11,0))</f>
        <v>--</v>
      </c>
      <c r="H92" s="33" t="str">
        <f>IF(ISERROR(VLOOKUP($A92,ESPNData!$AX:$BK,12,0)),"",VLOOKUP($A92,ESPNData!$AX:$BK,12,0))</f>
        <v>--</v>
      </c>
      <c r="I92" s="64" t="str">
        <f>IF(ISERROR(VLOOKUP($A92,ESPNData!$AX:$BK,13,0)),"",VLOOKUP($A92,ESPNData!$AX:$BK,13,0))</f>
        <v>--</v>
      </c>
      <c r="J92" s="117" t="str">
        <f>IF(ISERROR(VLOOKUP($B92,SportslineData!$AM:$AT,3,0)),"",ROUND(VLOOKUP($B92,SportslineData!$AM:$AT,3,0),0))</f>
        <v/>
      </c>
      <c r="K92" s="33" t="str">
        <f>IF(ISERROR(VLOOKUP($B92,SportslineData!$AM:$AT,4,0)),"",VLOOKUP($B92,SportslineData!$AM:$AT,4,0))</f>
        <v/>
      </c>
      <c r="L92" s="33" t="str">
        <f>IF(ISERROR(VLOOKUP($B92,SportslineData!$AM:$AT,6,0)),"",ROUND(VLOOKUP($B92,SportslineData!$AM:$AT,6,0),0))</f>
        <v/>
      </c>
      <c r="M92" s="64" t="str">
        <f>IF(ISERROR(VLOOKUP($B92,SportslineData!$AM:$AT,7,0)),"",ROUND(VLOOKUP($B92,SportslineData!$AM:$AT,7,0),0))</f>
        <v/>
      </c>
      <c r="N92" s="117"/>
      <c r="O92" s="33"/>
      <c r="P92" s="38">
        <f>IF(ISERROR(ROUND((((ROUNDDOWN((E92/5),0)*Settings!$F$11)+(D92*Settings!$I$11))+(F92*Settings!$F$12)),1)),0,ROUND((((ROUNDDOWN((E92/5),0)*Settings!$F$11)+(D92*Settings!$I$11))+(F92*Settings!$F$12)),1))</f>
        <v>0</v>
      </c>
      <c r="Q92" s="38">
        <f>IF(ISERROR(ROUND((((ROUNDDOWN((H92/5),0)*Settings!$F$11)+(G92*Settings!$I$11))+(I92*Settings!$F$12)),1)),0,ROUND((((ROUNDDOWN((H92/5),0)*Settings!$F$11)+(G92*Settings!$I$11))+(I92*Settings!$F$12)),1))</f>
        <v>0</v>
      </c>
      <c r="R92" s="38">
        <f>IF((J92=""),0,((((J92*Settings!$I$11)+(ROUND((K92/5),0)*Settings!$F$11))+(L92*Settings!$F$12))+(M92*Settings!$F$15)))</f>
        <v>0</v>
      </c>
      <c r="S92" s="66">
        <f>ROUND((((P92*Settings!$B$21)+(Q92*Settings!$B$22))+(R92*Settings!$B$23)),1)</f>
        <v>0</v>
      </c>
      <c r="T92" s="66">
        <f>IF(ISERROR(VLOOKUP(RANK(S92,S$4:S$182),T$4:T91,1,0)),RANK(S92,S$4:S$182),IF(ISERROR(VLOOKUP((RANK(S92,S$4:S$182)+1),T$4:T91,1,0)),(RANK(S92,S$4:S$182)+1),IF(ISERROR(VLOOKUP((RANK(S92,S$4:S$182)+2),T$4:T91,1,0)),(RANK(S92,S$4:S$182)+2),(RANK(S92,S$4:S$182)+3))))</f>
        <v>87</v>
      </c>
      <c r="U92" t="str">
        <f t="shared" si="8"/>
        <v>Todd Heap</v>
      </c>
    </row>
    <row r="93" spans="1:21" ht="12.75" customHeight="1">
      <c r="A93" s="33" t="str">
        <f>ESPNData!AX96</f>
        <v>Alge Crumpler, FA TE</v>
      </c>
      <c r="B93" s="33" t="str">
        <f t="shared" si="6"/>
        <v>Alge Crumpler</v>
      </c>
      <c r="C93" s="64" t="str">
        <f t="shared" si="7"/>
        <v>FA</v>
      </c>
      <c r="D93" s="117" t="str">
        <f>IF(ISERROR(VLOOKUP($B93,FFTodayData!$AN:$AT,4,0)),"",VLOOKUP($B93,FFTodayData!$AN:$AT,4,0))</f>
        <v/>
      </c>
      <c r="E93" s="33" t="str">
        <f>IF(ISERROR(VLOOKUP($B93,FFTodayData!$AN:$AT,5,0)),"",VLOOKUP($B93,FFTodayData!$AN:$AT,5,0))</f>
        <v/>
      </c>
      <c r="F93" s="64" t="str">
        <f>IF(ISERROR(VLOOKUP($B93,FFTodayData!$AN:$AT,6,0)),"",VLOOKUP($B93,FFTodayData!$AN:$AT,6,0))</f>
        <v/>
      </c>
      <c r="G93" s="117" t="str">
        <f>IF(ISERROR(VLOOKUP($A93,ESPNData!$AX:$BK,11,0)),"",VLOOKUP($A93,ESPNData!$AX:$BK,11,0))</f>
        <v>--</v>
      </c>
      <c r="H93" s="33" t="str">
        <f>IF(ISERROR(VLOOKUP($A93,ESPNData!$AX:$BK,12,0)),"",VLOOKUP($A93,ESPNData!$AX:$BK,12,0))</f>
        <v>--</v>
      </c>
      <c r="I93" s="64" t="str">
        <f>IF(ISERROR(VLOOKUP($A93,ESPNData!$AX:$BK,13,0)),"",VLOOKUP($A93,ESPNData!$AX:$BK,13,0))</f>
        <v>--</v>
      </c>
      <c r="J93" s="117" t="str">
        <f>IF(ISERROR(VLOOKUP($B93,SportslineData!$AM:$AT,3,0)),"",ROUND(VLOOKUP($B93,SportslineData!$AM:$AT,3,0),0))</f>
        <v/>
      </c>
      <c r="K93" s="33" t="str">
        <f>IF(ISERROR(VLOOKUP($B93,SportslineData!$AM:$AT,4,0)),"",VLOOKUP($B93,SportslineData!$AM:$AT,4,0))</f>
        <v/>
      </c>
      <c r="L93" s="33" t="str">
        <f>IF(ISERROR(VLOOKUP($B93,SportslineData!$AM:$AT,6,0)),"",ROUND(VLOOKUP($B93,SportslineData!$AM:$AT,6,0),0))</f>
        <v/>
      </c>
      <c r="M93" s="64" t="str">
        <f>IF(ISERROR(VLOOKUP($B93,SportslineData!$AM:$AT,7,0)),"",ROUND(VLOOKUP($B93,SportslineData!$AM:$AT,7,0),0))</f>
        <v/>
      </c>
      <c r="N93" s="117"/>
      <c r="O93" s="33"/>
      <c r="P93" s="38">
        <f>IF(ISERROR(ROUND((((ROUNDDOWN((E93/5),0)*Settings!$F$11)+(D93*Settings!$I$11))+(F93*Settings!$F$12)),1)),0,ROUND((((ROUNDDOWN((E93/5),0)*Settings!$F$11)+(D93*Settings!$I$11))+(F93*Settings!$F$12)),1))</f>
        <v>0</v>
      </c>
      <c r="Q93" s="38">
        <f>IF(ISERROR(ROUND((((ROUNDDOWN((H93/5),0)*Settings!$F$11)+(G93*Settings!$I$11))+(I93*Settings!$F$12)),1)),0,ROUND((((ROUNDDOWN((H93/5),0)*Settings!$F$11)+(G93*Settings!$I$11))+(I93*Settings!$F$12)),1))</f>
        <v>0</v>
      </c>
      <c r="R93" s="38">
        <f>IF((J93=""),0,((((J93*Settings!$I$11)+(ROUND((K93/5),0)*Settings!$F$11))+(L93*Settings!$F$12))+(M93*Settings!$F$15)))</f>
        <v>0</v>
      </c>
      <c r="S93" s="66">
        <f>ROUND((((P93*Settings!$B$21)+(Q93*Settings!$B$22))+(R93*Settings!$B$23)),1)</f>
        <v>0</v>
      </c>
      <c r="T93" s="66">
        <f>IF(ISERROR(VLOOKUP(RANK(S93,S$4:S$182),T$4:T92,1,0)),RANK(S93,S$4:S$182),IF(ISERROR(VLOOKUP((RANK(S93,S$4:S$182)+1),T$4:T92,1,0)),(RANK(S93,S$4:S$182)+1),IF(ISERROR(VLOOKUP((RANK(S93,S$4:S$182)+2),T$4:T92,1,0)),(RANK(S93,S$4:S$182)+2),(RANK(S93,S$4:S$182)+3))))</f>
        <v>87</v>
      </c>
      <c r="U93" t="str">
        <f t="shared" si="8"/>
        <v>Alge Crumpler</v>
      </c>
    </row>
    <row r="94" spans="1:21" ht="12.75" customHeight="1">
      <c r="A94" s="33" t="str">
        <f>ESPNData!AX97</f>
        <v>Brandon Manumaleuna, FA TE</v>
      </c>
      <c r="B94" s="33" t="str">
        <f t="shared" si="6"/>
        <v>Brandon Manumaleuna</v>
      </c>
      <c r="C94" s="64" t="str">
        <f t="shared" si="7"/>
        <v>FA</v>
      </c>
      <c r="D94" s="117" t="str">
        <f>IF(ISERROR(VLOOKUP($B94,FFTodayData!$AN:$AT,4,0)),"",VLOOKUP($B94,FFTodayData!$AN:$AT,4,0))</f>
        <v/>
      </c>
      <c r="E94" s="33" t="str">
        <f>IF(ISERROR(VLOOKUP($B94,FFTodayData!$AN:$AT,5,0)),"",VLOOKUP($B94,FFTodayData!$AN:$AT,5,0))</f>
        <v/>
      </c>
      <c r="F94" s="64" t="str">
        <f>IF(ISERROR(VLOOKUP($B94,FFTodayData!$AN:$AT,6,0)),"",VLOOKUP($B94,FFTodayData!$AN:$AT,6,0))</f>
        <v/>
      </c>
      <c r="G94" s="117" t="str">
        <f>IF(ISERROR(VLOOKUP($A94,ESPNData!$AX:$BK,11,0)),"",VLOOKUP($A94,ESPNData!$AX:$BK,11,0))</f>
        <v>--</v>
      </c>
      <c r="H94" s="33" t="str">
        <f>IF(ISERROR(VLOOKUP($A94,ESPNData!$AX:$BK,12,0)),"",VLOOKUP($A94,ESPNData!$AX:$BK,12,0))</f>
        <v>--</v>
      </c>
      <c r="I94" s="64" t="str">
        <f>IF(ISERROR(VLOOKUP($A94,ESPNData!$AX:$BK,13,0)),"",VLOOKUP($A94,ESPNData!$AX:$BK,13,0))</f>
        <v>--</v>
      </c>
      <c r="J94" s="117" t="str">
        <f>IF(ISERROR(VLOOKUP($B94,SportslineData!$AM:$AT,3,0)),"",ROUND(VLOOKUP($B94,SportslineData!$AM:$AT,3,0),0))</f>
        <v/>
      </c>
      <c r="K94" s="33" t="str">
        <f>IF(ISERROR(VLOOKUP($B94,SportslineData!$AM:$AT,4,0)),"",VLOOKUP($B94,SportslineData!$AM:$AT,4,0))</f>
        <v/>
      </c>
      <c r="L94" s="33" t="str">
        <f>IF(ISERROR(VLOOKUP($B94,SportslineData!$AM:$AT,6,0)),"",ROUND(VLOOKUP($B94,SportslineData!$AM:$AT,6,0),0))</f>
        <v/>
      </c>
      <c r="M94" s="64" t="str">
        <f>IF(ISERROR(VLOOKUP($B94,SportslineData!$AM:$AT,7,0)),"",ROUND(VLOOKUP($B94,SportslineData!$AM:$AT,7,0),0))</f>
        <v/>
      </c>
      <c r="N94" s="117"/>
      <c r="O94" s="33"/>
      <c r="P94" s="38">
        <f>IF(ISERROR(ROUND((((ROUNDDOWN((E94/5),0)*Settings!$F$11)+(D94*Settings!$I$11))+(F94*Settings!$F$12)),1)),0,ROUND((((ROUNDDOWN((E94/5),0)*Settings!$F$11)+(D94*Settings!$I$11))+(F94*Settings!$F$12)),1))</f>
        <v>0</v>
      </c>
      <c r="Q94" s="38">
        <f>IF(ISERROR(ROUND((((ROUNDDOWN((H94/5),0)*Settings!$F$11)+(G94*Settings!$I$11))+(I94*Settings!$F$12)),1)),0,ROUND((((ROUNDDOWN((H94/5),0)*Settings!$F$11)+(G94*Settings!$I$11))+(I94*Settings!$F$12)),1))</f>
        <v>0</v>
      </c>
      <c r="R94" s="38">
        <f>IF((J94=""),0,((((J94*Settings!$I$11)+(ROUND((K94/5),0)*Settings!$F$11))+(L94*Settings!$F$12))+(M94*Settings!$F$15)))</f>
        <v>0</v>
      </c>
      <c r="S94" s="66">
        <f>ROUND((((P94*Settings!$B$21)+(Q94*Settings!$B$22))+(R94*Settings!$B$23)),1)</f>
        <v>0</v>
      </c>
      <c r="T94" s="66">
        <f>IF(ISERROR(VLOOKUP(RANK(S94,S$4:S$182),T$4:T93,1,0)),RANK(S94,S$4:S$182),IF(ISERROR(VLOOKUP((RANK(S94,S$4:S$182)+1),T$4:T93,1,0)),(RANK(S94,S$4:S$182)+1),IF(ISERROR(VLOOKUP((RANK(S94,S$4:S$182)+2),T$4:T93,1,0)),(RANK(S94,S$4:S$182)+2),(RANK(S94,S$4:S$182)+3))))</f>
        <v>87</v>
      </c>
      <c r="U94" t="str">
        <f t="shared" si="8"/>
        <v>Brandon Manumaleuna</v>
      </c>
    </row>
    <row r="95" spans="1:21" ht="12.75" customHeight="1">
      <c r="A95" s="33" t="str">
        <f>ESPNData!AX98</f>
        <v>Tony Stewart, FA TE</v>
      </c>
      <c r="B95" s="33" t="str">
        <f t="shared" si="6"/>
        <v>Tony Stewart</v>
      </c>
      <c r="C95" s="64" t="str">
        <f t="shared" si="7"/>
        <v>FA</v>
      </c>
      <c r="D95" s="117" t="str">
        <f>IF(ISERROR(VLOOKUP($B95,FFTodayData!$AN:$AT,4,0)),"",VLOOKUP($B95,FFTodayData!$AN:$AT,4,0))</f>
        <v/>
      </c>
      <c r="E95" s="33" t="str">
        <f>IF(ISERROR(VLOOKUP($B95,FFTodayData!$AN:$AT,5,0)),"",VLOOKUP($B95,FFTodayData!$AN:$AT,5,0))</f>
        <v/>
      </c>
      <c r="F95" s="64" t="str">
        <f>IF(ISERROR(VLOOKUP($B95,FFTodayData!$AN:$AT,6,0)),"",VLOOKUP($B95,FFTodayData!$AN:$AT,6,0))</f>
        <v/>
      </c>
      <c r="G95" s="117" t="str">
        <f>IF(ISERROR(VLOOKUP($A95,ESPNData!$AX:$BK,11,0)),"",VLOOKUP($A95,ESPNData!$AX:$BK,11,0))</f>
        <v>--</v>
      </c>
      <c r="H95" s="33" t="str">
        <f>IF(ISERROR(VLOOKUP($A95,ESPNData!$AX:$BK,12,0)),"",VLOOKUP($A95,ESPNData!$AX:$BK,12,0))</f>
        <v>--</v>
      </c>
      <c r="I95" s="64" t="str">
        <f>IF(ISERROR(VLOOKUP($A95,ESPNData!$AX:$BK,13,0)),"",VLOOKUP($A95,ESPNData!$AX:$BK,13,0))</f>
        <v>--</v>
      </c>
      <c r="J95" s="117" t="str">
        <f>IF(ISERROR(VLOOKUP($B95,SportslineData!$AM:$AT,3,0)),"",ROUND(VLOOKUP($B95,SportslineData!$AM:$AT,3,0),0))</f>
        <v/>
      </c>
      <c r="K95" s="33" t="str">
        <f>IF(ISERROR(VLOOKUP($B95,SportslineData!$AM:$AT,4,0)),"",VLOOKUP($B95,SportslineData!$AM:$AT,4,0))</f>
        <v/>
      </c>
      <c r="L95" s="33" t="str">
        <f>IF(ISERROR(VLOOKUP($B95,SportslineData!$AM:$AT,6,0)),"",ROUND(VLOOKUP($B95,SportslineData!$AM:$AT,6,0),0))</f>
        <v/>
      </c>
      <c r="M95" s="64" t="str">
        <f>IF(ISERROR(VLOOKUP($B95,SportslineData!$AM:$AT,7,0)),"",ROUND(VLOOKUP($B95,SportslineData!$AM:$AT,7,0),0))</f>
        <v/>
      </c>
      <c r="N95" s="117"/>
      <c r="O95" s="33"/>
      <c r="P95" s="38">
        <f>IF(ISERROR(ROUND((((ROUNDDOWN((E95/5),0)*Settings!$F$11)+(D95*Settings!$I$11))+(F95*Settings!$F$12)),1)),0,ROUND((((ROUNDDOWN((E95/5),0)*Settings!$F$11)+(D95*Settings!$I$11))+(F95*Settings!$F$12)),1))</f>
        <v>0</v>
      </c>
      <c r="Q95" s="38">
        <f>IF(ISERROR(ROUND((((ROUNDDOWN((H95/5),0)*Settings!$F$11)+(G95*Settings!$I$11))+(I95*Settings!$F$12)),1)),0,ROUND((((ROUNDDOWN((H95/5),0)*Settings!$F$11)+(G95*Settings!$I$11))+(I95*Settings!$F$12)),1))</f>
        <v>0</v>
      </c>
      <c r="R95" s="38">
        <f>IF((J95=""),0,((((J95*Settings!$I$11)+(ROUND((K95/5),0)*Settings!$F$11))+(L95*Settings!$F$12))+(M95*Settings!$F$15)))</f>
        <v>0</v>
      </c>
      <c r="S95" s="66">
        <f>ROUND((((P95*Settings!$B$21)+(Q95*Settings!$B$22))+(R95*Settings!$B$23)),1)</f>
        <v>0</v>
      </c>
      <c r="T95" s="66">
        <f>IF(ISERROR(VLOOKUP(RANK(S95,S$4:S$182),T$4:T94,1,0)),RANK(S95,S$4:S$182),IF(ISERROR(VLOOKUP((RANK(S95,S$4:S$182)+1),T$4:T94,1,0)),(RANK(S95,S$4:S$182)+1),IF(ISERROR(VLOOKUP((RANK(S95,S$4:S$182)+2),T$4:T94,1,0)),(RANK(S95,S$4:S$182)+2),(RANK(S95,S$4:S$182)+3))))</f>
        <v>87</v>
      </c>
      <c r="U95" t="str">
        <f t="shared" si="8"/>
        <v>Tony Stewart</v>
      </c>
    </row>
    <row r="96" spans="1:21" ht="12.75" customHeight="1">
      <c r="A96" s="33" t="str">
        <f>ESPNData!AX99</f>
        <v>David Martin, FA TE</v>
      </c>
      <c r="B96" s="33" t="str">
        <f t="shared" si="6"/>
        <v>David Martin</v>
      </c>
      <c r="C96" s="64" t="str">
        <f t="shared" si="7"/>
        <v>FA</v>
      </c>
      <c r="D96" s="117" t="str">
        <f>IF(ISERROR(VLOOKUP($B96,FFTodayData!$AN:$AT,4,0)),"",VLOOKUP($B96,FFTodayData!$AN:$AT,4,0))</f>
        <v/>
      </c>
      <c r="E96" s="33" t="str">
        <f>IF(ISERROR(VLOOKUP($B96,FFTodayData!$AN:$AT,5,0)),"",VLOOKUP($B96,FFTodayData!$AN:$AT,5,0))</f>
        <v/>
      </c>
      <c r="F96" s="64" t="str">
        <f>IF(ISERROR(VLOOKUP($B96,FFTodayData!$AN:$AT,6,0)),"",VLOOKUP($B96,FFTodayData!$AN:$AT,6,0))</f>
        <v/>
      </c>
      <c r="G96" s="117" t="str">
        <f>IF(ISERROR(VLOOKUP($A96,ESPNData!$AX:$BK,11,0)),"",VLOOKUP($A96,ESPNData!$AX:$BK,11,0))</f>
        <v>--</v>
      </c>
      <c r="H96" s="33" t="str">
        <f>IF(ISERROR(VLOOKUP($A96,ESPNData!$AX:$BK,12,0)),"",VLOOKUP($A96,ESPNData!$AX:$BK,12,0))</f>
        <v>--</v>
      </c>
      <c r="I96" s="64" t="str">
        <f>IF(ISERROR(VLOOKUP($A96,ESPNData!$AX:$BK,13,0)),"",VLOOKUP($A96,ESPNData!$AX:$BK,13,0))</f>
        <v>--</v>
      </c>
      <c r="J96" s="117" t="str">
        <f>IF(ISERROR(VLOOKUP($B96,SportslineData!$AM:$AT,3,0)),"",ROUND(VLOOKUP($B96,SportslineData!$AM:$AT,3,0),0))</f>
        <v/>
      </c>
      <c r="K96" s="33" t="str">
        <f>IF(ISERROR(VLOOKUP($B96,SportslineData!$AM:$AT,4,0)),"",VLOOKUP($B96,SportslineData!$AM:$AT,4,0))</f>
        <v/>
      </c>
      <c r="L96" s="33" t="str">
        <f>IF(ISERROR(VLOOKUP($B96,SportslineData!$AM:$AT,6,0)),"",ROUND(VLOOKUP($B96,SportslineData!$AM:$AT,6,0),0))</f>
        <v/>
      </c>
      <c r="M96" s="64" t="str">
        <f>IF(ISERROR(VLOOKUP($B96,SportslineData!$AM:$AT,7,0)),"",ROUND(VLOOKUP($B96,SportslineData!$AM:$AT,7,0),0))</f>
        <v/>
      </c>
      <c r="N96" s="117"/>
      <c r="O96" s="33"/>
      <c r="P96" s="38">
        <f>IF(ISERROR(ROUND((((ROUNDDOWN((E96/5),0)*Settings!$F$11)+(D96*Settings!$I$11))+(F96*Settings!$F$12)),1)),0,ROUND((((ROUNDDOWN((E96/5),0)*Settings!$F$11)+(D96*Settings!$I$11))+(F96*Settings!$F$12)),1))</f>
        <v>0</v>
      </c>
      <c r="Q96" s="38">
        <f>IF(ISERROR(ROUND((((ROUNDDOWN((H96/5),0)*Settings!$F$11)+(G96*Settings!$I$11))+(I96*Settings!$F$12)),1)),0,ROUND((((ROUNDDOWN((H96/5),0)*Settings!$F$11)+(G96*Settings!$I$11))+(I96*Settings!$F$12)),1))</f>
        <v>0</v>
      </c>
      <c r="R96" s="38">
        <f>IF((J96=""),0,((((J96*Settings!$I$11)+(ROUND((K96/5),0)*Settings!$F$11))+(L96*Settings!$F$12))+(M96*Settings!$F$15)))</f>
        <v>0</v>
      </c>
      <c r="S96" s="66">
        <f>ROUND((((P96*Settings!$B$21)+(Q96*Settings!$B$22))+(R96*Settings!$B$23)),1)</f>
        <v>0</v>
      </c>
      <c r="T96" s="66">
        <f>IF(ISERROR(VLOOKUP(RANK(S96,S$4:S$182),T$4:T95,1,0)),RANK(S96,S$4:S$182),IF(ISERROR(VLOOKUP((RANK(S96,S$4:S$182)+1),T$4:T95,1,0)),(RANK(S96,S$4:S$182)+1),IF(ISERROR(VLOOKUP((RANK(S96,S$4:S$182)+2),T$4:T95,1,0)),(RANK(S96,S$4:S$182)+2),(RANK(S96,S$4:S$182)+3))))</f>
        <v>87</v>
      </c>
      <c r="U96" t="str">
        <f t="shared" si="8"/>
        <v>David Martin</v>
      </c>
    </row>
    <row r="97" spans="1:21" ht="12.75" customHeight="1">
      <c r="A97" s="33" t="str">
        <f>ESPNData!AX100</f>
        <v>Jeremy Shockey, FA TE</v>
      </c>
      <c r="B97" s="33" t="str">
        <f t="shared" si="6"/>
        <v>Jeremy Shockey</v>
      </c>
      <c r="C97" s="64" t="str">
        <f t="shared" si="7"/>
        <v>FA</v>
      </c>
      <c r="D97" s="117" t="str">
        <f>IF(ISERROR(VLOOKUP($B97,FFTodayData!$AN:$AT,4,0)),"",VLOOKUP($B97,FFTodayData!$AN:$AT,4,0))</f>
        <v/>
      </c>
      <c r="E97" s="33" t="str">
        <f>IF(ISERROR(VLOOKUP($B97,FFTodayData!$AN:$AT,5,0)),"",VLOOKUP($B97,FFTodayData!$AN:$AT,5,0))</f>
        <v/>
      </c>
      <c r="F97" s="64" t="str">
        <f>IF(ISERROR(VLOOKUP($B97,FFTodayData!$AN:$AT,6,0)),"",VLOOKUP($B97,FFTodayData!$AN:$AT,6,0))</f>
        <v/>
      </c>
      <c r="G97" s="117" t="str">
        <f>IF(ISERROR(VLOOKUP($A97,ESPNData!$AX:$BK,11,0)),"",VLOOKUP($A97,ESPNData!$AX:$BK,11,0))</f>
        <v>--</v>
      </c>
      <c r="H97" s="33" t="str">
        <f>IF(ISERROR(VLOOKUP($A97,ESPNData!$AX:$BK,12,0)),"",VLOOKUP($A97,ESPNData!$AX:$BK,12,0))</f>
        <v>--</v>
      </c>
      <c r="I97" s="64" t="str">
        <f>IF(ISERROR(VLOOKUP($A97,ESPNData!$AX:$BK,13,0)),"",VLOOKUP($A97,ESPNData!$AX:$BK,13,0))</f>
        <v>--</v>
      </c>
      <c r="J97" s="117" t="str">
        <f>IF(ISERROR(VLOOKUP($B97,SportslineData!$AM:$AT,3,0)),"",ROUND(VLOOKUP($B97,SportslineData!$AM:$AT,3,0),0))</f>
        <v/>
      </c>
      <c r="K97" s="33" t="str">
        <f>IF(ISERROR(VLOOKUP($B97,SportslineData!$AM:$AT,4,0)),"",VLOOKUP($B97,SportslineData!$AM:$AT,4,0))</f>
        <v/>
      </c>
      <c r="L97" s="33" t="str">
        <f>IF(ISERROR(VLOOKUP($B97,SportslineData!$AM:$AT,6,0)),"",ROUND(VLOOKUP($B97,SportslineData!$AM:$AT,6,0),0))</f>
        <v/>
      </c>
      <c r="M97" s="64" t="str">
        <f>IF(ISERROR(VLOOKUP($B97,SportslineData!$AM:$AT,7,0)),"",ROUND(VLOOKUP($B97,SportslineData!$AM:$AT,7,0),0))</f>
        <v/>
      </c>
      <c r="N97" s="117"/>
      <c r="O97" s="33"/>
      <c r="P97" s="38">
        <f>IF(ISERROR(ROUND((((ROUNDDOWN((E97/5),0)*Settings!$F$11)+(D97*Settings!$I$11))+(F97*Settings!$F$12)),1)),0,ROUND((((ROUNDDOWN((E97/5),0)*Settings!$F$11)+(D97*Settings!$I$11))+(F97*Settings!$F$12)),1))</f>
        <v>0</v>
      </c>
      <c r="Q97" s="38">
        <f>IF(ISERROR(ROUND((((ROUNDDOWN((H97/5),0)*Settings!$F$11)+(G97*Settings!$I$11))+(I97*Settings!$F$12)),1)),0,ROUND((((ROUNDDOWN((H97/5),0)*Settings!$F$11)+(G97*Settings!$I$11))+(I97*Settings!$F$12)),1))</f>
        <v>0</v>
      </c>
      <c r="R97" s="38">
        <f>IF((J97=""),0,((((J97*Settings!$I$11)+(ROUND((K97/5),0)*Settings!$F$11))+(L97*Settings!$F$12))+(M97*Settings!$F$15)))</f>
        <v>0</v>
      </c>
      <c r="S97" s="66">
        <f>ROUND((((P97*Settings!$B$21)+(Q97*Settings!$B$22))+(R97*Settings!$B$23)),1)</f>
        <v>0</v>
      </c>
      <c r="T97" s="66">
        <f>IF(ISERROR(VLOOKUP(RANK(S97,S$4:S$182),T$4:T96,1,0)),RANK(S97,S$4:S$182),IF(ISERROR(VLOOKUP((RANK(S97,S$4:S$182)+1),T$4:T96,1,0)),(RANK(S97,S$4:S$182)+1),IF(ISERROR(VLOOKUP((RANK(S97,S$4:S$182)+2),T$4:T96,1,0)),(RANK(S97,S$4:S$182)+2),(RANK(S97,S$4:S$182)+3))))</f>
        <v>87</v>
      </c>
      <c r="U97" t="str">
        <f t="shared" si="8"/>
        <v>Jeremy Shockey</v>
      </c>
    </row>
    <row r="98" spans="1:21" ht="12.75" customHeight="1">
      <c r="A98" s="33" t="str">
        <f>ESPNData!AX101</f>
        <v>Daniel Graham, FA TE</v>
      </c>
      <c r="B98" s="33" t="str">
        <f t="shared" si="6"/>
        <v>Daniel Graham</v>
      </c>
      <c r="C98" s="64" t="str">
        <f t="shared" si="7"/>
        <v>FA</v>
      </c>
      <c r="D98" s="117" t="str">
        <f>IF(ISERROR(VLOOKUP($B98,FFTodayData!$AN:$AT,4,0)),"",VLOOKUP($B98,FFTodayData!$AN:$AT,4,0))</f>
        <v/>
      </c>
      <c r="E98" s="33" t="str">
        <f>IF(ISERROR(VLOOKUP($B98,FFTodayData!$AN:$AT,5,0)),"",VLOOKUP($B98,FFTodayData!$AN:$AT,5,0))</f>
        <v/>
      </c>
      <c r="F98" s="64" t="str">
        <f>IF(ISERROR(VLOOKUP($B98,FFTodayData!$AN:$AT,6,0)),"",VLOOKUP($B98,FFTodayData!$AN:$AT,6,0))</f>
        <v/>
      </c>
      <c r="G98" s="117" t="str">
        <f>IF(ISERROR(VLOOKUP($A98,ESPNData!$AX:$BK,11,0)),"",VLOOKUP($A98,ESPNData!$AX:$BK,11,0))</f>
        <v>--</v>
      </c>
      <c r="H98" s="33" t="str">
        <f>IF(ISERROR(VLOOKUP($A98,ESPNData!$AX:$BK,12,0)),"",VLOOKUP($A98,ESPNData!$AX:$BK,12,0))</f>
        <v>--</v>
      </c>
      <c r="I98" s="64" t="str">
        <f>IF(ISERROR(VLOOKUP($A98,ESPNData!$AX:$BK,13,0)),"",VLOOKUP($A98,ESPNData!$AX:$BK,13,0))</f>
        <v>--</v>
      </c>
      <c r="J98" s="117" t="str">
        <f>IF(ISERROR(VLOOKUP($B98,SportslineData!$AM:$AT,3,0)),"",ROUND(VLOOKUP($B98,SportslineData!$AM:$AT,3,0),0))</f>
        <v/>
      </c>
      <c r="K98" s="33" t="str">
        <f>IF(ISERROR(VLOOKUP($B98,SportslineData!$AM:$AT,4,0)),"",VLOOKUP($B98,SportslineData!$AM:$AT,4,0))</f>
        <v/>
      </c>
      <c r="L98" s="33" t="str">
        <f>IF(ISERROR(VLOOKUP($B98,SportslineData!$AM:$AT,6,0)),"",ROUND(VLOOKUP($B98,SportslineData!$AM:$AT,6,0),0))</f>
        <v/>
      </c>
      <c r="M98" s="64" t="str">
        <f>IF(ISERROR(VLOOKUP($B98,SportslineData!$AM:$AT,7,0)),"",ROUND(VLOOKUP($B98,SportslineData!$AM:$AT,7,0),0))</f>
        <v/>
      </c>
      <c r="N98" s="117"/>
      <c r="O98" s="33"/>
      <c r="P98" s="38">
        <f>IF(ISERROR(ROUND((((ROUNDDOWN((E98/5),0)*Settings!$F$11)+(D98*Settings!$I$11))+(F98*Settings!$F$12)),1)),0,ROUND((((ROUNDDOWN((E98/5),0)*Settings!$F$11)+(D98*Settings!$I$11))+(F98*Settings!$F$12)),1))</f>
        <v>0</v>
      </c>
      <c r="Q98" s="38">
        <f>IF(ISERROR(ROUND((((ROUNDDOWN((H98/5),0)*Settings!$F$11)+(G98*Settings!$I$11))+(I98*Settings!$F$12)),1)),0,ROUND((((ROUNDDOWN((H98/5),0)*Settings!$F$11)+(G98*Settings!$I$11))+(I98*Settings!$F$12)),1))</f>
        <v>0</v>
      </c>
      <c r="R98" s="38">
        <f>IF((J98=""),0,((((J98*Settings!$I$11)+(ROUND((K98/5),0)*Settings!$F$11))+(L98*Settings!$F$12))+(M98*Settings!$F$15)))</f>
        <v>0</v>
      </c>
      <c r="S98" s="66">
        <f>ROUND((((P98*Settings!$B$21)+(Q98*Settings!$B$22))+(R98*Settings!$B$23)),1)</f>
        <v>0</v>
      </c>
      <c r="T98" s="66">
        <f>IF(ISERROR(VLOOKUP(RANK(S98,S$4:S$182),T$4:T97,1,0)),RANK(S98,S$4:S$182),IF(ISERROR(VLOOKUP((RANK(S98,S$4:S$182)+1),T$4:T97,1,0)),(RANK(S98,S$4:S$182)+1),IF(ISERROR(VLOOKUP((RANK(S98,S$4:S$182)+2),T$4:T97,1,0)),(RANK(S98,S$4:S$182)+2),(RANK(S98,S$4:S$182)+3))))</f>
        <v>87</v>
      </c>
      <c r="U98" t="str">
        <f t="shared" si="8"/>
        <v>Daniel Graham</v>
      </c>
    </row>
    <row r="99" spans="1:21" ht="12.75" customHeight="1">
      <c r="A99" s="33" t="str">
        <f>ESPNData!AX102</f>
        <v>Chris Baker, FA TE</v>
      </c>
      <c r="B99" s="33" t="str">
        <f t="shared" si="6"/>
        <v>Chris Baker</v>
      </c>
      <c r="C99" s="64" t="str">
        <f t="shared" si="7"/>
        <v>FA</v>
      </c>
      <c r="D99" s="117" t="str">
        <f>IF(ISERROR(VLOOKUP($B99,FFTodayData!$AN:$AT,4,0)),"",VLOOKUP($B99,FFTodayData!$AN:$AT,4,0))</f>
        <v/>
      </c>
      <c r="E99" s="33" t="str">
        <f>IF(ISERROR(VLOOKUP($B99,FFTodayData!$AN:$AT,5,0)),"",VLOOKUP($B99,FFTodayData!$AN:$AT,5,0))</f>
        <v/>
      </c>
      <c r="F99" s="64" t="str">
        <f>IF(ISERROR(VLOOKUP($B99,FFTodayData!$AN:$AT,6,0)),"",VLOOKUP($B99,FFTodayData!$AN:$AT,6,0))</f>
        <v/>
      </c>
      <c r="G99" s="117" t="str">
        <f>IF(ISERROR(VLOOKUP($A99,ESPNData!$AX:$BK,11,0)),"",VLOOKUP($A99,ESPNData!$AX:$BK,11,0))</f>
        <v>--</v>
      </c>
      <c r="H99" s="33" t="str">
        <f>IF(ISERROR(VLOOKUP($A99,ESPNData!$AX:$BK,12,0)),"",VLOOKUP($A99,ESPNData!$AX:$BK,12,0))</f>
        <v>--</v>
      </c>
      <c r="I99" s="64" t="str">
        <f>IF(ISERROR(VLOOKUP($A99,ESPNData!$AX:$BK,13,0)),"",VLOOKUP($A99,ESPNData!$AX:$BK,13,0))</f>
        <v>--</v>
      </c>
      <c r="J99" s="117" t="str">
        <f>IF(ISERROR(VLOOKUP($B99,SportslineData!$AM:$AT,3,0)),"",ROUND(VLOOKUP($B99,SportslineData!$AM:$AT,3,0),0))</f>
        <v/>
      </c>
      <c r="K99" s="33" t="str">
        <f>IF(ISERROR(VLOOKUP($B99,SportslineData!$AM:$AT,4,0)),"",VLOOKUP($B99,SportslineData!$AM:$AT,4,0))</f>
        <v/>
      </c>
      <c r="L99" s="33" t="str">
        <f>IF(ISERROR(VLOOKUP($B99,SportslineData!$AM:$AT,6,0)),"",ROUND(VLOOKUP($B99,SportslineData!$AM:$AT,6,0),0))</f>
        <v/>
      </c>
      <c r="M99" s="64" t="str">
        <f>IF(ISERROR(VLOOKUP($B99,SportslineData!$AM:$AT,7,0)),"",ROUND(VLOOKUP($B99,SportslineData!$AM:$AT,7,0),0))</f>
        <v/>
      </c>
      <c r="N99" s="117"/>
      <c r="O99" s="33"/>
      <c r="P99" s="38">
        <f>IF(ISERROR(ROUND((((ROUNDDOWN((E99/5),0)*Settings!$F$11)+(D99*Settings!$I$11))+(F99*Settings!$F$12)),1)),0,ROUND((((ROUNDDOWN((E99/5),0)*Settings!$F$11)+(D99*Settings!$I$11))+(F99*Settings!$F$12)),1))</f>
        <v>0</v>
      </c>
      <c r="Q99" s="38">
        <f>IF(ISERROR(ROUND((((ROUNDDOWN((H99/5),0)*Settings!$F$11)+(G99*Settings!$I$11))+(I99*Settings!$F$12)),1)),0,ROUND((((ROUNDDOWN((H99/5),0)*Settings!$F$11)+(G99*Settings!$I$11))+(I99*Settings!$F$12)),1))</f>
        <v>0</v>
      </c>
      <c r="R99" s="38">
        <f>IF((J99=""),0,((((J99*Settings!$I$11)+(ROUND((K99/5),0)*Settings!$F$11))+(L99*Settings!$F$12))+(M99*Settings!$F$15)))</f>
        <v>0</v>
      </c>
      <c r="S99" s="66">
        <f>ROUND((((P99*Settings!$B$21)+(Q99*Settings!$B$22))+(R99*Settings!$B$23)),1)</f>
        <v>0</v>
      </c>
      <c r="T99" s="66">
        <f>IF(ISERROR(VLOOKUP(RANK(S99,S$4:S$182),T$4:T98,1,0)),RANK(S99,S$4:S$182),IF(ISERROR(VLOOKUP((RANK(S99,S$4:S$182)+1),T$4:T98,1,0)),(RANK(S99,S$4:S$182)+1),IF(ISERROR(VLOOKUP((RANK(S99,S$4:S$182)+2),T$4:T98,1,0)),(RANK(S99,S$4:S$182)+2),(RANK(S99,S$4:S$182)+3))))</f>
        <v>87</v>
      </c>
      <c r="U99" t="str">
        <f t="shared" si="8"/>
        <v>Chris Baker</v>
      </c>
    </row>
    <row r="100" spans="1:21" ht="12.75" customHeight="1">
      <c r="A100" s="33" t="str">
        <f>ESPNData!AX103</f>
        <v>Justin Peelle, FA TE</v>
      </c>
      <c r="B100" s="33" t="str">
        <f t="shared" ref="B100:B131" si="9">IF(OR((A100=""),(A100=0)),"",IF(ISERROR(FIND("*",A100)),LEFT(A100,(FIND(",",A100)-1)),LEFT(A100,(FIND("*",A100)-1))))</f>
        <v>Justin Peelle</v>
      </c>
      <c r="C100" s="64" t="str">
        <f t="shared" ref="C100:C131" si="10">IF((A100=""),"",UPPER(RIGHT(LEFT(A100,(FIND("TE",A100)-2)),(LEN(LEFT(A100,(FIND("TE",A100)-2)))-(FIND(",",LEFT(A100,(FIND("TE",A100)-2)))+1)))))</f>
        <v>FA</v>
      </c>
      <c r="D100" s="117" t="str">
        <f>IF(ISERROR(VLOOKUP($B100,FFTodayData!$AN:$AT,4,0)),"",VLOOKUP($B100,FFTodayData!$AN:$AT,4,0))</f>
        <v/>
      </c>
      <c r="E100" s="33" t="str">
        <f>IF(ISERROR(VLOOKUP($B100,FFTodayData!$AN:$AT,5,0)),"",VLOOKUP($B100,FFTodayData!$AN:$AT,5,0))</f>
        <v/>
      </c>
      <c r="F100" s="64" t="str">
        <f>IF(ISERROR(VLOOKUP($B100,FFTodayData!$AN:$AT,6,0)),"",VLOOKUP($B100,FFTodayData!$AN:$AT,6,0))</f>
        <v/>
      </c>
      <c r="G100" s="117" t="str">
        <f>IF(ISERROR(VLOOKUP($A100,ESPNData!$AX:$BK,11,0)),"",VLOOKUP($A100,ESPNData!$AX:$BK,11,0))</f>
        <v>--</v>
      </c>
      <c r="H100" s="33" t="str">
        <f>IF(ISERROR(VLOOKUP($A100,ESPNData!$AX:$BK,12,0)),"",VLOOKUP($A100,ESPNData!$AX:$BK,12,0))</f>
        <v>--</v>
      </c>
      <c r="I100" s="64" t="str">
        <f>IF(ISERROR(VLOOKUP($A100,ESPNData!$AX:$BK,13,0)),"",VLOOKUP($A100,ESPNData!$AX:$BK,13,0))</f>
        <v>--</v>
      </c>
      <c r="J100" s="117" t="str">
        <f>IF(ISERROR(VLOOKUP($B100,SportslineData!$AM:$AT,3,0)),"",ROUND(VLOOKUP($B100,SportslineData!$AM:$AT,3,0),0))</f>
        <v/>
      </c>
      <c r="K100" s="33" t="str">
        <f>IF(ISERROR(VLOOKUP($B100,SportslineData!$AM:$AT,4,0)),"",VLOOKUP($B100,SportslineData!$AM:$AT,4,0))</f>
        <v/>
      </c>
      <c r="L100" s="33" t="str">
        <f>IF(ISERROR(VLOOKUP($B100,SportslineData!$AM:$AT,6,0)),"",ROUND(VLOOKUP($B100,SportslineData!$AM:$AT,6,0),0))</f>
        <v/>
      </c>
      <c r="M100" s="64" t="str">
        <f>IF(ISERROR(VLOOKUP($B100,SportslineData!$AM:$AT,7,0)),"",ROUND(VLOOKUP($B100,SportslineData!$AM:$AT,7,0),0))</f>
        <v/>
      </c>
      <c r="N100" s="117"/>
      <c r="O100" s="33"/>
      <c r="P100" s="38">
        <f>IF(ISERROR(ROUND((((ROUNDDOWN((E100/5),0)*Settings!$F$11)+(D100*Settings!$I$11))+(F100*Settings!$F$12)),1)),0,ROUND((((ROUNDDOWN((E100/5),0)*Settings!$F$11)+(D100*Settings!$I$11))+(F100*Settings!$F$12)),1))</f>
        <v>0</v>
      </c>
      <c r="Q100" s="38">
        <f>IF(ISERROR(ROUND((((ROUNDDOWN((H100/5),0)*Settings!$F$11)+(G100*Settings!$I$11))+(I100*Settings!$F$12)),1)),0,ROUND((((ROUNDDOWN((H100/5),0)*Settings!$F$11)+(G100*Settings!$I$11))+(I100*Settings!$F$12)),1))</f>
        <v>0</v>
      </c>
      <c r="R100" s="38">
        <f>IF((J100=""),0,((((J100*Settings!$I$11)+(ROUND((K100/5),0)*Settings!$F$11))+(L100*Settings!$F$12))+(M100*Settings!$F$15)))</f>
        <v>0</v>
      </c>
      <c r="S100" s="66">
        <f>ROUND((((P100*Settings!$B$21)+(Q100*Settings!$B$22))+(R100*Settings!$B$23)),1)</f>
        <v>0</v>
      </c>
      <c r="T100" s="66">
        <f>IF(ISERROR(VLOOKUP(RANK(S100,S$4:S$182),T$4:T99,1,0)),RANK(S100,S$4:S$182),IF(ISERROR(VLOOKUP((RANK(S100,S$4:S$182)+1),T$4:T99,1,0)),(RANK(S100,S$4:S$182)+1),IF(ISERROR(VLOOKUP((RANK(S100,S$4:S$182)+2),T$4:T99,1,0)),(RANK(S100,S$4:S$182)+2),(RANK(S100,S$4:S$182)+3))))</f>
        <v>87</v>
      </c>
      <c r="U100" t="str">
        <f t="shared" ref="U100:U131" si="11">B100</f>
        <v>Justin Peelle</v>
      </c>
    </row>
    <row r="101" spans="1:21" ht="12.75" customHeight="1">
      <c r="A101" s="33" t="str">
        <f>ESPNData!AX104</f>
        <v>Randy McMichael, FA TE</v>
      </c>
      <c r="B101" s="33" t="str">
        <f t="shared" si="9"/>
        <v>Randy McMichael</v>
      </c>
      <c r="C101" s="64" t="str">
        <f t="shared" si="10"/>
        <v>FA</v>
      </c>
      <c r="D101" s="117" t="str">
        <f>IF(ISERROR(VLOOKUP($B101,FFTodayData!$AN:$AT,4,0)),"",VLOOKUP($B101,FFTodayData!$AN:$AT,4,0))</f>
        <v/>
      </c>
      <c r="E101" s="33" t="str">
        <f>IF(ISERROR(VLOOKUP($B101,FFTodayData!$AN:$AT,5,0)),"",VLOOKUP($B101,FFTodayData!$AN:$AT,5,0))</f>
        <v/>
      </c>
      <c r="F101" s="64" t="str">
        <f>IF(ISERROR(VLOOKUP($B101,FFTodayData!$AN:$AT,6,0)),"",VLOOKUP($B101,FFTodayData!$AN:$AT,6,0))</f>
        <v/>
      </c>
      <c r="G101" s="117" t="str">
        <f>IF(ISERROR(VLOOKUP($A101,ESPNData!$AX:$BK,11,0)),"",VLOOKUP($A101,ESPNData!$AX:$BK,11,0))</f>
        <v>--</v>
      </c>
      <c r="H101" s="33" t="str">
        <f>IF(ISERROR(VLOOKUP($A101,ESPNData!$AX:$BK,12,0)),"",VLOOKUP($A101,ESPNData!$AX:$BK,12,0))</f>
        <v>--</v>
      </c>
      <c r="I101" s="64" t="str">
        <f>IF(ISERROR(VLOOKUP($A101,ESPNData!$AX:$BK,13,0)),"",VLOOKUP($A101,ESPNData!$AX:$BK,13,0))</f>
        <v>--</v>
      </c>
      <c r="J101" s="117" t="str">
        <f>IF(ISERROR(VLOOKUP($B101,SportslineData!$AM:$AT,3,0)),"",ROUND(VLOOKUP($B101,SportslineData!$AM:$AT,3,0),0))</f>
        <v/>
      </c>
      <c r="K101" s="33" t="str">
        <f>IF(ISERROR(VLOOKUP($B101,SportslineData!$AM:$AT,4,0)),"",VLOOKUP($B101,SportslineData!$AM:$AT,4,0))</f>
        <v/>
      </c>
      <c r="L101" s="33" t="str">
        <f>IF(ISERROR(VLOOKUP($B101,SportslineData!$AM:$AT,6,0)),"",ROUND(VLOOKUP($B101,SportslineData!$AM:$AT,6,0),0))</f>
        <v/>
      </c>
      <c r="M101" s="64" t="str">
        <f>IF(ISERROR(VLOOKUP($B101,SportslineData!$AM:$AT,7,0)),"",ROUND(VLOOKUP($B101,SportslineData!$AM:$AT,7,0),0))</f>
        <v/>
      </c>
      <c r="N101" s="117"/>
      <c r="O101" s="33"/>
      <c r="P101" s="38">
        <f>IF(ISERROR(ROUND((((ROUNDDOWN((E101/5),0)*Settings!$F$11)+(D101*Settings!$I$11))+(F101*Settings!$F$12)),1)),0,ROUND((((ROUNDDOWN((E101/5),0)*Settings!$F$11)+(D101*Settings!$I$11))+(F101*Settings!$F$12)),1))</f>
        <v>0</v>
      </c>
      <c r="Q101" s="38">
        <f>IF(ISERROR(ROUND((((ROUNDDOWN((H101/5),0)*Settings!$F$11)+(G101*Settings!$I$11))+(I101*Settings!$F$12)),1)),0,ROUND((((ROUNDDOWN((H101/5),0)*Settings!$F$11)+(G101*Settings!$I$11))+(I101*Settings!$F$12)),1))</f>
        <v>0</v>
      </c>
      <c r="R101" s="38">
        <f>IF((J101=""),0,((((J101*Settings!$I$11)+(ROUND((K101/5),0)*Settings!$F$11))+(L101*Settings!$F$12))+(M101*Settings!$F$15)))</f>
        <v>0</v>
      </c>
      <c r="S101" s="66">
        <f>ROUND((((P101*Settings!$B$21)+(Q101*Settings!$B$22))+(R101*Settings!$B$23)),1)</f>
        <v>0</v>
      </c>
      <c r="T101" s="66">
        <f>IF(ISERROR(VLOOKUP(RANK(S101,S$4:S$182),T$4:T100,1,0)),RANK(S101,S$4:S$182),IF(ISERROR(VLOOKUP((RANK(S101,S$4:S$182)+1),T$4:T100,1,0)),(RANK(S101,S$4:S$182)+1),IF(ISERROR(VLOOKUP((RANK(S101,S$4:S$182)+2),T$4:T100,1,0)),(RANK(S101,S$4:S$182)+2),(RANK(S101,S$4:S$182)+3))))</f>
        <v>87</v>
      </c>
      <c r="U101" t="str">
        <f t="shared" si="11"/>
        <v>Randy McMichael</v>
      </c>
    </row>
    <row r="102" spans="1:21" ht="12.75" customHeight="1">
      <c r="A102" s="33" t="str">
        <f>ESPNData!AX105</f>
        <v>Robert Royal, FA TE</v>
      </c>
      <c r="B102" s="33" t="str">
        <f t="shared" si="9"/>
        <v>Robert Royal</v>
      </c>
      <c r="C102" s="64" t="str">
        <f t="shared" si="10"/>
        <v>FA</v>
      </c>
      <c r="D102" s="117" t="str">
        <f>IF(ISERROR(VLOOKUP($B102,FFTodayData!$AN:$AT,4,0)),"",VLOOKUP($B102,FFTodayData!$AN:$AT,4,0))</f>
        <v/>
      </c>
      <c r="E102" s="33" t="str">
        <f>IF(ISERROR(VLOOKUP($B102,FFTodayData!$AN:$AT,5,0)),"",VLOOKUP($B102,FFTodayData!$AN:$AT,5,0))</f>
        <v/>
      </c>
      <c r="F102" s="64" t="str">
        <f>IF(ISERROR(VLOOKUP($B102,FFTodayData!$AN:$AT,6,0)),"",VLOOKUP($B102,FFTodayData!$AN:$AT,6,0))</f>
        <v/>
      </c>
      <c r="G102" s="117" t="str">
        <f>IF(ISERROR(VLOOKUP($A102,ESPNData!$AX:$BK,11,0)),"",VLOOKUP($A102,ESPNData!$AX:$BK,11,0))</f>
        <v>--</v>
      </c>
      <c r="H102" s="33" t="str">
        <f>IF(ISERROR(VLOOKUP($A102,ESPNData!$AX:$BK,12,0)),"",VLOOKUP($A102,ESPNData!$AX:$BK,12,0))</f>
        <v>--</v>
      </c>
      <c r="I102" s="64" t="str">
        <f>IF(ISERROR(VLOOKUP($A102,ESPNData!$AX:$BK,13,0)),"",VLOOKUP($A102,ESPNData!$AX:$BK,13,0))</f>
        <v>--</v>
      </c>
      <c r="J102" s="117" t="str">
        <f>IF(ISERROR(VLOOKUP($B102,SportslineData!$AM:$AT,3,0)),"",ROUND(VLOOKUP($B102,SportslineData!$AM:$AT,3,0),0))</f>
        <v/>
      </c>
      <c r="K102" s="33" t="str">
        <f>IF(ISERROR(VLOOKUP($B102,SportslineData!$AM:$AT,4,0)),"",VLOOKUP($B102,SportslineData!$AM:$AT,4,0))</f>
        <v/>
      </c>
      <c r="L102" s="33" t="str">
        <f>IF(ISERROR(VLOOKUP($B102,SportslineData!$AM:$AT,6,0)),"",ROUND(VLOOKUP($B102,SportslineData!$AM:$AT,6,0),0))</f>
        <v/>
      </c>
      <c r="M102" s="64" t="str">
        <f>IF(ISERROR(VLOOKUP($B102,SportslineData!$AM:$AT,7,0)),"",ROUND(VLOOKUP($B102,SportslineData!$AM:$AT,7,0),0))</f>
        <v/>
      </c>
      <c r="N102" s="117"/>
      <c r="O102" s="33"/>
      <c r="P102" s="38">
        <f>IF(ISERROR(ROUND((((ROUNDDOWN((E102/5),0)*Settings!$F$11)+(D102*Settings!$I$11))+(F102*Settings!$F$12)),1)),0,ROUND((((ROUNDDOWN((E102/5),0)*Settings!$F$11)+(D102*Settings!$I$11))+(F102*Settings!$F$12)),1))</f>
        <v>0</v>
      </c>
      <c r="Q102" s="38">
        <f>IF(ISERROR(ROUND((((ROUNDDOWN((H102/5),0)*Settings!$F$11)+(G102*Settings!$I$11))+(I102*Settings!$F$12)),1)),0,ROUND((((ROUNDDOWN((H102/5),0)*Settings!$F$11)+(G102*Settings!$I$11))+(I102*Settings!$F$12)),1))</f>
        <v>0</v>
      </c>
      <c r="R102" s="38">
        <f>IF((J102=""),0,((((J102*Settings!$I$11)+(ROUND((K102/5),0)*Settings!$F$11))+(L102*Settings!$F$12))+(M102*Settings!$F$15)))</f>
        <v>0</v>
      </c>
      <c r="S102" s="66">
        <f>ROUND((((P102*Settings!$B$21)+(Q102*Settings!$B$22))+(R102*Settings!$B$23)),1)</f>
        <v>0</v>
      </c>
      <c r="T102" s="66">
        <f>IF(ISERROR(VLOOKUP(RANK(S102,S$4:S$182),T$4:T101,1,0)),RANK(S102,S$4:S$182),IF(ISERROR(VLOOKUP((RANK(S102,S$4:S$182)+1),T$4:T101,1,0)),(RANK(S102,S$4:S$182)+1),IF(ISERROR(VLOOKUP((RANK(S102,S$4:S$182)+2),T$4:T101,1,0)),(RANK(S102,S$4:S$182)+2),(RANK(S102,S$4:S$182)+3))))</f>
        <v>87</v>
      </c>
      <c r="U102" t="str">
        <f t="shared" si="11"/>
        <v>Robert Royal</v>
      </c>
    </row>
    <row r="103" spans="1:21" ht="12.75" customHeight="1">
      <c r="A103" s="33" t="str">
        <f>ESPNData!AX106</f>
        <v>John Gilmore, FA TE</v>
      </c>
      <c r="B103" s="33" t="str">
        <f t="shared" si="9"/>
        <v>John Gilmore</v>
      </c>
      <c r="C103" s="64" t="str">
        <f t="shared" si="10"/>
        <v>FA</v>
      </c>
      <c r="D103" s="117" t="str">
        <f>IF(ISERROR(VLOOKUP($B103,FFTodayData!$AN:$AT,4,0)),"",VLOOKUP($B103,FFTodayData!$AN:$AT,4,0))</f>
        <v/>
      </c>
      <c r="E103" s="33" t="str">
        <f>IF(ISERROR(VLOOKUP($B103,FFTodayData!$AN:$AT,5,0)),"",VLOOKUP($B103,FFTodayData!$AN:$AT,5,0))</f>
        <v/>
      </c>
      <c r="F103" s="64" t="str">
        <f>IF(ISERROR(VLOOKUP($B103,FFTodayData!$AN:$AT,6,0)),"",VLOOKUP($B103,FFTodayData!$AN:$AT,6,0))</f>
        <v/>
      </c>
      <c r="G103" s="117" t="str">
        <f>IF(ISERROR(VLOOKUP($A103,ESPNData!$AX:$BK,11,0)),"",VLOOKUP($A103,ESPNData!$AX:$BK,11,0))</f>
        <v>--</v>
      </c>
      <c r="H103" s="33" t="str">
        <f>IF(ISERROR(VLOOKUP($A103,ESPNData!$AX:$BK,12,0)),"",VLOOKUP($A103,ESPNData!$AX:$BK,12,0))</f>
        <v>--</v>
      </c>
      <c r="I103" s="64" t="str">
        <f>IF(ISERROR(VLOOKUP($A103,ESPNData!$AX:$BK,13,0)),"",VLOOKUP($A103,ESPNData!$AX:$BK,13,0))</f>
        <v>--</v>
      </c>
      <c r="J103" s="117" t="str">
        <f>IF(ISERROR(VLOOKUP($B103,SportslineData!$AM:$AT,3,0)),"",ROUND(VLOOKUP($B103,SportslineData!$AM:$AT,3,0),0))</f>
        <v/>
      </c>
      <c r="K103" s="33" t="str">
        <f>IF(ISERROR(VLOOKUP($B103,SportslineData!$AM:$AT,4,0)),"",VLOOKUP($B103,SportslineData!$AM:$AT,4,0))</f>
        <v/>
      </c>
      <c r="L103" s="33" t="str">
        <f>IF(ISERROR(VLOOKUP($B103,SportslineData!$AM:$AT,6,0)),"",ROUND(VLOOKUP($B103,SportslineData!$AM:$AT,6,0),0))</f>
        <v/>
      </c>
      <c r="M103" s="64" t="str">
        <f>IF(ISERROR(VLOOKUP($B103,SportslineData!$AM:$AT,7,0)),"",ROUND(VLOOKUP($B103,SportslineData!$AM:$AT,7,0),0))</f>
        <v/>
      </c>
      <c r="N103" s="117"/>
      <c r="O103" s="33"/>
      <c r="P103" s="38">
        <f>IF(ISERROR(ROUND((((ROUNDDOWN((E103/5),0)*Settings!$F$11)+(D103*Settings!$I$11))+(F103*Settings!$F$12)),1)),0,ROUND((((ROUNDDOWN((E103/5),0)*Settings!$F$11)+(D103*Settings!$I$11))+(F103*Settings!$F$12)),1))</f>
        <v>0</v>
      </c>
      <c r="Q103" s="38">
        <f>IF(ISERROR(ROUND((((ROUNDDOWN((H103/5),0)*Settings!$F$11)+(G103*Settings!$I$11))+(I103*Settings!$F$12)),1)),0,ROUND((((ROUNDDOWN((H103/5),0)*Settings!$F$11)+(G103*Settings!$I$11))+(I103*Settings!$F$12)),1))</f>
        <v>0</v>
      </c>
      <c r="R103" s="38">
        <f>IF((J103=""),0,((((J103*Settings!$I$11)+(ROUND((K103/5),0)*Settings!$F$11))+(L103*Settings!$F$12))+(M103*Settings!$F$15)))</f>
        <v>0</v>
      </c>
      <c r="S103" s="66">
        <f>ROUND((((P103*Settings!$B$21)+(Q103*Settings!$B$22))+(R103*Settings!$B$23)),1)</f>
        <v>0</v>
      </c>
      <c r="T103" s="66">
        <f>IF(ISERROR(VLOOKUP(RANK(S103,S$4:S$182),T$4:T102,1,0)),RANK(S103,S$4:S$182),IF(ISERROR(VLOOKUP((RANK(S103,S$4:S$182)+1),T$4:T102,1,0)),(RANK(S103,S$4:S$182)+1),IF(ISERROR(VLOOKUP((RANK(S103,S$4:S$182)+2),T$4:T102,1,0)),(RANK(S103,S$4:S$182)+2),(RANK(S103,S$4:S$182)+3))))</f>
        <v>87</v>
      </c>
      <c r="U103" t="str">
        <f t="shared" si="11"/>
        <v>John Gilmore</v>
      </c>
    </row>
    <row r="104" spans="1:21" ht="12.75" customHeight="1">
      <c r="A104" s="33" t="str">
        <f>ESPNData!AX107</f>
        <v>Dallas Clark, Bal TE</v>
      </c>
      <c r="B104" s="33" t="str">
        <f t="shared" si="9"/>
        <v>Dallas Clark</v>
      </c>
      <c r="C104" s="64" t="str">
        <f t="shared" si="10"/>
        <v>BAL</v>
      </c>
      <c r="D104" s="117" t="str">
        <f>IF(ISERROR(VLOOKUP($B104,FFTodayData!$AN:$AT,4,0)),"",VLOOKUP($B104,FFTodayData!$AN:$AT,4,0))</f>
        <v/>
      </c>
      <c r="E104" s="33" t="str">
        <f>IF(ISERROR(VLOOKUP($B104,FFTodayData!$AN:$AT,5,0)),"",VLOOKUP($B104,FFTodayData!$AN:$AT,5,0))</f>
        <v/>
      </c>
      <c r="F104" s="64" t="str">
        <f>IF(ISERROR(VLOOKUP($B104,FFTodayData!$AN:$AT,6,0)),"",VLOOKUP($B104,FFTodayData!$AN:$AT,6,0))</f>
        <v/>
      </c>
      <c r="G104" s="117" t="str">
        <f>IF(ISERROR(VLOOKUP($A104,ESPNData!$AX:$BK,11,0)),"",VLOOKUP($A104,ESPNData!$AX:$BK,11,0))</f>
        <v>--</v>
      </c>
      <c r="H104" s="33" t="str">
        <f>IF(ISERROR(VLOOKUP($A104,ESPNData!$AX:$BK,12,0)),"",VLOOKUP($A104,ESPNData!$AX:$BK,12,0))</f>
        <v>--</v>
      </c>
      <c r="I104" s="64" t="str">
        <f>IF(ISERROR(VLOOKUP($A104,ESPNData!$AX:$BK,13,0)),"",VLOOKUP($A104,ESPNData!$AX:$BK,13,0))</f>
        <v>--</v>
      </c>
      <c r="J104" s="117" t="str">
        <f>IF(ISERROR(VLOOKUP($B104,SportslineData!$AM:$AT,3,0)),"",ROUND(VLOOKUP($B104,SportslineData!$AM:$AT,3,0),0))</f>
        <v/>
      </c>
      <c r="K104" s="33" t="str">
        <f>IF(ISERROR(VLOOKUP($B104,SportslineData!$AM:$AT,4,0)),"",VLOOKUP($B104,SportslineData!$AM:$AT,4,0))</f>
        <v/>
      </c>
      <c r="L104" s="33" t="str">
        <f>IF(ISERROR(VLOOKUP($B104,SportslineData!$AM:$AT,6,0)),"",ROUND(VLOOKUP($B104,SportslineData!$AM:$AT,6,0),0))</f>
        <v/>
      </c>
      <c r="M104" s="64" t="str">
        <f>IF(ISERROR(VLOOKUP($B104,SportslineData!$AM:$AT,7,0)),"",ROUND(VLOOKUP($B104,SportslineData!$AM:$AT,7,0),0))</f>
        <v/>
      </c>
      <c r="N104" s="117"/>
      <c r="O104" s="33"/>
      <c r="P104" s="38">
        <f>IF(ISERROR(ROUND((((ROUNDDOWN((E104/5),0)*Settings!$F$11)+(D104*Settings!$I$11))+(F104*Settings!$F$12)),1)),0,ROUND((((ROUNDDOWN((E104/5),0)*Settings!$F$11)+(D104*Settings!$I$11))+(F104*Settings!$F$12)),1))</f>
        <v>0</v>
      </c>
      <c r="Q104" s="38">
        <f>IF(ISERROR(ROUND((((ROUNDDOWN((H104/5),0)*Settings!$F$11)+(G104*Settings!$I$11))+(I104*Settings!$F$12)),1)),0,ROUND((((ROUNDDOWN((H104/5),0)*Settings!$F$11)+(G104*Settings!$I$11))+(I104*Settings!$F$12)),1))</f>
        <v>0</v>
      </c>
      <c r="R104" s="38">
        <f>IF((J104=""),0,((((J104*Settings!$I$11)+(ROUND((K104/5),0)*Settings!$F$11))+(L104*Settings!$F$12))+(M104*Settings!$F$15)))</f>
        <v>0</v>
      </c>
      <c r="S104" s="66">
        <f>ROUND((((P104*Settings!$B$21)+(Q104*Settings!$B$22))+(R104*Settings!$B$23)),1)</f>
        <v>0</v>
      </c>
      <c r="T104" s="66">
        <f>IF(ISERROR(VLOOKUP(RANK(S104,S$4:S$182),T$4:T103,1,0)),RANK(S104,S$4:S$182),IF(ISERROR(VLOOKUP((RANK(S104,S$4:S$182)+1),T$4:T103,1,0)),(RANK(S104,S$4:S$182)+1),IF(ISERROR(VLOOKUP((RANK(S104,S$4:S$182)+2),T$4:T103,1,0)),(RANK(S104,S$4:S$182)+2),(RANK(S104,S$4:S$182)+3))))</f>
        <v>87</v>
      </c>
      <c r="U104" t="str">
        <f t="shared" si="11"/>
        <v>Dallas Clark</v>
      </c>
    </row>
    <row r="105" spans="1:21" ht="12.75" customHeight="1">
      <c r="A105" s="33" t="str">
        <f>ESPNData!AX108</f>
        <v>Visanthe Shiancoe, Ten TE</v>
      </c>
      <c r="B105" s="33" t="str">
        <f t="shared" si="9"/>
        <v>Visanthe Shiancoe</v>
      </c>
      <c r="C105" s="64" t="str">
        <f t="shared" si="10"/>
        <v>TEN</v>
      </c>
      <c r="D105" s="117" t="str">
        <f>IF(ISERROR(VLOOKUP($B105,FFTodayData!$AN:$AT,4,0)),"",VLOOKUP($B105,FFTodayData!$AN:$AT,4,0))</f>
        <v/>
      </c>
      <c r="E105" s="33" t="str">
        <f>IF(ISERROR(VLOOKUP($B105,FFTodayData!$AN:$AT,5,0)),"",VLOOKUP($B105,FFTodayData!$AN:$AT,5,0))</f>
        <v/>
      </c>
      <c r="F105" s="64" t="str">
        <f>IF(ISERROR(VLOOKUP($B105,FFTodayData!$AN:$AT,6,0)),"",VLOOKUP($B105,FFTodayData!$AN:$AT,6,0))</f>
        <v/>
      </c>
      <c r="G105" s="117" t="str">
        <f>IF(ISERROR(VLOOKUP($A105,ESPNData!$AX:$BK,11,0)),"",VLOOKUP($A105,ESPNData!$AX:$BK,11,0))</f>
        <v>--</v>
      </c>
      <c r="H105" s="33" t="str">
        <f>IF(ISERROR(VLOOKUP($A105,ESPNData!$AX:$BK,12,0)),"",VLOOKUP($A105,ESPNData!$AX:$BK,12,0))</f>
        <v>--</v>
      </c>
      <c r="I105" s="64" t="str">
        <f>IF(ISERROR(VLOOKUP($A105,ESPNData!$AX:$BK,13,0)),"",VLOOKUP($A105,ESPNData!$AX:$BK,13,0))</f>
        <v>--</v>
      </c>
      <c r="J105" s="117" t="str">
        <f>IF(ISERROR(VLOOKUP($B105,SportslineData!$AM:$AT,3,0)),"",ROUND(VLOOKUP($B105,SportslineData!$AM:$AT,3,0),0))</f>
        <v/>
      </c>
      <c r="K105" s="33" t="str">
        <f>IF(ISERROR(VLOOKUP($B105,SportslineData!$AM:$AT,4,0)),"",VLOOKUP($B105,SportslineData!$AM:$AT,4,0))</f>
        <v/>
      </c>
      <c r="L105" s="33" t="str">
        <f>IF(ISERROR(VLOOKUP($B105,SportslineData!$AM:$AT,6,0)),"",ROUND(VLOOKUP($B105,SportslineData!$AM:$AT,6,0),0))</f>
        <v/>
      </c>
      <c r="M105" s="64" t="str">
        <f>IF(ISERROR(VLOOKUP($B105,SportslineData!$AM:$AT,7,0)),"",ROUND(VLOOKUP($B105,SportslineData!$AM:$AT,7,0),0))</f>
        <v/>
      </c>
      <c r="N105" s="117"/>
      <c r="O105" s="33"/>
      <c r="P105" s="38">
        <f>IF(ISERROR(ROUND((((ROUNDDOWN((E105/5),0)*Settings!$F$11)+(D105*Settings!$I$11))+(F105*Settings!$F$12)),1)),0,ROUND((((ROUNDDOWN((E105/5),0)*Settings!$F$11)+(D105*Settings!$I$11))+(F105*Settings!$F$12)),1))</f>
        <v>0</v>
      </c>
      <c r="Q105" s="38">
        <f>IF(ISERROR(ROUND((((ROUNDDOWN((H105/5),0)*Settings!$F$11)+(G105*Settings!$I$11))+(I105*Settings!$F$12)),1)),0,ROUND((((ROUNDDOWN((H105/5),0)*Settings!$F$11)+(G105*Settings!$I$11))+(I105*Settings!$F$12)),1))</f>
        <v>0</v>
      </c>
      <c r="R105" s="38">
        <f>IF((J105=""),0,((((J105*Settings!$I$11)+(ROUND((K105/5),0)*Settings!$F$11))+(L105*Settings!$F$12))+(M105*Settings!$F$15)))</f>
        <v>0</v>
      </c>
      <c r="S105" s="66">
        <f>ROUND((((P105*Settings!$B$21)+(Q105*Settings!$B$22))+(R105*Settings!$B$23)),1)</f>
        <v>0</v>
      </c>
      <c r="T105" s="66">
        <f>IF(ISERROR(VLOOKUP(RANK(S105,S$4:S$182),T$4:T104,1,0)),RANK(S105,S$4:S$182),IF(ISERROR(VLOOKUP((RANK(S105,S$4:S$182)+1),T$4:T104,1,0)),(RANK(S105,S$4:S$182)+1),IF(ISERROR(VLOOKUP((RANK(S105,S$4:S$182)+2),T$4:T104,1,0)),(RANK(S105,S$4:S$182)+2),(RANK(S105,S$4:S$182)+3))))</f>
        <v>87</v>
      </c>
      <c r="U105" t="str">
        <f t="shared" si="11"/>
        <v>Visanthe Shiancoe</v>
      </c>
    </row>
    <row r="106" spans="1:21" ht="12.75" customHeight="1">
      <c r="A106" s="33" t="str">
        <f>ESPNData!AX109</f>
        <v>Donald Lee, FA TE</v>
      </c>
      <c r="B106" s="33" t="str">
        <f t="shared" si="9"/>
        <v>Donald Lee</v>
      </c>
      <c r="C106" s="64" t="str">
        <f t="shared" si="10"/>
        <v>FA</v>
      </c>
      <c r="D106" s="117">
        <f>IF(ISERROR(VLOOKUP($B106,FFTodayData!$AN:$AT,4,0)),"",VLOOKUP($B106,FFTodayData!$AN:$AT,4,0))</f>
        <v>7</v>
      </c>
      <c r="E106" s="33">
        <f>IF(ISERROR(VLOOKUP($B106,FFTodayData!$AN:$AT,5,0)),"",VLOOKUP($B106,FFTodayData!$AN:$AT,5,0))</f>
        <v>77</v>
      </c>
      <c r="F106" s="64">
        <f>IF(ISERROR(VLOOKUP($B106,FFTodayData!$AN:$AT,6,0)),"",VLOOKUP($B106,FFTodayData!$AN:$AT,6,0))</f>
        <v>0</v>
      </c>
      <c r="G106" s="117" t="str">
        <f>IF(ISERROR(VLOOKUP($A106,ESPNData!$AX:$BK,11,0)),"",VLOOKUP($A106,ESPNData!$AX:$BK,11,0))</f>
        <v>--</v>
      </c>
      <c r="H106" s="33" t="str">
        <f>IF(ISERROR(VLOOKUP($A106,ESPNData!$AX:$BK,12,0)),"",VLOOKUP($A106,ESPNData!$AX:$BK,12,0))</f>
        <v>--</v>
      </c>
      <c r="I106" s="64" t="str">
        <f>IF(ISERROR(VLOOKUP($A106,ESPNData!$AX:$BK,13,0)),"",VLOOKUP($A106,ESPNData!$AX:$BK,13,0))</f>
        <v>--</v>
      </c>
      <c r="J106" s="117" t="str">
        <f>IF(ISERROR(VLOOKUP($B106,SportslineData!$AM:$AT,3,0)),"",ROUND(VLOOKUP($B106,SportslineData!$AM:$AT,3,0),0))</f>
        <v/>
      </c>
      <c r="K106" s="33" t="str">
        <f>IF(ISERROR(VLOOKUP($B106,SportslineData!$AM:$AT,4,0)),"",VLOOKUP($B106,SportslineData!$AM:$AT,4,0))</f>
        <v/>
      </c>
      <c r="L106" s="33" t="str">
        <f>IF(ISERROR(VLOOKUP($B106,SportslineData!$AM:$AT,6,0)),"",ROUND(VLOOKUP($B106,SportslineData!$AM:$AT,6,0),0))</f>
        <v/>
      </c>
      <c r="M106" s="64" t="str">
        <f>IF(ISERROR(VLOOKUP($B106,SportslineData!$AM:$AT,7,0)),"",ROUND(VLOOKUP($B106,SportslineData!$AM:$AT,7,0),0))</f>
        <v/>
      </c>
      <c r="N106" s="117"/>
      <c r="O106" s="33"/>
      <c r="P106" s="38">
        <f>IF(ISERROR(ROUND((((ROUNDDOWN((E106/5),0)*Settings!$F$11)+(D106*Settings!$I$11))+(F106*Settings!$F$12)),1)),0,ROUND((((ROUNDDOWN((E106/5),0)*Settings!$F$11)+(D106*Settings!$I$11))+(F106*Settings!$F$12)),1))</f>
        <v>11</v>
      </c>
      <c r="Q106" s="38">
        <f>IF(ISERROR(ROUND((((ROUNDDOWN((H106/5),0)*Settings!$F$11)+(G106*Settings!$I$11))+(I106*Settings!$F$12)),1)),0,ROUND((((ROUNDDOWN((H106/5),0)*Settings!$F$11)+(G106*Settings!$I$11))+(I106*Settings!$F$12)),1))</f>
        <v>0</v>
      </c>
      <c r="R106" s="38">
        <f>IF((J106=""),0,((((J106*Settings!$I$11)+(ROUND((K106/5),0)*Settings!$F$11))+(L106*Settings!$F$12))+(M106*Settings!$F$15)))</f>
        <v>0</v>
      </c>
      <c r="S106" s="66">
        <f>ROUND((((P106*Settings!$B$21)+(Q106*Settings!$B$22))+(R106*Settings!$B$23)),1)</f>
        <v>3.6</v>
      </c>
      <c r="T106" s="66">
        <f>IF(ISERROR(VLOOKUP(RANK(S106,S$4:S$182),T$4:T105,1,0)),RANK(S106,S$4:S$182),IF(ISERROR(VLOOKUP((RANK(S106,S$4:S$182)+1),T$4:T105,1,0)),(RANK(S106,S$4:S$182)+1),IF(ISERROR(VLOOKUP((RANK(S106,S$4:S$182)+2),T$4:T105,1,0)),(RANK(S106,S$4:S$182)+2),(RANK(S106,S$4:S$182)+3))))</f>
        <v>80</v>
      </c>
      <c r="U106" t="str">
        <f t="shared" si="11"/>
        <v>Donald Lee</v>
      </c>
    </row>
    <row r="107" spans="1:21" ht="12.75" customHeight="1">
      <c r="A107" s="33" t="str">
        <f>ESPNData!AX110</f>
        <v>Will Heller, FA TE</v>
      </c>
      <c r="B107" s="33" t="str">
        <f t="shared" si="9"/>
        <v>Will Heller</v>
      </c>
      <c r="C107" s="64" t="str">
        <f t="shared" si="10"/>
        <v>FA</v>
      </c>
      <c r="D107" s="117" t="str">
        <f>IF(ISERROR(VLOOKUP($B107,FFTodayData!$AN:$AT,4,0)),"",VLOOKUP($B107,FFTodayData!$AN:$AT,4,0))</f>
        <v/>
      </c>
      <c r="E107" s="33" t="str">
        <f>IF(ISERROR(VLOOKUP($B107,FFTodayData!$AN:$AT,5,0)),"",VLOOKUP($B107,FFTodayData!$AN:$AT,5,0))</f>
        <v/>
      </c>
      <c r="F107" s="64" t="str">
        <f>IF(ISERROR(VLOOKUP($B107,FFTodayData!$AN:$AT,6,0)),"",VLOOKUP($B107,FFTodayData!$AN:$AT,6,0))</f>
        <v/>
      </c>
      <c r="G107" s="117" t="str">
        <f>IF(ISERROR(VLOOKUP($A107,ESPNData!$AX:$BK,11,0)),"",VLOOKUP($A107,ESPNData!$AX:$BK,11,0))</f>
        <v>--</v>
      </c>
      <c r="H107" s="33" t="str">
        <f>IF(ISERROR(VLOOKUP($A107,ESPNData!$AX:$BK,12,0)),"",VLOOKUP($A107,ESPNData!$AX:$BK,12,0))</f>
        <v>--</v>
      </c>
      <c r="I107" s="64" t="str">
        <f>IF(ISERROR(VLOOKUP($A107,ESPNData!$AX:$BK,13,0)),"",VLOOKUP($A107,ESPNData!$AX:$BK,13,0))</f>
        <v>--</v>
      </c>
      <c r="J107" s="117" t="str">
        <f>IF(ISERROR(VLOOKUP($B107,SportslineData!$AM:$AT,3,0)),"",ROUND(VLOOKUP($B107,SportslineData!$AM:$AT,3,0),0))</f>
        <v/>
      </c>
      <c r="K107" s="33" t="str">
        <f>IF(ISERROR(VLOOKUP($B107,SportslineData!$AM:$AT,4,0)),"",VLOOKUP($B107,SportslineData!$AM:$AT,4,0))</f>
        <v/>
      </c>
      <c r="L107" s="33" t="str">
        <f>IF(ISERROR(VLOOKUP($B107,SportslineData!$AM:$AT,6,0)),"",ROUND(VLOOKUP($B107,SportslineData!$AM:$AT,6,0),0))</f>
        <v/>
      </c>
      <c r="M107" s="64" t="str">
        <f>IF(ISERROR(VLOOKUP($B107,SportslineData!$AM:$AT,7,0)),"",ROUND(VLOOKUP($B107,SportslineData!$AM:$AT,7,0),0))</f>
        <v/>
      </c>
      <c r="N107" s="117"/>
      <c r="O107" s="33"/>
      <c r="P107" s="38">
        <f>IF(ISERROR(ROUND((((ROUNDDOWN((E107/5),0)*Settings!$F$11)+(D107*Settings!$I$11))+(F107*Settings!$F$12)),1)),0,ROUND((((ROUNDDOWN((E107/5),0)*Settings!$F$11)+(D107*Settings!$I$11))+(F107*Settings!$F$12)),1))</f>
        <v>0</v>
      </c>
      <c r="Q107" s="38">
        <f>IF(ISERROR(ROUND((((ROUNDDOWN((H107/5),0)*Settings!$F$11)+(G107*Settings!$I$11))+(I107*Settings!$F$12)),1)),0,ROUND((((ROUNDDOWN((H107/5),0)*Settings!$F$11)+(G107*Settings!$I$11))+(I107*Settings!$F$12)),1))</f>
        <v>0</v>
      </c>
      <c r="R107" s="38">
        <f>IF((J107=""),0,((((J107*Settings!$I$11)+(ROUND((K107/5),0)*Settings!$F$11))+(L107*Settings!$F$12))+(M107*Settings!$F$15)))</f>
        <v>0</v>
      </c>
      <c r="S107" s="66">
        <f>ROUND((((P107*Settings!$B$21)+(Q107*Settings!$B$22))+(R107*Settings!$B$23)),1)</f>
        <v>0</v>
      </c>
      <c r="T107" s="66">
        <f>IF(ISERROR(VLOOKUP(RANK(S107,S$4:S$182),T$4:T106,1,0)),RANK(S107,S$4:S$182),IF(ISERROR(VLOOKUP((RANK(S107,S$4:S$182)+1),T$4:T106,1,0)),(RANK(S107,S$4:S$182)+1),IF(ISERROR(VLOOKUP((RANK(S107,S$4:S$182)+2),T$4:T106,1,0)),(RANK(S107,S$4:S$182)+2),(RANK(S107,S$4:S$182)+3))))</f>
        <v>87</v>
      </c>
      <c r="U107" t="str">
        <f t="shared" si="11"/>
        <v>Will Heller</v>
      </c>
    </row>
    <row r="108" spans="1:21" ht="12.75" customHeight="1">
      <c r="A108" s="33" t="str">
        <f>ESPNData!AX111</f>
        <v>Kellen Winslow, NYJ TE</v>
      </c>
      <c r="B108" s="33" t="str">
        <f t="shared" si="9"/>
        <v>Kellen Winslow</v>
      </c>
      <c r="C108" s="64" t="str">
        <f t="shared" si="10"/>
        <v>NYJ</v>
      </c>
      <c r="D108" s="117" t="str">
        <f>IF(ISERROR(VLOOKUP($B108,FFTodayData!$AN:$AT,4,0)),"",VLOOKUP($B108,FFTodayData!$AN:$AT,4,0))</f>
        <v/>
      </c>
      <c r="E108" s="33" t="str">
        <f>IF(ISERROR(VLOOKUP($B108,FFTodayData!$AN:$AT,5,0)),"",VLOOKUP($B108,FFTodayData!$AN:$AT,5,0))</f>
        <v/>
      </c>
      <c r="F108" s="64" t="str">
        <f>IF(ISERROR(VLOOKUP($B108,FFTodayData!$AN:$AT,6,0)),"",VLOOKUP($B108,FFTodayData!$AN:$AT,6,0))</f>
        <v/>
      </c>
      <c r="G108" s="117" t="str">
        <f>IF(ISERROR(VLOOKUP($A108,ESPNData!$AX:$BK,11,0)),"",VLOOKUP($A108,ESPNData!$AX:$BK,11,0))</f>
        <v>--</v>
      </c>
      <c r="H108" s="33" t="str">
        <f>IF(ISERROR(VLOOKUP($A108,ESPNData!$AX:$BK,12,0)),"",VLOOKUP($A108,ESPNData!$AX:$BK,12,0))</f>
        <v>--</v>
      </c>
      <c r="I108" s="64" t="str">
        <f>IF(ISERROR(VLOOKUP($A108,ESPNData!$AX:$BK,13,0)),"",VLOOKUP($A108,ESPNData!$AX:$BK,13,0))</f>
        <v>--</v>
      </c>
      <c r="J108" s="117" t="str">
        <f>IF(ISERROR(VLOOKUP($B108,SportslineData!$AM:$AT,3,0)),"",ROUND(VLOOKUP($B108,SportslineData!$AM:$AT,3,0),0))</f>
        <v/>
      </c>
      <c r="K108" s="33" t="str">
        <f>IF(ISERROR(VLOOKUP($B108,SportslineData!$AM:$AT,4,0)),"",VLOOKUP($B108,SportslineData!$AM:$AT,4,0))</f>
        <v/>
      </c>
      <c r="L108" s="33" t="str">
        <f>IF(ISERROR(VLOOKUP($B108,SportslineData!$AM:$AT,6,0)),"",ROUND(VLOOKUP($B108,SportslineData!$AM:$AT,6,0),0))</f>
        <v/>
      </c>
      <c r="M108" s="64" t="str">
        <f>IF(ISERROR(VLOOKUP($B108,SportslineData!$AM:$AT,7,0)),"",ROUND(VLOOKUP($B108,SportslineData!$AM:$AT,7,0),0))</f>
        <v/>
      </c>
      <c r="N108" s="117"/>
      <c r="O108" s="33"/>
      <c r="P108" s="38">
        <f>IF(ISERROR(ROUND((((ROUNDDOWN((E108/5),0)*Settings!$F$11)+(D108*Settings!$I$11))+(F108*Settings!$F$12)),1)),0,ROUND((((ROUNDDOWN((E108/5),0)*Settings!$F$11)+(D108*Settings!$I$11))+(F108*Settings!$F$12)),1))</f>
        <v>0</v>
      </c>
      <c r="Q108" s="38">
        <f>IF(ISERROR(ROUND((((ROUNDDOWN((H108/5),0)*Settings!$F$11)+(G108*Settings!$I$11))+(I108*Settings!$F$12)),1)),0,ROUND((((ROUNDDOWN((H108/5),0)*Settings!$F$11)+(G108*Settings!$I$11))+(I108*Settings!$F$12)),1))</f>
        <v>0</v>
      </c>
      <c r="R108" s="38">
        <f>IF((J108=""),0,((((J108*Settings!$I$11)+(ROUND((K108/5),0)*Settings!$F$11))+(L108*Settings!$F$12))+(M108*Settings!$F$15)))</f>
        <v>0</v>
      </c>
      <c r="S108" s="66">
        <f>ROUND((((P108*Settings!$B$21)+(Q108*Settings!$B$22))+(R108*Settings!$B$23)),1)</f>
        <v>0</v>
      </c>
      <c r="T108" s="66">
        <f>IF(ISERROR(VLOOKUP(RANK(S108,S$4:S$182),T$4:T107,1,0)),RANK(S108,S$4:S$182),IF(ISERROR(VLOOKUP((RANK(S108,S$4:S$182)+1),T$4:T107,1,0)),(RANK(S108,S$4:S$182)+1),IF(ISERROR(VLOOKUP((RANK(S108,S$4:S$182)+2),T$4:T107,1,0)),(RANK(S108,S$4:S$182)+2),(RANK(S108,S$4:S$182)+3))))</f>
        <v>87</v>
      </c>
      <c r="U108" t="str">
        <f t="shared" si="11"/>
        <v>Kellen Winslow</v>
      </c>
    </row>
    <row r="109" spans="1:21" ht="12.75" customHeight="1">
      <c r="A109" s="33" t="str">
        <f>ESPNData!AX112</f>
        <v>Benjamin Watson, NO TE</v>
      </c>
      <c r="B109" s="33" t="str">
        <f t="shared" si="9"/>
        <v>Benjamin Watson</v>
      </c>
      <c r="C109" s="64" t="str">
        <f t="shared" si="10"/>
        <v>NO</v>
      </c>
      <c r="D109" s="117" t="str">
        <f>IF(ISERROR(VLOOKUP($B109,FFTodayData!$AN:$AT,4,0)),"",VLOOKUP($B109,FFTodayData!$AN:$AT,4,0))</f>
        <v/>
      </c>
      <c r="E109" s="33" t="str">
        <f>IF(ISERROR(VLOOKUP($B109,FFTodayData!$AN:$AT,5,0)),"",VLOOKUP($B109,FFTodayData!$AN:$AT,5,0))</f>
        <v/>
      </c>
      <c r="F109" s="64" t="str">
        <f>IF(ISERROR(VLOOKUP($B109,FFTodayData!$AN:$AT,6,0)),"",VLOOKUP($B109,FFTodayData!$AN:$AT,6,0))</f>
        <v/>
      </c>
      <c r="G109" s="117" t="str">
        <f>IF(ISERROR(VLOOKUP($A109,ESPNData!$AX:$BK,11,0)),"",VLOOKUP($A109,ESPNData!$AX:$BK,11,0))</f>
        <v>--</v>
      </c>
      <c r="H109" s="33" t="str">
        <f>IF(ISERROR(VLOOKUP($A109,ESPNData!$AX:$BK,12,0)),"",VLOOKUP($A109,ESPNData!$AX:$BK,12,0))</f>
        <v>--</v>
      </c>
      <c r="I109" s="64" t="str">
        <f>IF(ISERROR(VLOOKUP($A109,ESPNData!$AX:$BK,13,0)),"",VLOOKUP($A109,ESPNData!$AX:$BK,13,0))</f>
        <v>--</v>
      </c>
      <c r="J109" s="117">
        <f>IF(ISERROR(VLOOKUP($B109,SportslineData!$AM:$AT,3,0)),"",ROUND(VLOOKUP($B109,SportslineData!$AM:$AT,3,0),0))</f>
        <v>18</v>
      </c>
      <c r="K109" s="33">
        <f>IF(ISERROR(VLOOKUP($B109,SportslineData!$AM:$AT,4,0)),"",VLOOKUP($B109,SportslineData!$AM:$AT,4,0))</f>
        <v>195.5</v>
      </c>
      <c r="L109" s="33">
        <f>IF(ISERROR(VLOOKUP($B109,SportslineData!$AM:$AT,6,0)),"",ROUND(VLOOKUP($B109,SportslineData!$AM:$AT,6,0),0))</f>
        <v>2</v>
      </c>
      <c r="M109" s="64">
        <f>IF(ISERROR(VLOOKUP($B109,SportslineData!$AM:$AT,7,0)),"",ROUND(VLOOKUP($B109,SportslineData!$AM:$AT,7,0),0))</f>
        <v>0</v>
      </c>
      <c r="N109" s="117"/>
      <c r="O109" s="33"/>
      <c r="P109" s="38">
        <f>IF(ISERROR(ROUND((((ROUNDDOWN((E109/5),0)*Settings!$F$11)+(D109*Settings!$I$11))+(F109*Settings!$F$12)),1)),0,ROUND((((ROUNDDOWN((E109/5),0)*Settings!$F$11)+(D109*Settings!$I$11))+(F109*Settings!$F$12)),1))</f>
        <v>0</v>
      </c>
      <c r="Q109" s="38">
        <f>IF(ISERROR(ROUND((((ROUNDDOWN((H109/5),0)*Settings!$F$11)+(G109*Settings!$I$11))+(I109*Settings!$F$12)),1)),0,ROUND((((ROUNDDOWN((H109/5),0)*Settings!$F$11)+(G109*Settings!$I$11))+(I109*Settings!$F$12)),1))</f>
        <v>0</v>
      </c>
      <c r="R109" s="38">
        <f>IF((J109=""),0,((((J109*Settings!$I$11)+(ROUND((K109/5),0)*Settings!$F$11))+(L109*Settings!$F$12))+(M109*Settings!$F$15)))</f>
        <v>40.5</v>
      </c>
      <c r="S109" s="66">
        <f>ROUND((((P109*Settings!$B$21)+(Q109*Settings!$B$22))+(R109*Settings!$B$23)),1)</f>
        <v>13.8</v>
      </c>
      <c r="T109" s="66">
        <f>IF(ISERROR(VLOOKUP(RANK(S109,S$4:S$182),T$4:T108,1,0)),RANK(S109,S$4:S$182),IF(ISERROR(VLOOKUP((RANK(S109,S$4:S$182)+1),T$4:T108,1,0)),(RANK(S109,S$4:S$182)+1),IF(ISERROR(VLOOKUP((RANK(S109,S$4:S$182)+2),T$4:T108,1,0)),(RANK(S109,S$4:S$182)+2),(RANK(S109,S$4:S$182)+3))))</f>
        <v>62</v>
      </c>
      <c r="U109" t="str">
        <f t="shared" si="11"/>
        <v>Benjamin Watson</v>
      </c>
    </row>
    <row r="110" spans="1:21" ht="12.75" customHeight="1">
      <c r="A110" s="33" t="str">
        <f>ESPNData!AX113</f>
        <v>Kris Wilson, FA TE</v>
      </c>
      <c r="B110" s="33" t="str">
        <f t="shared" si="9"/>
        <v>Kris Wilson</v>
      </c>
      <c r="C110" s="64" t="str">
        <f t="shared" si="10"/>
        <v>FA</v>
      </c>
      <c r="D110" s="117" t="str">
        <f>IF(ISERROR(VLOOKUP($B110,FFTodayData!$AN:$AT,4,0)),"",VLOOKUP($B110,FFTodayData!$AN:$AT,4,0))</f>
        <v/>
      </c>
      <c r="E110" s="33" t="str">
        <f>IF(ISERROR(VLOOKUP($B110,FFTodayData!$AN:$AT,5,0)),"",VLOOKUP($B110,FFTodayData!$AN:$AT,5,0))</f>
        <v/>
      </c>
      <c r="F110" s="64" t="str">
        <f>IF(ISERROR(VLOOKUP($B110,FFTodayData!$AN:$AT,6,0)),"",VLOOKUP($B110,FFTodayData!$AN:$AT,6,0))</f>
        <v/>
      </c>
      <c r="G110" s="117" t="str">
        <f>IF(ISERROR(VLOOKUP($A110,ESPNData!$AX:$BK,11,0)),"",VLOOKUP($A110,ESPNData!$AX:$BK,11,0))</f>
        <v>--</v>
      </c>
      <c r="H110" s="33" t="str">
        <f>IF(ISERROR(VLOOKUP($A110,ESPNData!$AX:$BK,12,0)),"",VLOOKUP($A110,ESPNData!$AX:$BK,12,0))</f>
        <v>--</v>
      </c>
      <c r="I110" s="64" t="str">
        <f>IF(ISERROR(VLOOKUP($A110,ESPNData!$AX:$BK,13,0)),"",VLOOKUP($A110,ESPNData!$AX:$BK,13,0))</f>
        <v>--</v>
      </c>
      <c r="J110" s="117" t="str">
        <f>IF(ISERROR(VLOOKUP($B110,SportslineData!$AM:$AT,3,0)),"",ROUND(VLOOKUP($B110,SportslineData!$AM:$AT,3,0),0))</f>
        <v/>
      </c>
      <c r="K110" s="33" t="str">
        <f>IF(ISERROR(VLOOKUP($B110,SportslineData!$AM:$AT,4,0)),"",VLOOKUP($B110,SportslineData!$AM:$AT,4,0))</f>
        <v/>
      </c>
      <c r="L110" s="33" t="str">
        <f>IF(ISERROR(VLOOKUP($B110,SportslineData!$AM:$AT,6,0)),"",ROUND(VLOOKUP($B110,SportslineData!$AM:$AT,6,0),0))</f>
        <v/>
      </c>
      <c r="M110" s="64" t="str">
        <f>IF(ISERROR(VLOOKUP($B110,SportslineData!$AM:$AT,7,0)),"",ROUND(VLOOKUP($B110,SportslineData!$AM:$AT,7,0),0))</f>
        <v/>
      </c>
      <c r="N110" s="117"/>
      <c r="O110" s="33"/>
      <c r="P110" s="38">
        <f>IF(ISERROR(ROUND((((ROUNDDOWN((E110/5),0)*Settings!$F$11)+(D110*Settings!$I$11))+(F110*Settings!$F$12)),1)),0,ROUND((((ROUNDDOWN((E110/5),0)*Settings!$F$11)+(D110*Settings!$I$11))+(F110*Settings!$F$12)),1))</f>
        <v>0</v>
      </c>
      <c r="Q110" s="38">
        <f>IF(ISERROR(ROUND((((ROUNDDOWN((H110/5),0)*Settings!$F$11)+(G110*Settings!$I$11))+(I110*Settings!$F$12)),1)),0,ROUND((((ROUNDDOWN((H110/5),0)*Settings!$F$11)+(G110*Settings!$I$11))+(I110*Settings!$F$12)),1))</f>
        <v>0</v>
      </c>
      <c r="R110" s="38">
        <f>IF((J110=""),0,((((J110*Settings!$I$11)+(ROUND((K110/5),0)*Settings!$F$11))+(L110*Settings!$F$12))+(M110*Settings!$F$15)))</f>
        <v>0</v>
      </c>
      <c r="S110" s="66">
        <f>ROUND((((P110*Settings!$B$21)+(Q110*Settings!$B$22))+(R110*Settings!$B$23)),1)</f>
        <v>0</v>
      </c>
      <c r="T110" s="66">
        <f>IF(ISERROR(VLOOKUP(RANK(S110,S$4:S$182),T$4:T109,1,0)),RANK(S110,S$4:S$182),IF(ISERROR(VLOOKUP((RANK(S110,S$4:S$182)+1),T$4:T109,1,0)),(RANK(S110,S$4:S$182)+1),IF(ISERROR(VLOOKUP((RANK(S110,S$4:S$182)+2),T$4:T109,1,0)),(RANK(S110,S$4:S$182)+2),(RANK(S110,S$4:S$182)+3))))</f>
        <v>87</v>
      </c>
      <c r="U110" t="str">
        <f t="shared" si="11"/>
        <v>Kris Wilson</v>
      </c>
    </row>
    <row r="111" spans="1:21" ht="12.75" customHeight="1">
      <c r="A111" s="33" t="str">
        <f>ESPNData!AX114</f>
        <v>Ben Hartsock, NE TE</v>
      </c>
      <c r="B111" s="33" t="str">
        <f t="shared" si="9"/>
        <v>Ben Hartsock</v>
      </c>
      <c r="C111" s="64" t="str">
        <f t="shared" si="10"/>
        <v>NE</v>
      </c>
      <c r="D111" s="117" t="str">
        <f>IF(ISERROR(VLOOKUP($B111,FFTodayData!$AN:$AT,4,0)),"",VLOOKUP($B111,FFTodayData!$AN:$AT,4,0))</f>
        <v/>
      </c>
      <c r="E111" s="33" t="str">
        <f>IF(ISERROR(VLOOKUP($B111,FFTodayData!$AN:$AT,5,0)),"",VLOOKUP($B111,FFTodayData!$AN:$AT,5,0))</f>
        <v/>
      </c>
      <c r="F111" s="64" t="str">
        <f>IF(ISERROR(VLOOKUP($B111,FFTodayData!$AN:$AT,6,0)),"",VLOOKUP($B111,FFTodayData!$AN:$AT,6,0))</f>
        <v/>
      </c>
      <c r="G111" s="117" t="str">
        <f>IF(ISERROR(VLOOKUP($A111,ESPNData!$AX:$BK,11,0)),"",VLOOKUP($A111,ESPNData!$AX:$BK,11,0))</f>
        <v>--</v>
      </c>
      <c r="H111" s="33" t="str">
        <f>IF(ISERROR(VLOOKUP($A111,ESPNData!$AX:$BK,12,0)),"",VLOOKUP($A111,ESPNData!$AX:$BK,12,0))</f>
        <v>--</v>
      </c>
      <c r="I111" s="64" t="str">
        <f>IF(ISERROR(VLOOKUP($A111,ESPNData!$AX:$BK,13,0)),"",VLOOKUP($A111,ESPNData!$AX:$BK,13,0))</f>
        <v>--</v>
      </c>
      <c r="J111" s="117" t="str">
        <f>IF(ISERROR(VLOOKUP($B111,SportslineData!$AM:$AT,3,0)),"",ROUND(VLOOKUP($B111,SportslineData!$AM:$AT,3,0),0))</f>
        <v/>
      </c>
      <c r="K111" s="33" t="str">
        <f>IF(ISERROR(VLOOKUP($B111,SportslineData!$AM:$AT,4,0)),"",VLOOKUP($B111,SportslineData!$AM:$AT,4,0))</f>
        <v/>
      </c>
      <c r="L111" s="33" t="str">
        <f>IF(ISERROR(VLOOKUP($B111,SportslineData!$AM:$AT,6,0)),"",ROUND(VLOOKUP($B111,SportslineData!$AM:$AT,6,0),0))</f>
        <v/>
      </c>
      <c r="M111" s="64" t="str">
        <f>IF(ISERROR(VLOOKUP($B111,SportslineData!$AM:$AT,7,0)),"",ROUND(VLOOKUP($B111,SportslineData!$AM:$AT,7,0),0))</f>
        <v/>
      </c>
      <c r="N111" s="117"/>
      <c r="O111" s="33"/>
      <c r="P111" s="38">
        <f>IF(ISERROR(ROUND((((ROUNDDOWN((E111/5),0)*Settings!$F$11)+(D111*Settings!$I$11))+(F111*Settings!$F$12)),1)),0,ROUND((((ROUNDDOWN((E111/5),0)*Settings!$F$11)+(D111*Settings!$I$11))+(F111*Settings!$F$12)),1))</f>
        <v>0</v>
      </c>
      <c r="Q111" s="38">
        <f>IF(ISERROR(ROUND((((ROUNDDOWN((H111/5),0)*Settings!$F$11)+(G111*Settings!$I$11))+(I111*Settings!$F$12)),1)),0,ROUND((((ROUNDDOWN((H111/5),0)*Settings!$F$11)+(G111*Settings!$I$11))+(I111*Settings!$F$12)),1))</f>
        <v>0</v>
      </c>
      <c r="R111" s="38">
        <f>IF((J111=""),0,((((J111*Settings!$I$11)+(ROUND((K111/5),0)*Settings!$F$11))+(L111*Settings!$F$12))+(M111*Settings!$F$15)))</f>
        <v>0</v>
      </c>
      <c r="S111" s="66">
        <f>ROUND((((P111*Settings!$B$21)+(Q111*Settings!$B$22))+(R111*Settings!$B$23)),1)</f>
        <v>0</v>
      </c>
      <c r="T111" s="66">
        <f>IF(ISERROR(VLOOKUP(RANK(S111,S$4:S$182),T$4:T110,1,0)),RANK(S111,S$4:S$182),IF(ISERROR(VLOOKUP((RANK(S111,S$4:S$182)+1),T$4:T110,1,0)),(RANK(S111,S$4:S$182)+1),IF(ISERROR(VLOOKUP((RANK(S111,S$4:S$182)+2),T$4:T110,1,0)),(RANK(S111,S$4:S$182)+2),(RANK(S111,S$4:S$182)+3))))</f>
        <v>87</v>
      </c>
      <c r="U111" t="str">
        <f t="shared" si="11"/>
        <v>Ben Hartsock</v>
      </c>
    </row>
    <row r="112" spans="1:21" ht="12.75" customHeight="1">
      <c r="A112" s="33" t="str">
        <f>ESPNData!AX115</f>
        <v>Chris Cooley, FA TE</v>
      </c>
      <c r="B112" s="33" t="str">
        <f t="shared" si="9"/>
        <v>Chris Cooley</v>
      </c>
      <c r="C112" s="64" t="str">
        <f t="shared" si="10"/>
        <v>FA</v>
      </c>
      <c r="D112" s="117" t="str">
        <f>IF(ISERROR(VLOOKUP($B112,FFTodayData!$AN:$AT,4,0)),"",VLOOKUP($B112,FFTodayData!$AN:$AT,4,0))</f>
        <v/>
      </c>
      <c r="E112" s="33" t="str">
        <f>IF(ISERROR(VLOOKUP($B112,FFTodayData!$AN:$AT,5,0)),"",VLOOKUP($B112,FFTodayData!$AN:$AT,5,0))</f>
        <v/>
      </c>
      <c r="F112" s="64" t="str">
        <f>IF(ISERROR(VLOOKUP($B112,FFTodayData!$AN:$AT,6,0)),"",VLOOKUP($B112,FFTodayData!$AN:$AT,6,0))</f>
        <v/>
      </c>
      <c r="G112" s="117" t="str">
        <f>IF(ISERROR(VLOOKUP($A112,ESPNData!$AX:$BK,11,0)),"",VLOOKUP($A112,ESPNData!$AX:$BK,11,0))</f>
        <v>--</v>
      </c>
      <c r="H112" s="33" t="str">
        <f>IF(ISERROR(VLOOKUP($A112,ESPNData!$AX:$BK,12,0)),"",VLOOKUP($A112,ESPNData!$AX:$BK,12,0))</f>
        <v>--</v>
      </c>
      <c r="I112" s="64" t="str">
        <f>IF(ISERROR(VLOOKUP($A112,ESPNData!$AX:$BK,13,0)),"",VLOOKUP($A112,ESPNData!$AX:$BK,13,0))</f>
        <v>--</v>
      </c>
      <c r="J112" s="117" t="str">
        <f>IF(ISERROR(VLOOKUP($B112,SportslineData!$AM:$AT,3,0)),"",ROUND(VLOOKUP($B112,SportslineData!$AM:$AT,3,0),0))</f>
        <v/>
      </c>
      <c r="K112" s="33" t="str">
        <f>IF(ISERROR(VLOOKUP($B112,SportslineData!$AM:$AT,4,0)),"",VLOOKUP($B112,SportslineData!$AM:$AT,4,0))</f>
        <v/>
      </c>
      <c r="L112" s="33" t="str">
        <f>IF(ISERROR(VLOOKUP($B112,SportslineData!$AM:$AT,6,0)),"",ROUND(VLOOKUP($B112,SportslineData!$AM:$AT,6,0),0))</f>
        <v/>
      </c>
      <c r="M112" s="64" t="str">
        <f>IF(ISERROR(VLOOKUP($B112,SportslineData!$AM:$AT,7,0)),"",ROUND(VLOOKUP($B112,SportslineData!$AM:$AT,7,0),0))</f>
        <v/>
      </c>
      <c r="N112" s="117"/>
      <c r="O112" s="33"/>
      <c r="P112" s="38">
        <f>IF(ISERROR(ROUND((((ROUNDDOWN((E112/5),0)*Settings!$F$11)+(D112*Settings!$I$11))+(F112*Settings!$F$12)),1)),0,ROUND((((ROUNDDOWN((E112/5),0)*Settings!$F$11)+(D112*Settings!$I$11))+(F112*Settings!$F$12)),1))</f>
        <v>0</v>
      </c>
      <c r="Q112" s="38">
        <f>IF(ISERROR(ROUND((((ROUNDDOWN((H112/5),0)*Settings!$F$11)+(G112*Settings!$I$11))+(I112*Settings!$F$12)),1)),0,ROUND((((ROUNDDOWN((H112/5),0)*Settings!$F$11)+(G112*Settings!$I$11))+(I112*Settings!$F$12)),1))</f>
        <v>0</v>
      </c>
      <c r="R112" s="38">
        <f>IF((J112=""),0,((((J112*Settings!$I$11)+(ROUND((K112/5),0)*Settings!$F$11))+(L112*Settings!$F$12))+(M112*Settings!$F$15)))</f>
        <v>0</v>
      </c>
      <c r="S112" s="66">
        <f>ROUND((((P112*Settings!$B$21)+(Q112*Settings!$B$22))+(R112*Settings!$B$23)),1)</f>
        <v>0</v>
      </c>
      <c r="T112" s="66">
        <f>IF(ISERROR(VLOOKUP(RANK(S112,S$4:S$182),T$4:T111,1,0)),RANK(S112,S$4:S$182),IF(ISERROR(VLOOKUP((RANK(S112,S$4:S$182)+1),T$4:T111,1,0)),(RANK(S112,S$4:S$182)+1),IF(ISERROR(VLOOKUP((RANK(S112,S$4:S$182)+2),T$4:T111,1,0)),(RANK(S112,S$4:S$182)+2),(RANK(S112,S$4:S$182)+3))))</f>
        <v>87</v>
      </c>
      <c r="U112" t="str">
        <f t="shared" si="11"/>
        <v>Chris Cooley</v>
      </c>
    </row>
    <row r="113" spans="1:21" ht="12.75" customHeight="1">
      <c r="A113" s="33" t="str">
        <f>ESPNData!AX116</f>
        <v>Ernest Wilford, FA TE</v>
      </c>
      <c r="B113" s="33" t="str">
        <f t="shared" si="9"/>
        <v>Ernest Wilford</v>
      </c>
      <c r="C113" s="64" t="str">
        <f t="shared" si="10"/>
        <v>FA</v>
      </c>
      <c r="D113" s="117" t="str">
        <f>IF(ISERROR(VLOOKUP($B113,FFTodayData!$AN:$AT,4,0)),"",VLOOKUP($B113,FFTodayData!$AN:$AT,4,0))</f>
        <v/>
      </c>
      <c r="E113" s="33" t="str">
        <f>IF(ISERROR(VLOOKUP($B113,FFTodayData!$AN:$AT,5,0)),"",VLOOKUP($B113,FFTodayData!$AN:$AT,5,0))</f>
        <v/>
      </c>
      <c r="F113" s="64" t="str">
        <f>IF(ISERROR(VLOOKUP($B113,FFTodayData!$AN:$AT,6,0)),"",VLOOKUP($B113,FFTodayData!$AN:$AT,6,0))</f>
        <v/>
      </c>
      <c r="G113" s="117" t="str">
        <f>IF(ISERROR(VLOOKUP($A113,ESPNData!$AX:$BK,11,0)),"",VLOOKUP($A113,ESPNData!$AX:$BK,11,0))</f>
        <v>--</v>
      </c>
      <c r="H113" s="33" t="str">
        <f>IF(ISERROR(VLOOKUP($A113,ESPNData!$AX:$BK,12,0)),"",VLOOKUP($A113,ESPNData!$AX:$BK,12,0))</f>
        <v>--</v>
      </c>
      <c r="I113" s="64" t="str">
        <f>IF(ISERROR(VLOOKUP($A113,ESPNData!$AX:$BK,13,0)),"",VLOOKUP($A113,ESPNData!$AX:$BK,13,0))</f>
        <v>--</v>
      </c>
      <c r="J113" s="117" t="str">
        <f>IF(ISERROR(VLOOKUP($B113,SportslineData!$AM:$AT,3,0)),"",ROUND(VLOOKUP($B113,SportslineData!$AM:$AT,3,0),0))</f>
        <v/>
      </c>
      <c r="K113" s="33" t="str">
        <f>IF(ISERROR(VLOOKUP($B113,SportslineData!$AM:$AT,4,0)),"",VLOOKUP($B113,SportslineData!$AM:$AT,4,0))</f>
        <v/>
      </c>
      <c r="L113" s="33" t="str">
        <f>IF(ISERROR(VLOOKUP($B113,SportslineData!$AM:$AT,6,0)),"",ROUND(VLOOKUP($B113,SportslineData!$AM:$AT,6,0),0))</f>
        <v/>
      </c>
      <c r="M113" s="64" t="str">
        <f>IF(ISERROR(VLOOKUP($B113,SportslineData!$AM:$AT,7,0)),"",ROUND(VLOOKUP($B113,SportslineData!$AM:$AT,7,0),0))</f>
        <v/>
      </c>
      <c r="N113" s="117"/>
      <c r="O113" s="33"/>
      <c r="P113" s="38">
        <f>IF(ISERROR(ROUND((((ROUNDDOWN((E113/5),0)*Settings!$F$11)+(D113*Settings!$I$11))+(F113*Settings!$F$12)),1)),0,ROUND((((ROUNDDOWN((E113/5),0)*Settings!$F$11)+(D113*Settings!$I$11))+(F113*Settings!$F$12)),1))</f>
        <v>0</v>
      </c>
      <c r="Q113" s="38">
        <f>IF(ISERROR(ROUND((((ROUNDDOWN((H113/5),0)*Settings!$F$11)+(G113*Settings!$I$11))+(I113*Settings!$F$12)),1)),0,ROUND((((ROUNDDOWN((H113/5),0)*Settings!$F$11)+(G113*Settings!$I$11))+(I113*Settings!$F$12)),1))</f>
        <v>0</v>
      </c>
      <c r="R113" s="38">
        <f>IF((J113=""),0,((((J113*Settings!$I$11)+(ROUND((K113/5),0)*Settings!$F$11))+(L113*Settings!$F$12))+(M113*Settings!$F$15)))</f>
        <v>0</v>
      </c>
      <c r="S113" s="66">
        <f>ROUND((((P113*Settings!$B$21)+(Q113*Settings!$B$22))+(R113*Settings!$B$23)),1)</f>
        <v>0</v>
      </c>
      <c r="T113" s="66">
        <f>IF(ISERROR(VLOOKUP(RANK(S113,S$4:S$182),T$4:T112,1,0)),RANK(S113,S$4:S$182),IF(ISERROR(VLOOKUP((RANK(S113,S$4:S$182)+1),T$4:T112,1,0)),(RANK(S113,S$4:S$182)+1),IF(ISERROR(VLOOKUP((RANK(S113,S$4:S$182)+2),T$4:T112,1,0)),(RANK(S113,S$4:S$182)+2),(RANK(S113,S$4:S$182)+3))))</f>
        <v>87</v>
      </c>
      <c r="U113" t="str">
        <f t="shared" si="11"/>
        <v>Ernest Wilford</v>
      </c>
    </row>
    <row r="114" spans="1:21" ht="12.75" customHeight="1">
      <c r="A114" s="33" t="str">
        <f>ESPNData!AX117</f>
        <v>Jeff Dugan, FA TE</v>
      </c>
      <c r="B114" s="33" t="str">
        <f t="shared" si="9"/>
        <v>Jeff Dugan</v>
      </c>
      <c r="C114" s="64" t="str">
        <f t="shared" si="10"/>
        <v>FA</v>
      </c>
      <c r="D114" s="117" t="str">
        <f>IF(ISERROR(VLOOKUP($B114,FFTodayData!$AN:$AT,4,0)),"",VLOOKUP($B114,FFTodayData!$AN:$AT,4,0))</f>
        <v/>
      </c>
      <c r="E114" s="33" t="str">
        <f>IF(ISERROR(VLOOKUP($B114,FFTodayData!$AN:$AT,5,0)),"",VLOOKUP($B114,FFTodayData!$AN:$AT,5,0))</f>
        <v/>
      </c>
      <c r="F114" s="64" t="str">
        <f>IF(ISERROR(VLOOKUP($B114,FFTodayData!$AN:$AT,6,0)),"",VLOOKUP($B114,FFTodayData!$AN:$AT,6,0))</f>
        <v/>
      </c>
      <c r="G114" s="117" t="str">
        <f>IF(ISERROR(VLOOKUP($A114,ESPNData!$AX:$BK,11,0)),"",VLOOKUP($A114,ESPNData!$AX:$BK,11,0))</f>
        <v>--</v>
      </c>
      <c r="H114" s="33" t="str">
        <f>IF(ISERROR(VLOOKUP($A114,ESPNData!$AX:$BK,12,0)),"",VLOOKUP($A114,ESPNData!$AX:$BK,12,0))</f>
        <v>--</v>
      </c>
      <c r="I114" s="64" t="str">
        <f>IF(ISERROR(VLOOKUP($A114,ESPNData!$AX:$BK,13,0)),"",VLOOKUP($A114,ESPNData!$AX:$BK,13,0))</f>
        <v>--</v>
      </c>
      <c r="J114" s="117" t="str">
        <f>IF(ISERROR(VLOOKUP($B114,SportslineData!$AM:$AT,3,0)),"",ROUND(VLOOKUP($B114,SportslineData!$AM:$AT,3,0),0))</f>
        <v/>
      </c>
      <c r="K114" s="33" t="str">
        <f>IF(ISERROR(VLOOKUP($B114,SportslineData!$AM:$AT,4,0)),"",VLOOKUP($B114,SportslineData!$AM:$AT,4,0))</f>
        <v/>
      </c>
      <c r="L114" s="33" t="str">
        <f>IF(ISERROR(VLOOKUP($B114,SportslineData!$AM:$AT,6,0)),"",ROUND(VLOOKUP($B114,SportslineData!$AM:$AT,6,0),0))</f>
        <v/>
      </c>
      <c r="M114" s="64" t="str">
        <f>IF(ISERROR(VLOOKUP($B114,SportslineData!$AM:$AT,7,0)),"",ROUND(VLOOKUP($B114,SportslineData!$AM:$AT,7,0),0))</f>
        <v/>
      </c>
      <c r="N114" s="117"/>
      <c r="O114" s="33"/>
      <c r="P114" s="38">
        <f>IF(ISERROR(ROUND((((ROUNDDOWN((E114/5),0)*Settings!$F$11)+(D114*Settings!$I$11))+(F114*Settings!$F$12)),1)),0,ROUND((((ROUNDDOWN((E114/5),0)*Settings!$F$11)+(D114*Settings!$I$11))+(F114*Settings!$F$12)),1))</f>
        <v>0</v>
      </c>
      <c r="Q114" s="38">
        <f>IF(ISERROR(ROUND((((ROUNDDOWN((H114/5),0)*Settings!$F$11)+(G114*Settings!$I$11))+(I114*Settings!$F$12)),1)),0,ROUND((((ROUNDDOWN((H114/5),0)*Settings!$F$11)+(G114*Settings!$I$11))+(I114*Settings!$F$12)),1))</f>
        <v>0</v>
      </c>
      <c r="R114" s="38">
        <f>IF((J114=""),0,((((J114*Settings!$I$11)+(ROUND((K114/5),0)*Settings!$F$11))+(L114*Settings!$F$12))+(M114*Settings!$F$15)))</f>
        <v>0</v>
      </c>
      <c r="S114" s="66">
        <f>ROUND((((P114*Settings!$B$21)+(Q114*Settings!$B$22))+(R114*Settings!$B$23)),1)</f>
        <v>0</v>
      </c>
      <c r="T114" s="66">
        <f>IF(ISERROR(VLOOKUP(RANK(S114,S$4:S$182),T$4:T113,1,0)),RANK(S114,S$4:S$182),IF(ISERROR(VLOOKUP((RANK(S114,S$4:S$182)+1),T$4:T113,1,0)),(RANK(S114,S$4:S$182)+1),IF(ISERROR(VLOOKUP((RANK(S114,S$4:S$182)+2),T$4:T113,1,0)),(RANK(S114,S$4:S$182)+2),(RANK(S114,S$4:S$182)+3))))</f>
        <v>87</v>
      </c>
      <c r="U114" t="str">
        <f t="shared" si="11"/>
        <v>Jeff Dugan</v>
      </c>
    </row>
    <row r="115" spans="1:21" ht="12.75" customHeight="1">
      <c r="A115" s="33" t="str">
        <f>ESPNData!AX118</f>
        <v>Alex Smith, Cin TE</v>
      </c>
      <c r="B115" s="33" t="str">
        <f t="shared" si="9"/>
        <v>Alex Smith</v>
      </c>
      <c r="C115" s="64" t="str">
        <f t="shared" si="10"/>
        <v>CIN</v>
      </c>
      <c r="D115" s="117" t="str">
        <f>IF(ISERROR(VLOOKUP($B115,FFTodayData!$AN:$AT,4,0)),"",VLOOKUP($B115,FFTodayData!$AN:$AT,4,0))</f>
        <v/>
      </c>
      <c r="E115" s="33" t="str">
        <f>IF(ISERROR(VLOOKUP($B115,FFTodayData!$AN:$AT,5,0)),"",VLOOKUP($B115,FFTodayData!$AN:$AT,5,0))</f>
        <v/>
      </c>
      <c r="F115" s="64" t="str">
        <f>IF(ISERROR(VLOOKUP($B115,FFTodayData!$AN:$AT,6,0)),"",VLOOKUP($B115,FFTodayData!$AN:$AT,6,0))</f>
        <v/>
      </c>
      <c r="G115" s="117" t="str">
        <f>IF(ISERROR(VLOOKUP($A115,ESPNData!$AX:$BK,11,0)),"",VLOOKUP($A115,ESPNData!$AX:$BK,11,0))</f>
        <v>--</v>
      </c>
      <c r="H115" s="33" t="str">
        <f>IF(ISERROR(VLOOKUP($A115,ESPNData!$AX:$BK,12,0)),"",VLOOKUP($A115,ESPNData!$AX:$BK,12,0))</f>
        <v>--</v>
      </c>
      <c r="I115" s="64" t="str">
        <f>IF(ISERROR(VLOOKUP($A115,ESPNData!$AX:$BK,13,0)),"",VLOOKUP($A115,ESPNData!$AX:$BK,13,0))</f>
        <v>--</v>
      </c>
      <c r="J115" s="117" t="str">
        <f>IF(ISERROR(VLOOKUP($B115,SportslineData!$AM:$AT,3,0)),"",ROUND(VLOOKUP($B115,SportslineData!$AM:$AT,3,0),0))</f>
        <v/>
      </c>
      <c r="K115" s="33" t="str">
        <f>IF(ISERROR(VLOOKUP($B115,SportslineData!$AM:$AT,4,0)),"",VLOOKUP($B115,SportslineData!$AM:$AT,4,0))</f>
        <v/>
      </c>
      <c r="L115" s="33" t="str">
        <f>IF(ISERROR(VLOOKUP($B115,SportslineData!$AM:$AT,6,0)),"",ROUND(VLOOKUP($B115,SportslineData!$AM:$AT,6,0),0))</f>
        <v/>
      </c>
      <c r="M115" s="64" t="str">
        <f>IF(ISERROR(VLOOKUP($B115,SportslineData!$AM:$AT,7,0)),"",ROUND(VLOOKUP($B115,SportslineData!$AM:$AT,7,0),0))</f>
        <v/>
      </c>
      <c r="N115" s="117"/>
      <c r="O115" s="33"/>
      <c r="P115" s="38">
        <f>IF(ISERROR(ROUND((((ROUNDDOWN((E115/5),0)*Settings!$F$11)+(D115*Settings!$I$11))+(F115*Settings!$F$12)),1)),0,ROUND((((ROUNDDOWN((E115/5),0)*Settings!$F$11)+(D115*Settings!$I$11))+(F115*Settings!$F$12)),1))</f>
        <v>0</v>
      </c>
      <c r="Q115" s="38">
        <f>IF(ISERROR(ROUND((((ROUNDDOWN((H115/5),0)*Settings!$F$11)+(G115*Settings!$I$11))+(I115*Settings!$F$12)),1)),0,ROUND((((ROUNDDOWN((H115/5),0)*Settings!$F$11)+(G115*Settings!$I$11))+(I115*Settings!$F$12)),1))</f>
        <v>0</v>
      </c>
      <c r="R115" s="38">
        <f>IF((J115=""),0,((((J115*Settings!$I$11)+(ROUND((K115/5),0)*Settings!$F$11))+(L115*Settings!$F$12))+(M115*Settings!$F$15)))</f>
        <v>0</v>
      </c>
      <c r="S115" s="66">
        <f>ROUND((((P115*Settings!$B$21)+(Q115*Settings!$B$22))+(R115*Settings!$B$23)),1)</f>
        <v>0</v>
      </c>
      <c r="T115" s="66">
        <f>IF(ISERROR(VLOOKUP(RANK(S115,S$4:S$182),T$4:T114,1,0)),RANK(S115,S$4:S$182),IF(ISERROR(VLOOKUP((RANK(S115,S$4:S$182)+1),T$4:T114,1,0)),(RANK(S115,S$4:S$182)+1),IF(ISERROR(VLOOKUP((RANK(S115,S$4:S$182)+2),T$4:T114,1,0)),(RANK(S115,S$4:S$182)+2),(RANK(S115,S$4:S$182)+3))))</f>
        <v>87</v>
      </c>
      <c r="U115" t="str">
        <f t="shared" si="11"/>
        <v>Alex Smith</v>
      </c>
    </row>
    <row r="116" spans="1:21" ht="12.75" customHeight="1">
      <c r="A116" s="33" t="str">
        <f>ESPNData!AX119</f>
        <v>Bo Scaife, FA TE</v>
      </c>
      <c r="B116" s="33" t="str">
        <f t="shared" si="9"/>
        <v>Bo Scaife</v>
      </c>
      <c r="C116" s="64" t="str">
        <f t="shared" si="10"/>
        <v>FA</v>
      </c>
      <c r="D116" s="117" t="str">
        <f>IF(ISERROR(VLOOKUP($B116,FFTodayData!$AN:$AT,4,0)),"",VLOOKUP($B116,FFTodayData!$AN:$AT,4,0))</f>
        <v/>
      </c>
      <c r="E116" s="33" t="str">
        <f>IF(ISERROR(VLOOKUP($B116,FFTodayData!$AN:$AT,5,0)),"",VLOOKUP($B116,FFTodayData!$AN:$AT,5,0))</f>
        <v/>
      </c>
      <c r="F116" s="64" t="str">
        <f>IF(ISERROR(VLOOKUP($B116,FFTodayData!$AN:$AT,6,0)),"",VLOOKUP($B116,FFTodayData!$AN:$AT,6,0))</f>
        <v/>
      </c>
      <c r="G116" s="117" t="str">
        <f>IF(ISERROR(VLOOKUP($A116,ESPNData!$AX:$BK,11,0)),"",VLOOKUP($A116,ESPNData!$AX:$BK,11,0))</f>
        <v>--</v>
      </c>
      <c r="H116" s="33" t="str">
        <f>IF(ISERROR(VLOOKUP($A116,ESPNData!$AX:$BK,12,0)),"",VLOOKUP($A116,ESPNData!$AX:$BK,12,0))</f>
        <v>--</v>
      </c>
      <c r="I116" s="64" t="str">
        <f>IF(ISERROR(VLOOKUP($A116,ESPNData!$AX:$BK,13,0)),"",VLOOKUP($A116,ESPNData!$AX:$BK,13,0))</f>
        <v>--</v>
      </c>
      <c r="J116" s="117" t="str">
        <f>IF(ISERROR(VLOOKUP($B116,SportslineData!$AM:$AT,3,0)),"",ROUND(VLOOKUP($B116,SportslineData!$AM:$AT,3,0),0))</f>
        <v/>
      </c>
      <c r="K116" s="33" t="str">
        <f>IF(ISERROR(VLOOKUP($B116,SportslineData!$AM:$AT,4,0)),"",VLOOKUP($B116,SportslineData!$AM:$AT,4,0))</f>
        <v/>
      </c>
      <c r="L116" s="33" t="str">
        <f>IF(ISERROR(VLOOKUP($B116,SportslineData!$AM:$AT,6,0)),"",ROUND(VLOOKUP($B116,SportslineData!$AM:$AT,6,0),0))</f>
        <v/>
      </c>
      <c r="M116" s="64" t="str">
        <f>IF(ISERROR(VLOOKUP($B116,SportslineData!$AM:$AT,7,0)),"",ROUND(VLOOKUP($B116,SportslineData!$AM:$AT,7,0),0))</f>
        <v/>
      </c>
      <c r="N116" s="117"/>
      <c r="O116" s="33"/>
      <c r="P116" s="38">
        <f>IF(ISERROR(ROUND((((ROUNDDOWN((E116/5),0)*Settings!$F$11)+(D116*Settings!$I$11))+(F116*Settings!$F$12)),1)),0,ROUND((((ROUNDDOWN((E116/5),0)*Settings!$F$11)+(D116*Settings!$I$11))+(F116*Settings!$F$12)),1))</f>
        <v>0</v>
      </c>
      <c r="Q116" s="38">
        <f>IF(ISERROR(ROUND((((ROUNDDOWN((H116/5),0)*Settings!$F$11)+(G116*Settings!$I$11))+(I116*Settings!$F$12)),1)),0,ROUND((((ROUNDDOWN((H116/5),0)*Settings!$F$11)+(G116*Settings!$I$11))+(I116*Settings!$F$12)),1))</f>
        <v>0</v>
      </c>
      <c r="R116" s="38">
        <f>IF((J116=""),0,((((J116*Settings!$I$11)+(ROUND((K116/5),0)*Settings!$F$11))+(L116*Settings!$F$12))+(M116*Settings!$F$15)))</f>
        <v>0</v>
      </c>
      <c r="S116" s="66">
        <f>ROUND((((P116*Settings!$B$21)+(Q116*Settings!$B$22))+(R116*Settings!$B$23)),1)</f>
        <v>0</v>
      </c>
      <c r="T116" s="66">
        <f>IF(ISERROR(VLOOKUP(RANK(S116,S$4:S$182),T$4:T115,1,0)),RANK(S116,S$4:S$182),IF(ISERROR(VLOOKUP((RANK(S116,S$4:S$182)+1),T$4:T115,1,0)),(RANK(S116,S$4:S$182)+1),IF(ISERROR(VLOOKUP((RANK(S116,S$4:S$182)+2),T$4:T115,1,0)),(RANK(S116,S$4:S$182)+2),(RANK(S116,S$4:S$182)+3))))</f>
        <v>87</v>
      </c>
      <c r="U116" t="str">
        <f t="shared" si="11"/>
        <v>Bo Scaife</v>
      </c>
    </row>
    <row r="117" spans="1:21" ht="12.75" customHeight="1">
      <c r="A117" s="33" t="str">
        <f>ESPNData!AX120</f>
        <v>Joel Dreessen, Den TE</v>
      </c>
      <c r="B117" s="33" t="str">
        <f t="shared" si="9"/>
        <v>Joel Dreessen</v>
      </c>
      <c r="C117" s="64" t="str">
        <f t="shared" si="10"/>
        <v>DEN</v>
      </c>
      <c r="D117" s="117" t="str">
        <f>IF(ISERROR(VLOOKUP($B117,FFTodayData!$AN:$AT,4,0)),"",VLOOKUP($B117,FFTodayData!$AN:$AT,4,0))</f>
        <v/>
      </c>
      <c r="E117" s="33" t="str">
        <f>IF(ISERROR(VLOOKUP($B117,FFTodayData!$AN:$AT,5,0)),"",VLOOKUP($B117,FFTodayData!$AN:$AT,5,0))</f>
        <v/>
      </c>
      <c r="F117" s="64" t="str">
        <f>IF(ISERROR(VLOOKUP($B117,FFTodayData!$AN:$AT,6,0)),"",VLOOKUP($B117,FFTodayData!$AN:$AT,6,0))</f>
        <v/>
      </c>
      <c r="G117" s="117" t="str">
        <f>IF(ISERROR(VLOOKUP($A117,ESPNData!$AX:$BK,11,0)),"",VLOOKUP($A117,ESPNData!$AX:$BK,11,0))</f>
        <v>--</v>
      </c>
      <c r="H117" s="33" t="str">
        <f>IF(ISERROR(VLOOKUP($A117,ESPNData!$AX:$BK,12,0)),"",VLOOKUP($A117,ESPNData!$AX:$BK,12,0))</f>
        <v>--</v>
      </c>
      <c r="I117" s="64" t="str">
        <f>IF(ISERROR(VLOOKUP($A117,ESPNData!$AX:$BK,13,0)),"",VLOOKUP($A117,ESPNData!$AX:$BK,13,0))</f>
        <v>--</v>
      </c>
      <c r="J117" s="117">
        <f>IF(ISERROR(VLOOKUP($B117,SportslineData!$AM:$AT,3,0)),"",ROUND(VLOOKUP($B117,SportslineData!$AM:$AT,3,0),0))</f>
        <v>6</v>
      </c>
      <c r="K117" s="33">
        <f>IF(ISERROR(VLOOKUP($B117,SportslineData!$AM:$AT,4,0)),"",VLOOKUP($B117,SportslineData!$AM:$AT,4,0))</f>
        <v>48.5</v>
      </c>
      <c r="L117" s="33">
        <f>IF(ISERROR(VLOOKUP($B117,SportslineData!$AM:$AT,6,0)),"",ROUND(VLOOKUP($B117,SportslineData!$AM:$AT,6,0),0))</f>
        <v>1</v>
      </c>
      <c r="M117" s="64">
        <f>IF(ISERROR(VLOOKUP($B117,SportslineData!$AM:$AT,7,0)),"",ROUND(VLOOKUP($B117,SportslineData!$AM:$AT,7,0),0))</f>
        <v>0</v>
      </c>
      <c r="N117" s="117"/>
      <c r="O117" s="33"/>
      <c r="P117" s="38">
        <f>IF(ISERROR(ROUND((((ROUNDDOWN((E117/5),0)*Settings!$F$11)+(D117*Settings!$I$11))+(F117*Settings!$F$12)),1)),0,ROUND((((ROUNDDOWN((E117/5),0)*Settings!$F$11)+(D117*Settings!$I$11))+(F117*Settings!$F$12)),1))</f>
        <v>0</v>
      </c>
      <c r="Q117" s="38">
        <f>IF(ISERROR(ROUND((((ROUNDDOWN((H117/5),0)*Settings!$F$11)+(G117*Settings!$I$11))+(I117*Settings!$F$12)),1)),0,ROUND((((ROUNDDOWN((H117/5),0)*Settings!$F$11)+(G117*Settings!$I$11))+(I117*Settings!$F$12)),1))</f>
        <v>0</v>
      </c>
      <c r="R117" s="38">
        <f>IF((J117=""),0,((((J117*Settings!$I$11)+(ROUND((K117/5),0)*Settings!$F$11))+(L117*Settings!$F$12))+(M117*Settings!$F$15)))</f>
        <v>14</v>
      </c>
      <c r="S117" s="66">
        <f>ROUND((((P117*Settings!$B$21)+(Q117*Settings!$B$22))+(R117*Settings!$B$23)),1)</f>
        <v>4.8</v>
      </c>
      <c r="T117" s="66">
        <f>IF(ISERROR(VLOOKUP(RANK(S117,S$4:S$182),T$4:T116,1,0)),RANK(S117,S$4:S$182),IF(ISERROR(VLOOKUP((RANK(S117,S$4:S$182)+1),T$4:T116,1,0)),(RANK(S117,S$4:S$182)+1),IF(ISERROR(VLOOKUP((RANK(S117,S$4:S$182)+2),T$4:T116,1,0)),(RANK(S117,S$4:S$182)+2),(RANK(S117,S$4:S$182)+3))))</f>
        <v>77</v>
      </c>
      <c r="U117" t="str">
        <f t="shared" si="11"/>
        <v>Joel Dreessen</v>
      </c>
    </row>
    <row r="118" spans="1:21" ht="12.75" customHeight="1">
      <c r="A118" s="33" t="str">
        <f>ESPNData!AX121</f>
        <v>Billy Bajema, Bal TE</v>
      </c>
      <c r="B118" s="33" t="str">
        <f t="shared" si="9"/>
        <v>Billy Bajema</v>
      </c>
      <c r="C118" s="64" t="str">
        <f t="shared" si="10"/>
        <v>BAL</v>
      </c>
      <c r="D118" s="117" t="str">
        <f>IF(ISERROR(VLOOKUP($B118,FFTodayData!$AN:$AT,4,0)),"",VLOOKUP($B118,FFTodayData!$AN:$AT,4,0))</f>
        <v/>
      </c>
      <c r="E118" s="33" t="str">
        <f>IF(ISERROR(VLOOKUP($B118,FFTodayData!$AN:$AT,5,0)),"",VLOOKUP($B118,FFTodayData!$AN:$AT,5,0))</f>
        <v/>
      </c>
      <c r="F118" s="64" t="str">
        <f>IF(ISERROR(VLOOKUP($B118,FFTodayData!$AN:$AT,6,0)),"",VLOOKUP($B118,FFTodayData!$AN:$AT,6,0))</f>
        <v/>
      </c>
      <c r="G118" s="117" t="str">
        <f>IF(ISERROR(VLOOKUP($A118,ESPNData!$AX:$BK,11,0)),"",VLOOKUP($A118,ESPNData!$AX:$BK,11,0))</f>
        <v>--</v>
      </c>
      <c r="H118" s="33" t="str">
        <f>IF(ISERROR(VLOOKUP($A118,ESPNData!$AX:$BK,12,0)),"",VLOOKUP($A118,ESPNData!$AX:$BK,12,0))</f>
        <v>--</v>
      </c>
      <c r="I118" s="64" t="str">
        <f>IF(ISERROR(VLOOKUP($A118,ESPNData!$AX:$BK,13,0)),"",VLOOKUP($A118,ESPNData!$AX:$BK,13,0))</f>
        <v>--</v>
      </c>
      <c r="J118" s="117" t="str">
        <f>IF(ISERROR(VLOOKUP($B118,SportslineData!$AM:$AT,3,0)),"",ROUND(VLOOKUP($B118,SportslineData!$AM:$AT,3,0),0))</f>
        <v/>
      </c>
      <c r="K118" s="33" t="str">
        <f>IF(ISERROR(VLOOKUP($B118,SportslineData!$AM:$AT,4,0)),"",VLOOKUP($B118,SportslineData!$AM:$AT,4,0))</f>
        <v/>
      </c>
      <c r="L118" s="33" t="str">
        <f>IF(ISERROR(VLOOKUP($B118,SportslineData!$AM:$AT,6,0)),"",ROUND(VLOOKUP($B118,SportslineData!$AM:$AT,6,0),0))</f>
        <v/>
      </c>
      <c r="M118" s="64" t="str">
        <f>IF(ISERROR(VLOOKUP($B118,SportslineData!$AM:$AT,7,0)),"",ROUND(VLOOKUP($B118,SportslineData!$AM:$AT,7,0),0))</f>
        <v/>
      </c>
      <c r="N118" s="117"/>
      <c r="O118" s="33"/>
      <c r="P118" s="38">
        <f>IF(ISERROR(ROUND((((ROUNDDOWN((E118/5),0)*Settings!$F$11)+(D118*Settings!$I$11))+(F118*Settings!$F$12)),1)),0,ROUND((((ROUNDDOWN((E118/5),0)*Settings!$F$11)+(D118*Settings!$I$11))+(F118*Settings!$F$12)),1))</f>
        <v>0</v>
      </c>
      <c r="Q118" s="38">
        <f>IF(ISERROR(ROUND((((ROUNDDOWN((H118/5),0)*Settings!$F$11)+(G118*Settings!$I$11))+(I118*Settings!$F$12)),1)),0,ROUND((((ROUNDDOWN((H118/5),0)*Settings!$F$11)+(G118*Settings!$I$11))+(I118*Settings!$F$12)),1))</f>
        <v>0</v>
      </c>
      <c r="R118" s="38">
        <f>IF((J118=""),0,((((J118*Settings!$I$11)+(ROUND((K118/5),0)*Settings!$F$11))+(L118*Settings!$F$12))+(M118*Settings!$F$15)))</f>
        <v>0</v>
      </c>
      <c r="S118" s="66">
        <f>ROUND((((P118*Settings!$B$21)+(Q118*Settings!$B$22))+(R118*Settings!$B$23)),1)</f>
        <v>0</v>
      </c>
      <c r="T118" s="66">
        <f>IF(ISERROR(VLOOKUP(RANK(S118,S$4:S$182),T$4:T117,1,0)),RANK(S118,S$4:S$182),IF(ISERROR(VLOOKUP((RANK(S118,S$4:S$182)+1),T$4:T117,1,0)),(RANK(S118,S$4:S$182)+1),IF(ISERROR(VLOOKUP((RANK(S118,S$4:S$182)+2),T$4:T117,1,0)),(RANK(S118,S$4:S$182)+2),(RANK(S118,S$4:S$182)+3))))</f>
        <v>87</v>
      </c>
      <c r="U118" t="str">
        <f t="shared" si="11"/>
        <v>Billy Bajema</v>
      </c>
    </row>
    <row r="119" spans="1:21" ht="12.75" customHeight="1">
      <c r="A119" s="33" t="str">
        <f>ESPNData!AX122</f>
        <v>Stephen Spach, FA TE</v>
      </c>
      <c r="B119" s="33" t="str">
        <f t="shared" si="9"/>
        <v>Stephen Spach</v>
      </c>
      <c r="C119" s="64" t="str">
        <f t="shared" si="10"/>
        <v>FA</v>
      </c>
      <c r="D119" s="117" t="str">
        <f>IF(ISERROR(VLOOKUP($B119,FFTodayData!$AN:$AT,4,0)),"",VLOOKUP($B119,FFTodayData!$AN:$AT,4,0))</f>
        <v/>
      </c>
      <c r="E119" s="33" t="str">
        <f>IF(ISERROR(VLOOKUP($B119,FFTodayData!$AN:$AT,5,0)),"",VLOOKUP($B119,FFTodayData!$AN:$AT,5,0))</f>
        <v/>
      </c>
      <c r="F119" s="64" t="str">
        <f>IF(ISERROR(VLOOKUP($B119,FFTodayData!$AN:$AT,6,0)),"",VLOOKUP($B119,FFTodayData!$AN:$AT,6,0))</f>
        <v/>
      </c>
      <c r="G119" s="117" t="str">
        <f>IF(ISERROR(VLOOKUP($A119,ESPNData!$AX:$BK,11,0)),"",VLOOKUP($A119,ESPNData!$AX:$BK,11,0))</f>
        <v>--</v>
      </c>
      <c r="H119" s="33" t="str">
        <f>IF(ISERROR(VLOOKUP($A119,ESPNData!$AX:$BK,12,0)),"",VLOOKUP($A119,ESPNData!$AX:$BK,12,0))</f>
        <v>--</v>
      </c>
      <c r="I119" s="64" t="str">
        <f>IF(ISERROR(VLOOKUP($A119,ESPNData!$AX:$BK,13,0)),"",VLOOKUP($A119,ESPNData!$AX:$BK,13,0))</f>
        <v>--</v>
      </c>
      <c r="J119" s="117" t="str">
        <f>IF(ISERROR(VLOOKUP($B119,SportslineData!$AM:$AT,3,0)),"",ROUND(VLOOKUP($B119,SportslineData!$AM:$AT,3,0),0))</f>
        <v/>
      </c>
      <c r="K119" s="33" t="str">
        <f>IF(ISERROR(VLOOKUP($B119,SportslineData!$AM:$AT,4,0)),"",VLOOKUP($B119,SportslineData!$AM:$AT,4,0))</f>
        <v/>
      </c>
      <c r="L119" s="33" t="str">
        <f>IF(ISERROR(VLOOKUP($B119,SportslineData!$AM:$AT,6,0)),"",ROUND(VLOOKUP($B119,SportslineData!$AM:$AT,6,0),0))</f>
        <v/>
      </c>
      <c r="M119" s="64" t="str">
        <f>IF(ISERROR(VLOOKUP($B119,SportslineData!$AM:$AT,7,0)),"",ROUND(VLOOKUP($B119,SportslineData!$AM:$AT,7,0),0))</f>
        <v/>
      </c>
      <c r="N119" s="117"/>
      <c r="O119" s="33"/>
      <c r="P119" s="38">
        <f>IF(ISERROR(ROUND((((ROUNDDOWN((E119/5),0)*Settings!$F$11)+(D119*Settings!$I$11))+(F119*Settings!$F$12)),1)),0,ROUND((((ROUNDDOWN((E119/5),0)*Settings!$F$11)+(D119*Settings!$I$11))+(F119*Settings!$F$12)),1))</f>
        <v>0</v>
      </c>
      <c r="Q119" s="38">
        <f>IF(ISERROR(ROUND((((ROUNDDOWN((H119/5),0)*Settings!$F$11)+(G119*Settings!$I$11))+(I119*Settings!$F$12)),1)),0,ROUND((((ROUNDDOWN((H119/5),0)*Settings!$F$11)+(G119*Settings!$I$11))+(I119*Settings!$F$12)),1))</f>
        <v>0</v>
      </c>
      <c r="R119" s="38">
        <f>IF((J119=""),0,((((J119*Settings!$I$11)+(ROUND((K119/5),0)*Settings!$F$11))+(L119*Settings!$F$12))+(M119*Settings!$F$15)))</f>
        <v>0</v>
      </c>
      <c r="S119" s="66">
        <f>ROUND((((P119*Settings!$B$21)+(Q119*Settings!$B$22))+(R119*Settings!$B$23)),1)</f>
        <v>0</v>
      </c>
      <c r="T119" s="66">
        <f>IF(ISERROR(VLOOKUP(RANK(S119,S$4:S$182),T$4:T118,1,0)),RANK(S119,S$4:S$182),IF(ISERROR(VLOOKUP((RANK(S119,S$4:S$182)+1),T$4:T118,1,0)),(RANK(S119,S$4:S$182)+1),IF(ISERROR(VLOOKUP((RANK(S119,S$4:S$182)+2),T$4:T118,1,0)),(RANK(S119,S$4:S$182)+2),(RANK(S119,S$4:S$182)+3))))</f>
        <v>87</v>
      </c>
      <c r="U119" t="str">
        <f t="shared" si="11"/>
        <v>Stephen Spach</v>
      </c>
    </row>
    <row r="120" spans="1:21" ht="12.75" customHeight="1">
      <c r="A120" s="33" t="str">
        <f>ESPNData!AX123</f>
        <v>J.P. Foschi, FA TE</v>
      </c>
      <c r="B120" s="33" t="str">
        <f t="shared" si="9"/>
        <v>J.P. Foschi</v>
      </c>
      <c r="C120" s="64" t="str">
        <f t="shared" si="10"/>
        <v>FA</v>
      </c>
      <c r="D120" s="117" t="str">
        <f>IF(ISERROR(VLOOKUP($B120,FFTodayData!$AN:$AT,4,0)),"",VLOOKUP($B120,FFTodayData!$AN:$AT,4,0))</f>
        <v/>
      </c>
      <c r="E120" s="33" t="str">
        <f>IF(ISERROR(VLOOKUP($B120,FFTodayData!$AN:$AT,5,0)),"",VLOOKUP($B120,FFTodayData!$AN:$AT,5,0))</f>
        <v/>
      </c>
      <c r="F120" s="64" t="str">
        <f>IF(ISERROR(VLOOKUP($B120,FFTodayData!$AN:$AT,6,0)),"",VLOOKUP($B120,FFTodayData!$AN:$AT,6,0))</f>
        <v/>
      </c>
      <c r="G120" s="117" t="str">
        <f>IF(ISERROR(VLOOKUP($A120,ESPNData!$AX:$BK,11,0)),"",VLOOKUP($A120,ESPNData!$AX:$BK,11,0))</f>
        <v>--</v>
      </c>
      <c r="H120" s="33" t="str">
        <f>IF(ISERROR(VLOOKUP($A120,ESPNData!$AX:$BK,12,0)),"",VLOOKUP($A120,ESPNData!$AX:$BK,12,0))</f>
        <v>--</v>
      </c>
      <c r="I120" s="64" t="str">
        <f>IF(ISERROR(VLOOKUP($A120,ESPNData!$AX:$BK,13,0)),"",VLOOKUP($A120,ESPNData!$AX:$BK,13,0))</f>
        <v>--</v>
      </c>
      <c r="J120" s="117" t="str">
        <f>IF(ISERROR(VLOOKUP($B120,SportslineData!$AM:$AT,3,0)),"",ROUND(VLOOKUP($B120,SportslineData!$AM:$AT,3,0),0))</f>
        <v/>
      </c>
      <c r="K120" s="33" t="str">
        <f>IF(ISERROR(VLOOKUP($B120,SportslineData!$AM:$AT,4,0)),"",VLOOKUP($B120,SportslineData!$AM:$AT,4,0))</f>
        <v/>
      </c>
      <c r="L120" s="33" t="str">
        <f>IF(ISERROR(VLOOKUP($B120,SportslineData!$AM:$AT,6,0)),"",ROUND(VLOOKUP($B120,SportslineData!$AM:$AT,6,0),0))</f>
        <v/>
      </c>
      <c r="M120" s="64" t="str">
        <f>IF(ISERROR(VLOOKUP($B120,SportslineData!$AM:$AT,7,0)),"",ROUND(VLOOKUP($B120,SportslineData!$AM:$AT,7,0),0))</f>
        <v/>
      </c>
      <c r="N120" s="117"/>
      <c r="O120" s="33"/>
      <c r="P120" s="38">
        <f>IF(ISERROR(ROUND((((ROUNDDOWN((E120/5),0)*Settings!$F$11)+(D120*Settings!$I$11))+(F120*Settings!$F$12)),1)),0,ROUND((((ROUNDDOWN((E120/5),0)*Settings!$F$11)+(D120*Settings!$I$11))+(F120*Settings!$F$12)),1))</f>
        <v>0</v>
      </c>
      <c r="Q120" s="38">
        <f>IF(ISERROR(ROUND((((ROUNDDOWN((H120/5),0)*Settings!$F$11)+(G120*Settings!$I$11))+(I120*Settings!$F$12)),1)),0,ROUND((((ROUNDDOWN((H120/5),0)*Settings!$F$11)+(G120*Settings!$I$11))+(I120*Settings!$F$12)),1))</f>
        <v>0</v>
      </c>
      <c r="R120" s="38">
        <f>IF((J120=""),0,((((J120*Settings!$I$11)+(ROUND((K120/5),0)*Settings!$F$11))+(L120*Settings!$F$12))+(M120*Settings!$F$15)))</f>
        <v>0</v>
      </c>
      <c r="S120" s="66">
        <f>ROUND((((P120*Settings!$B$21)+(Q120*Settings!$B$22))+(R120*Settings!$B$23)),1)</f>
        <v>0</v>
      </c>
      <c r="T120" s="66">
        <f>IF(ISERROR(VLOOKUP(RANK(S120,S$4:S$182),T$4:T119,1,0)),RANK(S120,S$4:S$182),IF(ISERROR(VLOOKUP((RANK(S120,S$4:S$182)+1),T$4:T119,1,0)),(RANK(S120,S$4:S$182)+1),IF(ISERROR(VLOOKUP((RANK(S120,S$4:S$182)+2),T$4:T119,1,0)),(RANK(S120,S$4:S$182)+2),(RANK(S120,S$4:S$182)+3))))</f>
        <v>87</v>
      </c>
      <c r="U120" t="str">
        <f t="shared" si="11"/>
        <v>J.P. Foschi</v>
      </c>
    </row>
    <row r="121" spans="1:21" ht="12.75" customHeight="1">
      <c r="A121" s="33" t="str">
        <f>ESPNData!AX124</f>
        <v>Tony Curtis, FA TE</v>
      </c>
      <c r="B121" s="33" t="str">
        <f t="shared" si="9"/>
        <v>Tony Curtis</v>
      </c>
      <c r="C121" s="64" t="str">
        <f t="shared" si="10"/>
        <v>FA</v>
      </c>
      <c r="D121" s="117" t="str">
        <f>IF(ISERROR(VLOOKUP($B121,FFTodayData!$AN:$AT,4,0)),"",VLOOKUP($B121,FFTodayData!$AN:$AT,4,0))</f>
        <v/>
      </c>
      <c r="E121" s="33" t="str">
        <f>IF(ISERROR(VLOOKUP($B121,FFTodayData!$AN:$AT,5,0)),"",VLOOKUP($B121,FFTodayData!$AN:$AT,5,0))</f>
        <v/>
      </c>
      <c r="F121" s="64" t="str">
        <f>IF(ISERROR(VLOOKUP($B121,FFTodayData!$AN:$AT,6,0)),"",VLOOKUP($B121,FFTodayData!$AN:$AT,6,0))</f>
        <v/>
      </c>
      <c r="G121" s="117" t="str">
        <f>IF(ISERROR(VLOOKUP($A121,ESPNData!$AX:$BK,11,0)),"",VLOOKUP($A121,ESPNData!$AX:$BK,11,0))</f>
        <v>--</v>
      </c>
      <c r="H121" s="33" t="str">
        <f>IF(ISERROR(VLOOKUP($A121,ESPNData!$AX:$BK,12,0)),"",VLOOKUP($A121,ESPNData!$AX:$BK,12,0))</f>
        <v>--</v>
      </c>
      <c r="I121" s="64" t="str">
        <f>IF(ISERROR(VLOOKUP($A121,ESPNData!$AX:$BK,13,0)),"",VLOOKUP($A121,ESPNData!$AX:$BK,13,0))</f>
        <v>--</v>
      </c>
      <c r="J121" s="117" t="str">
        <f>IF(ISERROR(VLOOKUP($B121,SportslineData!$AM:$AT,3,0)),"",ROUND(VLOOKUP($B121,SportslineData!$AM:$AT,3,0),0))</f>
        <v/>
      </c>
      <c r="K121" s="33" t="str">
        <f>IF(ISERROR(VLOOKUP($B121,SportslineData!$AM:$AT,4,0)),"",VLOOKUP($B121,SportslineData!$AM:$AT,4,0))</f>
        <v/>
      </c>
      <c r="L121" s="33" t="str">
        <f>IF(ISERROR(VLOOKUP($B121,SportslineData!$AM:$AT,6,0)),"",ROUND(VLOOKUP($B121,SportslineData!$AM:$AT,6,0),0))</f>
        <v/>
      </c>
      <c r="M121" s="64" t="str">
        <f>IF(ISERROR(VLOOKUP($B121,SportslineData!$AM:$AT,7,0)),"",ROUND(VLOOKUP($B121,SportslineData!$AM:$AT,7,0),0))</f>
        <v/>
      </c>
      <c r="N121" s="117"/>
      <c r="O121" s="33"/>
      <c r="P121" s="38">
        <f>IF(ISERROR(ROUND((((ROUNDDOWN((E121/5),0)*Settings!$F$11)+(D121*Settings!$I$11))+(F121*Settings!$F$12)),1)),0,ROUND((((ROUNDDOWN((E121/5),0)*Settings!$F$11)+(D121*Settings!$I$11))+(F121*Settings!$F$12)),1))</f>
        <v>0</v>
      </c>
      <c r="Q121" s="38">
        <f>IF(ISERROR(ROUND((((ROUNDDOWN((H121/5),0)*Settings!$F$11)+(G121*Settings!$I$11))+(I121*Settings!$F$12)),1)),0,ROUND((((ROUNDDOWN((H121/5),0)*Settings!$F$11)+(G121*Settings!$I$11))+(I121*Settings!$F$12)),1))</f>
        <v>0</v>
      </c>
      <c r="R121" s="38">
        <f>IF((J121=""),0,((((J121*Settings!$I$11)+(ROUND((K121/5),0)*Settings!$F$11))+(L121*Settings!$F$12))+(M121*Settings!$F$15)))</f>
        <v>0</v>
      </c>
      <c r="S121" s="66">
        <f>ROUND((((P121*Settings!$B$21)+(Q121*Settings!$B$22))+(R121*Settings!$B$23)),1)</f>
        <v>0</v>
      </c>
      <c r="T121" s="66">
        <f>IF(ISERROR(VLOOKUP(RANK(S121,S$4:S$182),T$4:T120,1,0)),RANK(S121,S$4:S$182),IF(ISERROR(VLOOKUP((RANK(S121,S$4:S$182)+1),T$4:T120,1,0)),(RANK(S121,S$4:S$182)+1),IF(ISERROR(VLOOKUP((RANK(S121,S$4:S$182)+2),T$4:T120,1,0)),(RANK(S121,S$4:S$182)+2),(RANK(S121,S$4:S$182)+3))))</f>
        <v>87</v>
      </c>
      <c r="U121" t="str">
        <f t="shared" si="11"/>
        <v>Tony Curtis</v>
      </c>
    </row>
    <row r="122" spans="1:21" ht="12.75" customHeight="1">
      <c r="A122" s="33" t="str">
        <f>ESPNData!AX125</f>
        <v>Tory Humphrey*, FA TE  IR</v>
      </c>
      <c r="B122" s="33" t="str">
        <f t="shared" si="9"/>
        <v>Tory Humphrey</v>
      </c>
      <c r="C122" s="64" t="str">
        <f t="shared" si="10"/>
        <v>FA</v>
      </c>
      <c r="D122" s="117" t="str">
        <f>IF(ISERROR(VLOOKUP($B122,FFTodayData!$AN:$AT,4,0)),"",VLOOKUP($B122,FFTodayData!$AN:$AT,4,0))</f>
        <v/>
      </c>
      <c r="E122" s="33" t="str">
        <f>IF(ISERROR(VLOOKUP($B122,FFTodayData!$AN:$AT,5,0)),"",VLOOKUP($B122,FFTodayData!$AN:$AT,5,0))</f>
        <v/>
      </c>
      <c r="F122" s="64" t="str">
        <f>IF(ISERROR(VLOOKUP($B122,FFTodayData!$AN:$AT,6,0)),"",VLOOKUP($B122,FFTodayData!$AN:$AT,6,0))</f>
        <v/>
      </c>
      <c r="G122" s="117" t="str">
        <f>IF(ISERROR(VLOOKUP($A122,ESPNData!$AX:$BK,11,0)),"",VLOOKUP($A122,ESPNData!$AX:$BK,11,0))</f>
        <v>--</v>
      </c>
      <c r="H122" s="33" t="str">
        <f>IF(ISERROR(VLOOKUP($A122,ESPNData!$AX:$BK,12,0)),"",VLOOKUP($A122,ESPNData!$AX:$BK,12,0))</f>
        <v>--</v>
      </c>
      <c r="I122" s="64" t="str">
        <f>IF(ISERROR(VLOOKUP($A122,ESPNData!$AX:$BK,13,0)),"",VLOOKUP($A122,ESPNData!$AX:$BK,13,0))</f>
        <v>--</v>
      </c>
      <c r="J122" s="117" t="str">
        <f>IF(ISERROR(VLOOKUP($B122,SportslineData!$AM:$AT,3,0)),"",ROUND(VLOOKUP($B122,SportslineData!$AM:$AT,3,0),0))</f>
        <v/>
      </c>
      <c r="K122" s="33" t="str">
        <f>IF(ISERROR(VLOOKUP($B122,SportslineData!$AM:$AT,4,0)),"",VLOOKUP($B122,SportslineData!$AM:$AT,4,0))</f>
        <v/>
      </c>
      <c r="L122" s="33" t="str">
        <f>IF(ISERROR(VLOOKUP($B122,SportslineData!$AM:$AT,6,0)),"",ROUND(VLOOKUP($B122,SportslineData!$AM:$AT,6,0),0))</f>
        <v/>
      </c>
      <c r="M122" s="64" t="str">
        <f>IF(ISERROR(VLOOKUP($B122,SportslineData!$AM:$AT,7,0)),"",ROUND(VLOOKUP($B122,SportslineData!$AM:$AT,7,0),0))</f>
        <v/>
      </c>
      <c r="N122" s="117"/>
      <c r="O122" s="33"/>
      <c r="P122" s="38">
        <f>IF(ISERROR(ROUND((((ROUNDDOWN((E122/5),0)*Settings!$F$11)+(D122*Settings!$I$11))+(F122*Settings!$F$12)),1)),0,ROUND((((ROUNDDOWN((E122/5),0)*Settings!$F$11)+(D122*Settings!$I$11))+(F122*Settings!$F$12)),1))</f>
        <v>0</v>
      </c>
      <c r="Q122" s="38">
        <f>IF(ISERROR(ROUND((((ROUNDDOWN((H122/5),0)*Settings!$F$11)+(G122*Settings!$I$11))+(I122*Settings!$F$12)),1)),0,ROUND((((ROUNDDOWN((H122/5),0)*Settings!$F$11)+(G122*Settings!$I$11))+(I122*Settings!$F$12)),1))</f>
        <v>0</v>
      </c>
      <c r="R122" s="38">
        <f>IF((J122=""),0,((((J122*Settings!$I$11)+(ROUND((K122/5),0)*Settings!$F$11))+(L122*Settings!$F$12))+(M122*Settings!$F$15)))</f>
        <v>0</v>
      </c>
      <c r="S122" s="66">
        <f>ROUND((((P122*Settings!$B$21)+(Q122*Settings!$B$22))+(R122*Settings!$B$23)),1)</f>
        <v>0</v>
      </c>
      <c r="T122" s="66">
        <f>IF(ISERROR(VLOOKUP(RANK(S122,S$4:S$182),T$4:T121,1,0)),RANK(S122,S$4:S$182),IF(ISERROR(VLOOKUP((RANK(S122,S$4:S$182)+1),T$4:T121,1,0)),(RANK(S122,S$4:S$182)+1),IF(ISERROR(VLOOKUP((RANK(S122,S$4:S$182)+2),T$4:T121,1,0)),(RANK(S122,S$4:S$182)+2),(RANK(S122,S$4:S$182)+3))))</f>
        <v>87</v>
      </c>
      <c r="U122" t="str">
        <f t="shared" si="11"/>
        <v>Tory Humphrey</v>
      </c>
    </row>
    <row r="123" spans="1:21" ht="12.75" customHeight="1">
      <c r="A123" s="33" t="str">
        <f>ESPNData!AX126</f>
        <v>Tony Scheffler, Det TE  Q</v>
      </c>
      <c r="B123" s="33" t="str">
        <f t="shared" si="9"/>
        <v>Tony Scheffler</v>
      </c>
      <c r="C123" s="64" t="str">
        <f t="shared" si="10"/>
        <v>DET</v>
      </c>
      <c r="D123" s="117" t="str">
        <f>IF(ISERROR(VLOOKUP($B123,FFTodayData!$AN:$AT,4,0)),"",VLOOKUP($B123,FFTodayData!$AN:$AT,4,0))</f>
        <v/>
      </c>
      <c r="E123" s="33" t="str">
        <f>IF(ISERROR(VLOOKUP($B123,FFTodayData!$AN:$AT,5,0)),"",VLOOKUP($B123,FFTodayData!$AN:$AT,5,0))</f>
        <v/>
      </c>
      <c r="F123" s="64" t="str">
        <f>IF(ISERROR(VLOOKUP($B123,FFTodayData!$AN:$AT,6,0)),"",VLOOKUP($B123,FFTodayData!$AN:$AT,6,0))</f>
        <v/>
      </c>
      <c r="G123" s="117" t="str">
        <f>IF(ISERROR(VLOOKUP($A123,ESPNData!$AX:$BK,11,0)),"",VLOOKUP($A123,ESPNData!$AX:$BK,11,0))</f>
        <v>--</v>
      </c>
      <c r="H123" s="33" t="str">
        <f>IF(ISERROR(VLOOKUP($A123,ESPNData!$AX:$BK,12,0)),"",VLOOKUP($A123,ESPNData!$AX:$BK,12,0))</f>
        <v>--</v>
      </c>
      <c r="I123" s="64" t="str">
        <f>IF(ISERROR(VLOOKUP($A123,ESPNData!$AX:$BK,13,0)),"",VLOOKUP($A123,ESPNData!$AX:$BK,13,0))</f>
        <v>--</v>
      </c>
      <c r="J123" s="117" t="str">
        <f>IF(ISERROR(VLOOKUP($B123,SportslineData!$AM:$AT,3,0)),"",ROUND(VLOOKUP($B123,SportslineData!$AM:$AT,3,0),0))</f>
        <v/>
      </c>
      <c r="K123" s="33" t="str">
        <f>IF(ISERROR(VLOOKUP($B123,SportslineData!$AM:$AT,4,0)),"",VLOOKUP($B123,SportslineData!$AM:$AT,4,0))</f>
        <v/>
      </c>
      <c r="L123" s="33" t="str">
        <f>IF(ISERROR(VLOOKUP($B123,SportslineData!$AM:$AT,6,0)),"",ROUND(VLOOKUP($B123,SportslineData!$AM:$AT,6,0),0))</f>
        <v/>
      </c>
      <c r="M123" s="64" t="str">
        <f>IF(ISERROR(VLOOKUP($B123,SportslineData!$AM:$AT,7,0)),"",ROUND(VLOOKUP($B123,SportslineData!$AM:$AT,7,0),0))</f>
        <v/>
      </c>
      <c r="N123" s="117"/>
      <c r="O123" s="33"/>
      <c r="P123" s="38">
        <f>IF(ISERROR(ROUND((((ROUNDDOWN((E123/5),0)*Settings!$F$11)+(D123*Settings!$I$11))+(F123*Settings!$F$12)),1)),0,ROUND((((ROUNDDOWN((E123/5),0)*Settings!$F$11)+(D123*Settings!$I$11))+(F123*Settings!$F$12)),1))</f>
        <v>0</v>
      </c>
      <c r="Q123" s="38">
        <f>IF(ISERROR(ROUND((((ROUNDDOWN((H123/5),0)*Settings!$F$11)+(G123*Settings!$I$11))+(I123*Settings!$F$12)),1)),0,ROUND((((ROUNDDOWN((H123/5),0)*Settings!$F$11)+(G123*Settings!$I$11))+(I123*Settings!$F$12)),1))</f>
        <v>0</v>
      </c>
      <c r="R123" s="38">
        <f>IF((J123=""),0,((((J123*Settings!$I$11)+(ROUND((K123/5),0)*Settings!$F$11))+(L123*Settings!$F$12))+(M123*Settings!$F$15)))</f>
        <v>0</v>
      </c>
      <c r="S123" s="66">
        <f>ROUND((((P123*Settings!$B$21)+(Q123*Settings!$B$22))+(R123*Settings!$B$23)),1)</f>
        <v>0</v>
      </c>
      <c r="T123" s="66">
        <f>IF(ISERROR(VLOOKUP(RANK(S123,S$4:S$182),T$4:T122,1,0)),RANK(S123,S$4:S$182),IF(ISERROR(VLOOKUP((RANK(S123,S$4:S$182)+1),T$4:T122,1,0)),(RANK(S123,S$4:S$182)+1),IF(ISERROR(VLOOKUP((RANK(S123,S$4:S$182)+2),T$4:T122,1,0)),(RANK(S123,S$4:S$182)+2),(RANK(S123,S$4:S$182)+3))))</f>
        <v>87</v>
      </c>
      <c r="U123" t="str">
        <f t="shared" si="11"/>
        <v>Tony Scheffler</v>
      </c>
    </row>
    <row r="124" spans="1:21" ht="12.75" customHeight="1">
      <c r="A124" s="33">
        <f>ESPNData!AX127</f>
        <v>0</v>
      </c>
      <c r="B124" s="33" t="str">
        <f t="shared" si="9"/>
        <v/>
      </c>
      <c r="C124" s="64" t="e">
        <f t="shared" si="10"/>
        <v>#VALUE!</v>
      </c>
      <c r="D124" s="117" t="str">
        <f>IF(ISERROR(VLOOKUP($B124,FFTodayData!$AN:$AT,4,0)),"",VLOOKUP($B124,FFTodayData!$AN:$AT,4,0))</f>
        <v/>
      </c>
      <c r="E124" s="33" t="str">
        <f>IF(ISERROR(VLOOKUP($B124,FFTodayData!$AN:$AT,5,0)),"",VLOOKUP($B124,FFTodayData!$AN:$AT,5,0))</f>
        <v/>
      </c>
      <c r="F124" s="64" t="str">
        <f>IF(ISERROR(VLOOKUP($B124,FFTodayData!$AN:$AT,6,0)),"",VLOOKUP($B124,FFTodayData!$AN:$AT,6,0))</f>
        <v/>
      </c>
      <c r="G124" s="117" t="str">
        <f>IF(ISERROR(VLOOKUP($A124,ESPNData!$AX:$BK,11,0)),"",VLOOKUP($A124,ESPNData!$AX:$BK,11,0))</f>
        <v/>
      </c>
      <c r="H124" s="33" t="str">
        <f>IF(ISERROR(VLOOKUP($A124,ESPNData!$AX:$BK,12,0)),"",VLOOKUP($A124,ESPNData!$AX:$BK,12,0))</f>
        <v/>
      </c>
      <c r="I124" s="64" t="str">
        <f>IF(ISERROR(VLOOKUP($A124,ESPNData!$AX:$BK,13,0)),"",VLOOKUP($A124,ESPNData!$AX:$BK,13,0))</f>
        <v/>
      </c>
      <c r="J124" s="117" t="str">
        <f>IF(ISERROR(VLOOKUP($B124,SportslineData!$AM:$AT,3,0)),"",ROUND(VLOOKUP($B124,SportslineData!$AM:$AT,3,0),0))</f>
        <v/>
      </c>
      <c r="K124" s="33" t="str">
        <f>IF(ISERROR(VLOOKUP($B124,SportslineData!$AM:$AT,4,0)),"",VLOOKUP($B124,SportslineData!$AM:$AT,4,0))</f>
        <v/>
      </c>
      <c r="L124" s="33" t="str">
        <f>IF(ISERROR(VLOOKUP($B124,SportslineData!$AM:$AT,6,0)),"",ROUND(VLOOKUP($B124,SportslineData!$AM:$AT,6,0),0))</f>
        <v/>
      </c>
      <c r="M124" s="64" t="str">
        <f>IF(ISERROR(VLOOKUP($B124,SportslineData!$AM:$AT,7,0)),"",ROUND(VLOOKUP($B124,SportslineData!$AM:$AT,7,0),0))</f>
        <v/>
      </c>
      <c r="N124" s="117"/>
      <c r="O124" s="33"/>
      <c r="P124" s="38">
        <f>IF(ISERROR(ROUND((((ROUNDDOWN((E124/5),0)*Settings!$F$11)+(D124*Settings!$I$11))+(F124*Settings!$F$12)),1)),0,ROUND((((ROUNDDOWN((E124/5),0)*Settings!$F$11)+(D124*Settings!$I$11))+(F124*Settings!$F$12)),1))</f>
        <v>0</v>
      </c>
      <c r="Q124" s="38">
        <f>IF(ISERROR(ROUND((((ROUNDDOWN((H124/5),0)*Settings!$F$11)+(G124*Settings!$I$11))+(I124*Settings!$F$12)),1)),0,ROUND((((ROUNDDOWN((H124/5),0)*Settings!$F$11)+(G124*Settings!$I$11))+(I124*Settings!$F$12)),1))</f>
        <v>0</v>
      </c>
      <c r="R124" s="38">
        <f>IF((J124=""),0,((((J124*Settings!$I$11)+(ROUND((K124/5),0)*Settings!$F$11))+(L124*Settings!$F$12))+(M124*Settings!$F$15)))</f>
        <v>0</v>
      </c>
      <c r="S124" s="66">
        <f>ROUND((((P124*Settings!$B$21)+(Q124*Settings!$B$22))+(R124*Settings!$B$23)),1)</f>
        <v>0</v>
      </c>
      <c r="T124" s="66">
        <f>IF(ISERROR(VLOOKUP(RANK(S124,S$4:S$182),T$4:T123,1,0)),RANK(S124,S$4:S$182),IF(ISERROR(VLOOKUP((RANK(S124,S$4:S$182)+1),T$4:T123,1,0)),(RANK(S124,S$4:S$182)+1),IF(ISERROR(VLOOKUP((RANK(S124,S$4:S$182)+2),T$4:T123,1,0)),(RANK(S124,S$4:S$182)+2),(RANK(S124,S$4:S$182)+3))))</f>
        <v>87</v>
      </c>
      <c r="U124" t="str">
        <f t="shared" si="11"/>
        <v/>
      </c>
    </row>
    <row r="125" spans="1:21" ht="12.75" customHeight="1">
      <c r="A125" s="33">
        <f>ESPNData!AX128</f>
        <v>0</v>
      </c>
      <c r="B125" s="33" t="str">
        <f t="shared" si="9"/>
        <v/>
      </c>
      <c r="C125" s="64" t="e">
        <f t="shared" si="10"/>
        <v>#VALUE!</v>
      </c>
      <c r="D125" s="117" t="str">
        <f>IF(ISERROR(VLOOKUP($B125,FFTodayData!$AN:$AT,4,0)),"",VLOOKUP($B125,FFTodayData!$AN:$AT,4,0))</f>
        <v/>
      </c>
      <c r="E125" s="33" t="str">
        <f>IF(ISERROR(VLOOKUP($B125,FFTodayData!$AN:$AT,5,0)),"",VLOOKUP($B125,FFTodayData!$AN:$AT,5,0))</f>
        <v/>
      </c>
      <c r="F125" s="64" t="str">
        <f>IF(ISERROR(VLOOKUP($B125,FFTodayData!$AN:$AT,6,0)),"",VLOOKUP($B125,FFTodayData!$AN:$AT,6,0))</f>
        <v/>
      </c>
      <c r="G125" s="117" t="str">
        <f>IF(ISERROR(VLOOKUP($A125,ESPNData!$AX:$BK,11,0)),"",VLOOKUP($A125,ESPNData!$AX:$BK,11,0))</f>
        <v/>
      </c>
      <c r="H125" s="33" t="str">
        <f>IF(ISERROR(VLOOKUP($A125,ESPNData!$AX:$BK,12,0)),"",VLOOKUP($A125,ESPNData!$AX:$BK,12,0))</f>
        <v/>
      </c>
      <c r="I125" s="64" t="str">
        <f>IF(ISERROR(VLOOKUP($A125,ESPNData!$AX:$BK,13,0)),"",VLOOKUP($A125,ESPNData!$AX:$BK,13,0))</f>
        <v/>
      </c>
      <c r="J125" s="117" t="str">
        <f>IF(ISERROR(VLOOKUP($B125,SportslineData!$AM:$AT,3,0)),"",ROUND(VLOOKUP($B125,SportslineData!$AM:$AT,3,0),0))</f>
        <v/>
      </c>
      <c r="K125" s="33" t="str">
        <f>IF(ISERROR(VLOOKUP($B125,SportslineData!$AM:$AT,4,0)),"",VLOOKUP($B125,SportslineData!$AM:$AT,4,0))</f>
        <v/>
      </c>
      <c r="L125" s="33" t="str">
        <f>IF(ISERROR(VLOOKUP($B125,SportslineData!$AM:$AT,6,0)),"",ROUND(VLOOKUP($B125,SportslineData!$AM:$AT,6,0),0))</f>
        <v/>
      </c>
      <c r="M125" s="64" t="str">
        <f>IF(ISERROR(VLOOKUP($B125,SportslineData!$AM:$AT,7,0)),"",ROUND(VLOOKUP($B125,SportslineData!$AM:$AT,7,0),0))</f>
        <v/>
      </c>
      <c r="N125" s="117"/>
      <c r="O125" s="33"/>
      <c r="P125" s="38">
        <f>IF(ISERROR(ROUND((((ROUNDDOWN((E125/5),0)*Settings!$F$11)+(D125*Settings!$I$11))+(F125*Settings!$F$12)),1)),0,ROUND((((ROUNDDOWN((E125/5),0)*Settings!$F$11)+(D125*Settings!$I$11))+(F125*Settings!$F$12)),1))</f>
        <v>0</v>
      </c>
      <c r="Q125" s="38">
        <f>IF(ISERROR(ROUND((((ROUNDDOWN((H125/5),0)*Settings!$F$11)+(G125*Settings!$I$11))+(I125*Settings!$F$12)),1)),0,ROUND((((ROUNDDOWN((H125/5),0)*Settings!$F$11)+(G125*Settings!$I$11))+(I125*Settings!$F$12)),1))</f>
        <v>0</v>
      </c>
      <c r="R125" s="38">
        <f>IF((J125=""),0,((((J125*Settings!$I$11)+(ROUND((K125/5),0)*Settings!$F$11))+(L125*Settings!$F$12))+(M125*Settings!$F$15)))</f>
        <v>0</v>
      </c>
      <c r="S125" s="66">
        <f>ROUND((((P125*Settings!$B$21)+(Q125*Settings!$B$22))+(R125*Settings!$B$23)),1)</f>
        <v>0</v>
      </c>
      <c r="T125" s="66">
        <f>IF(ISERROR(VLOOKUP(RANK(S125,S$4:S$182),T$4:T124,1,0)),RANK(S125,S$4:S$182),IF(ISERROR(VLOOKUP((RANK(S125,S$4:S$182)+1),T$4:T124,1,0)),(RANK(S125,S$4:S$182)+1),IF(ISERROR(VLOOKUP((RANK(S125,S$4:S$182)+2),T$4:T124,1,0)),(RANK(S125,S$4:S$182)+2),(RANK(S125,S$4:S$182)+3))))</f>
        <v>87</v>
      </c>
      <c r="U125" t="str">
        <f t="shared" si="11"/>
        <v/>
      </c>
    </row>
    <row r="126" spans="1:21" ht="12.75" customHeight="1">
      <c r="A126" s="33">
        <f>ESPNData!AX129</f>
        <v>0</v>
      </c>
      <c r="B126" s="33" t="str">
        <f t="shared" si="9"/>
        <v/>
      </c>
      <c r="C126" s="64" t="e">
        <f t="shared" si="10"/>
        <v>#VALUE!</v>
      </c>
      <c r="D126" s="117" t="str">
        <f>IF(ISERROR(VLOOKUP($B126,FFTodayData!$AN:$AT,4,0)),"",VLOOKUP($B126,FFTodayData!$AN:$AT,4,0))</f>
        <v/>
      </c>
      <c r="E126" s="33" t="str">
        <f>IF(ISERROR(VLOOKUP($B126,FFTodayData!$AN:$AT,5,0)),"",VLOOKUP($B126,FFTodayData!$AN:$AT,5,0))</f>
        <v/>
      </c>
      <c r="F126" s="64" t="str">
        <f>IF(ISERROR(VLOOKUP($B126,FFTodayData!$AN:$AT,6,0)),"",VLOOKUP($B126,FFTodayData!$AN:$AT,6,0))</f>
        <v/>
      </c>
      <c r="G126" s="117" t="str">
        <f>IF(ISERROR(VLOOKUP($A126,ESPNData!$AX:$BK,11,0)),"",VLOOKUP($A126,ESPNData!$AX:$BK,11,0))</f>
        <v/>
      </c>
      <c r="H126" s="33" t="str">
        <f>IF(ISERROR(VLOOKUP($A126,ESPNData!$AX:$BK,12,0)),"",VLOOKUP($A126,ESPNData!$AX:$BK,12,0))</f>
        <v/>
      </c>
      <c r="I126" s="64" t="str">
        <f>IF(ISERROR(VLOOKUP($A126,ESPNData!$AX:$BK,13,0)),"",VLOOKUP($A126,ESPNData!$AX:$BK,13,0))</f>
        <v/>
      </c>
      <c r="J126" s="117" t="str">
        <f>IF(ISERROR(VLOOKUP($B126,SportslineData!$AM:$AT,3,0)),"",ROUND(VLOOKUP($B126,SportslineData!$AM:$AT,3,0),0))</f>
        <v/>
      </c>
      <c r="K126" s="33" t="str">
        <f>IF(ISERROR(VLOOKUP($B126,SportslineData!$AM:$AT,4,0)),"",VLOOKUP($B126,SportslineData!$AM:$AT,4,0))</f>
        <v/>
      </c>
      <c r="L126" s="33" t="str">
        <f>IF(ISERROR(VLOOKUP($B126,SportslineData!$AM:$AT,6,0)),"",ROUND(VLOOKUP($B126,SportslineData!$AM:$AT,6,0),0))</f>
        <v/>
      </c>
      <c r="M126" s="64" t="str">
        <f>IF(ISERROR(VLOOKUP($B126,SportslineData!$AM:$AT,7,0)),"",ROUND(VLOOKUP($B126,SportslineData!$AM:$AT,7,0),0))</f>
        <v/>
      </c>
      <c r="N126" s="117"/>
      <c r="O126" s="33"/>
      <c r="P126" s="38">
        <f>IF(ISERROR(ROUND((((ROUNDDOWN((E126/5),0)*Settings!$F$11)+(D126*Settings!$I$11))+(F126*Settings!$F$12)),1)),0,ROUND((((ROUNDDOWN((E126/5),0)*Settings!$F$11)+(D126*Settings!$I$11))+(F126*Settings!$F$12)),1))</f>
        <v>0</v>
      </c>
      <c r="Q126" s="38">
        <f>IF(ISERROR(ROUND((((ROUNDDOWN((H126/5),0)*Settings!$F$11)+(G126*Settings!$I$11))+(I126*Settings!$F$12)),1)),0,ROUND((((ROUNDDOWN((H126/5),0)*Settings!$F$11)+(G126*Settings!$I$11))+(I126*Settings!$F$12)),1))</f>
        <v>0</v>
      </c>
      <c r="R126" s="38">
        <f>IF((J126=""),0,((((J126*Settings!$I$11)+(ROUND((K126/5),0)*Settings!$F$11))+(L126*Settings!$F$12))+(M126*Settings!$F$15)))</f>
        <v>0</v>
      </c>
      <c r="S126" s="66">
        <f>ROUND((((P126*Settings!$B$21)+(Q126*Settings!$B$22))+(R126*Settings!$B$23)),1)</f>
        <v>0</v>
      </c>
      <c r="T126" s="66">
        <f>IF(ISERROR(VLOOKUP(RANK(S126,S$4:S$182),T$4:T125,1,0)),RANK(S126,S$4:S$182),IF(ISERROR(VLOOKUP((RANK(S126,S$4:S$182)+1),T$4:T125,1,0)),(RANK(S126,S$4:S$182)+1),IF(ISERROR(VLOOKUP((RANK(S126,S$4:S$182)+2),T$4:T125,1,0)),(RANK(S126,S$4:S$182)+2),(RANK(S126,S$4:S$182)+3))))</f>
        <v>87</v>
      </c>
      <c r="U126" t="str">
        <f t="shared" si="11"/>
        <v/>
      </c>
    </row>
    <row r="127" spans="1:21" ht="12.75" customHeight="1">
      <c r="A127" s="33">
        <f>ESPNData!AX130</f>
        <v>0</v>
      </c>
      <c r="B127" s="33" t="str">
        <f t="shared" si="9"/>
        <v/>
      </c>
      <c r="C127" s="64" t="e">
        <f t="shared" si="10"/>
        <v>#VALUE!</v>
      </c>
      <c r="D127" s="117" t="str">
        <f>IF(ISERROR(VLOOKUP($B127,FFTodayData!$AN:$AT,4,0)),"",VLOOKUP($B127,FFTodayData!$AN:$AT,4,0))</f>
        <v/>
      </c>
      <c r="E127" s="33" t="str">
        <f>IF(ISERROR(VLOOKUP($B127,FFTodayData!$AN:$AT,5,0)),"",VLOOKUP($B127,FFTodayData!$AN:$AT,5,0))</f>
        <v/>
      </c>
      <c r="F127" s="64" t="str">
        <f>IF(ISERROR(VLOOKUP($B127,FFTodayData!$AN:$AT,6,0)),"",VLOOKUP($B127,FFTodayData!$AN:$AT,6,0))</f>
        <v/>
      </c>
      <c r="G127" s="117" t="str">
        <f>IF(ISERROR(VLOOKUP($A127,ESPNData!$AX:$BK,11,0)),"",VLOOKUP($A127,ESPNData!$AX:$BK,11,0))</f>
        <v/>
      </c>
      <c r="H127" s="33" t="str">
        <f>IF(ISERROR(VLOOKUP($A127,ESPNData!$AX:$BK,12,0)),"",VLOOKUP($A127,ESPNData!$AX:$BK,12,0))</f>
        <v/>
      </c>
      <c r="I127" s="64" t="str">
        <f>IF(ISERROR(VLOOKUP($A127,ESPNData!$AX:$BK,13,0)),"",VLOOKUP($A127,ESPNData!$AX:$BK,13,0))</f>
        <v/>
      </c>
      <c r="J127" s="117" t="str">
        <f>IF(ISERROR(VLOOKUP($B127,SportslineData!$AM:$AT,3,0)),"",ROUND(VLOOKUP($B127,SportslineData!$AM:$AT,3,0),0))</f>
        <v/>
      </c>
      <c r="K127" s="33" t="str">
        <f>IF(ISERROR(VLOOKUP($B127,SportslineData!$AM:$AT,4,0)),"",VLOOKUP($B127,SportslineData!$AM:$AT,4,0))</f>
        <v/>
      </c>
      <c r="L127" s="33" t="str">
        <f>IF(ISERROR(VLOOKUP($B127,SportslineData!$AM:$AT,6,0)),"",ROUND(VLOOKUP($B127,SportslineData!$AM:$AT,6,0),0))</f>
        <v/>
      </c>
      <c r="M127" s="64" t="str">
        <f>IF(ISERROR(VLOOKUP($B127,SportslineData!$AM:$AT,7,0)),"",ROUND(VLOOKUP($B127,SportslineData!$AM:$AT,7,0),0))</f>
        <v/>
      </c>
      <c r="N127" s="117"/>
      <c r="O127" s="33"/>
      <c r="P127" s="38">
        <f>IF(ISERROR(ROUND((((ROUNDDOWN((E127/5),0)*Settings!$F$11)+(D127*Settings!$I$11))+(F127*Settings!$F$12)),1)),0,ROUND((((ROUNDDOWN((E127/5),0)*Settings!$F$11)+(D127*Settings!$I$11))+(F127*Settings!$F$12)),1))</f>
        <v>0</v>
      </c>
      <c r="Q127" s="38">
        <f>IF(ISERROR(ROUND((((ROUNDDOWN((H127/5),0)*Settings!$F$11)+(G127*Settings!$I$11))+(I127*Settings!$F$12)),1)),0,ROUND((((ROUNDDOWN((H127/5),0)*Settings!$F$11)+(G127*Settings!$I$11))+(I127*Settings!$F$12)),1))</f>
        <v>0</v>
      </c>
      <c r="R127" s="38">
        <f>IF((J127=""),0,((((J127*Settings!$I$11)+(ROUND((K127/5),0)*Settings!$F$11))+(L127*Settings!$F$12))+(M127*Settings!$F$15)))</f>
        <v>0</v>
      </c>
      <c r="S127" s="66">
        <f>ROUND((((P127*Settings!$B$21)+(Q127*Settings!$B$22))+(R127*Settings!$B$23)),1)</f>
        <v>0</v>
      </c>
      <c r="T127" s="66">
        <f>IF(ISERROR(VLOOKUP(RANK(S127,S$4:S$182),T$4:T126,1,0)),RANK(S127,S$4:S$182),IF(ISERROR(VLOOKUP((RANK(S127,S$4:S$182)+1),T$4:T126,1,0)),(RANK(S127,S$4:S$182)+1),IF(ISERROR(VLOOKUP((RANK(S127,S$4:S$182)+2),T$4:T126,1,0)),(RANK(S127,S$4:S$182)+2),(RANK(S127,S$4:S$182)+3))))</f>
        <v>87</v>
      </c>
      <c r="U127" t="str">
        <f t="shared" si="11"/>
        <v/>
      </c>
    </row>
    <row r="128" spans="1:21" ht="12.75" customHeight="1">
      <c r="A128" s="33">
        <f>ESPNData!AX131</f>
        <v>0</v>
      </c>
      <c r="B128" s="33" t="str">
        <f t="shared" si="9"/>
        <v/>
      </c>
      <c r="C128" s="64" t="e">
        <f t="shared" si="10"/>
        <v>#VALUE!</v>
      </c>
      <c r="D128" s="117" t="str">
        <f>IF(ISERROR(VLOOKUP($B128,FFTodayData!$AN:$AT,4,0)),"",VLOOKUP($B128,FFTodayData!$AN:$AT,4,0))</f>
        <v/>
      </c>
      <c r="E128" s="33" t="str">
        <f>IF(ISERROR(VLOOKUP($B128,FFTodayData!$AN:$AT,5,0)),"",VLOOKUP($B128,FFTodayData!$AN:$AT,5,0))</f>
        <v/>
      </c>
      <c r="F128" s="64" t="str">
        <f>IF(ISERROR(VLOOKUP($B128,FFTodayData!$AN:$AT,6,0)),"",VLOOKUP($B128,FFTodayData!$AN:$AT,6,0))</f>
        <v/>
      </c>
      <c r="G128" s="117" t="str">
        <f>IF(ISERROR(VLOOKUP($A128,ESPNData!$AX:$BK,11,0)),"",VLOOKUP($A128,ESPNData!$AX:$BK,11,0))</f>
        <v/>
      </c>
      <c r="H128" s="33" t="str">
        <f>IF(ISERROR(VLOOKUP($A128,ESPNData!$AX:$BK,12,0)),"",VLOOKUP($A128,ESPNData!$AX:$BK,12,0))</f>
        <v/>
      </c>
      <c r="I128" s="64" t="str">
        <f>IF(ISERROR(VLOOKUP($A128,ESPNData!$AX:$BK,13,0)),"",VLOOKUP($A128,ESPNData!$AX:$BK,13,0))</f>
        <v/>
      </c>
      <c r="J128" s="117" t="str">
        <f>IF(ISERROR(VLOOKUP($B128,SportslineData!$AM:$AT,3,0)),"",ROUND(VLOOKUP($B128,SportslineData!$AM:$AT,3,0),0))</f>
        <v/>
      </c>
      <c r="K128" s="33" t="str">
        <f>IF(ISERROR(VLOOKUP($B128,SportslineData!$AM:$AT,4,0)),"",VLOOKUP($B128,SportslineData!$AM:$AT,4,0))</f>
        <v/>
      </c>
      <c r="L128" s="33" t="str">
        <f>IF(ISERROR(VLOOKUP($B128,SportslineData!$AM:$AT,6,0)),"",ROUND(VLOOKUP($B128,SportslineData!$AM:$AT,6,0),0))</f>
        <v/>
      </c>
      <c r="M128" s="64" t="str">
        <f>IF(ISERROR(VLOOKUP($B128,SportslineData!$AM:$AT,7,0)),"",ROUND(VLOOKUP($B128,SportslineData!$AM:$AT,7,0),0))</f>
        <v/>
      </c>
      <c r="N128" s="117"/>
      <c r="O128" s="33"/>
      <c r="P128" s="38">
        <f>IF(ISERROR(ROUND((((ROUNDDOWN((E128/5),0)*Settings!$F$11)+(D128*Settings!$I$11))+(F128*Settings!$F$12)),1)),0,ROUND((((ROUNDDOWN((E128/5),0)*Settings!$F$11)+(D128*Settings!$I$11))+(F128*Settings!$F$12)),1))</f>
        <v>0</v>
      </c>
      <c r="Q128" s="38">
        <f>IF(ISERROR(ROUND((((ROUNDDOWN((H128/5),0)*Settings!$F$11)+(G128*Settings!$I$11))+(I128*Settings!$F$12)),1)),0,ROUND((((ROUNDDOWN((H128/5),0)*Settings!$F$11)+(G128*Settings!$I$11))+(I128*Settings!$F$12)),1))</f>
        <v>0</v>
      </c>
      <c r="R128" s="38">
        <f>IF((J128=""),0,((((J128*Settings!$I$11)+(ROUND((K128/5),0)*Settings!$F$11))+(L128*Settings!$F$12))+(M128*Settings!$F$15)))</f>
        <v>0</v>
      </c>
      <c r="S128" s="66">
        <f>ROUND((((P128*Settings!$B$21)+(Q128*Settings!$B$22))+(R128*Settings!$B$23)),1)</f>
        <v>0</v>
      </c>
      <c r="T128" s="66">
        <f>IF(ISERROR(VLOOKUP(RANK(S128,S$4:S$182),T$4:T127,1,0)),RANK(S128,S$4:S$182),IF(ISERROR(VLOOKUP((RANK(S128,S$4:S$182)+1),T$4:T127,1,0)),(RANK(S128,S$4:S$182)+1),IF(ISERROR(VLOOKUP((RANK(S128,S$4:S$182)+2),T$4:T127,1,0)),(RANK(S128,S$4:S$182)+2),(RANK(S128,S$4:S$182)+3))))</f>
        <v>87</v>
      </c>
      <c r="U128" t="str">
        <f t="shared" si="11"/>
        <v/>
      </c>
    </row>
    <row r="129" spans="1:21" ht="12.75" customHeight="1">
      <c r="A129" s="33">
        <f>ESPNData!AX132</f>
        <v>0</v>
      </c>
      <c r="B129" s="33" t="str">
        <f t="shared" si="9"/>
        <v/>
      </c>
      <c r="C129" s="64" t="e">
        <f t="shared" si="10"/>
        <v>#VALUE!</v>
      </c>
      <c r="D129" s="117" t="str">
        <f>IF(ISERROR(VLOOKUP($B129,FFTodayData!$AN:$AT,4,0)),"",VLOOKUP($B129,FFTodayData!$AN:$AT,4,0))</f>
        <v/>
      </c>
      <c r="E129" s="33" t="str">
        <f>IF(ISERROR(VLOOKUP($B129,FFTodayData!$AN:$AT,5,0)),"",VLOOKUP($B129,FFTodayData!$AN:$AT,5,0))</f>
        <v/>
      </c>
      <c r="F129" s="64" t="str">
        <f>IF(ISERROR(VLOOKUP($B129,FFTodayData!$AN:$AT,6,0)),"",VLOOKUP($B129,FFTodayData!$AN:$AT,6,0))</f>
        <v/>
      </c>
      <c r="G129" s="117" t="str">
        <f>IF(ISERROR(VLOOKUP($A129,ESPNData!$AX:$BK,11,0)),"",VLOOKUP($A129,ESPNData!$AX:$BK,11,0))</f>
        <v/>
      </c>
      <c r="H129" s="33" t="str">
        <f>IF(ISERROR(VLOOKUP($A129,ESPNData!$AX:$BK,12,0)),"",VLOOKUP($A129,ESPNData!$AX:$BK,12,0))</f>
        <v/>
      </c>
      <c r="I129" s="64" t="str">
        <f>IF(ISERROR(VLOOKUP($A129,ESPNData!$AX:$BK,13,0)),"",VLOOKUP($A129,ESPNData!$AX:$BK,13,0))</f>
        <v/>
      </c>
      <c r="J129" s="117" t="str">
        <f>IF(ISERROR(VLOOKUP($B129,SportslineData!$AM:$AT,3,0)),"",ROUND(VLOOKUP($B129,SportslineData!$AM:$AT,3,0),0))</f>
        <v/>
      </c>
      <c r="K129" s="33" t="str">
        <f>IF(ISERROR(VLOOKUP($B129,SportslineData!$AM:$AT,4,0)),"",VLOOKUP($B129,SportslineData!$AM:$AT,4,0))</f>
        <v/>
      </c>
      <c r="L129" s="33" t="str">
        <f>IF(ISERROR(VLOOKUP($B129,SportslineData!$AM:$AT,6,0)),"",ROUND(VLOOKUP($B129,SportslineData!$AM:$AT,6,0),0))</f>
        <v/>
      </c>
      <c r="M129" s="64" t="str">
        <f>IF(ISERROR(VLOOKUP($B129,SportslineData!$AM:$AT,7,0)),"",ROUND(VLOOKUP($B129,SportslineData!$AM:$AT,7,0),0))</f>
        <v/>
      </c>
      <c r="N129" s="117"/>
      <c r="O129" s="33"/>
      <c r="P129" s="38">
        <f>IF(ISERROR(ROUND((((ROUNDDOWN((E129/5),0)*Settings!$F$11)+(D129*Settings!$I$11))+(F129*Settings!$F$12)),1)),0,ROUND((((ROUNDDOWN((E129/5),0)*Settings!$F$11)+(D129*Settings!$I$11))+(F129*Settings!$F$12)),1))</f>
        <v>0</v>
      </c>
      <c r="Q129" s="38">
        <f>IF(ISERROR(ROUND((((ROUNDDOWN((H129/5),0)*Settings!$F$11)+(G129*Settings!$I$11))+(I129*Settings!$F$12)),1)),0,ROUND((((ROUNDDOWN((H129/5),0)*Settings!$F$11)+(G129*Settings!$I$11))+(I129*Settings!$F$12)),1))</f>
        <v>0</v>
      </c>
      <c r="R129" s="38">
        <f>IF((J129=""),0,((((J129*Settings!$I$11)+(ROUND((K129/5),0)*Settings!$F$11))+(L129*Settings!$F$12))+(M129*Settings!$F$15)))</f>
        <v>0</v>
      </c>
      <c r="S129" s="66">
        <f>ROUND((((P129*Settings!$B$21)+(Q129*Settings!$B$22))+(R129*Settings!$B$23)),1)</f>
        <v>0</v>
      </c>
      <c r="T129" s="66">
        <f>IF(ISERROR(VLOOKUP(RANK(S129,S$4:S$182),T$4:T128,1,0)),RANK(S129,S$4:S$182),IF(ISERROR(VLOOKUP((RANK(S129,S$4:S$182)+1),T$4:T128,1,0)),(RANK(S129,S$4:S$182)+1),IF(ISERROR(VLOOKUP((RANK(S129,S$4:S$182)+2),T$4:T128,1,0)),(RANK(S129,S$4:S$182)+2),(RANK(S129,S$4:S$182)+3))))</f>
        <v>87</v>
      </c>
      <c r="U129" t="str">
        <f t="shared" si="11"/>
        <v/>
      </c>
    </row>
    <row r="130" spans="1:21" ht="12.75" customHeight="1">
      <c r="A130" s="33">
        <f>ESPNData!AX133</f>
        <v>0</v>
      </c>
      <c r="B130" s="33" t="str">
        <f t="shared" si="9"/>
        <v/>
      </c>
      <c r="C130" s="64" t="e">
        <f t="shared" si="10"/>
        <v>#VALUE!</v>
      </c>
      <c r="D130" s="117" t="str">
        <f>IF(ISERROR(VLOOKUP($B130,FFTodayData!$AN:$AT,4,0)),"",VLOOKUP($B130,FFTodayData!$AN:$AT,4,0))</f>
        <v/>
      </c>
      <c r="E130" s="33" t="str">
        <f>IF(ISERROR(VLOOKUP($B130,FFTodayData!$AN:$AT,5,0)),"",VLOOKUP($B130,FFTodayData!$AN:$AT,5,0))</f>
        <v/>
      </c>
      <c r="F130" s="64" t="str">
        <f>IF(ISERROR(VLOOKUP($B130,FFTodayData!$AN:$AT,6,0)),"",VLOOKUP($B130,FFTodayData!$AN:$AT,6,0))</f>
        <v/>
      </c>
      <c r="G130" s="117" t="str">
        <f>IF(ISERROR(VLOOKUP($A130,ESPNData!$AX:$BK,11,0)),"",VLOOKUP($A130,ESPNData!$AX:$BK,11,0))</f>
        <v/>
      </c>
      <c r="H130" s="33" t="str">
        <f>IF(ISERROR(VLOOKUP($A130,ESPNData!$AX:$BK,12,0)),"",VLOOKUP($A130,ESPNData!$AX:$BK,12,0))</f>
        <v/>
      </c>
      <c r="I130" s="64" t="str">
        <f>IF(ISERROR(VLOOKUP($A130,ESPNData!$AX:$BK,13,0)),"",VLOOKUP($A130,ESPNData!$AX:$BK,13,0))</f>
        <v/>
      </c>
      <c r="J130" s="117" t="str">
        <f>IF(ISERROR(VLOOKUP($B130,SportslineData!$AM:$AT,3,0)),"",ROUND(VLOOKUP($B130,SportslineData!$AM:$AT,3,0),0))</f>
        <v/>
      </c>
      <c r="K130" s="33" t="str">
        <f>IF(ISERROR(VLOOKUP($B130,SportslineData!$AM:$AT,4,0)),"",VLOOKUP($B130,SportslineData!$AM:$AT,4,0))</f>
        <v/>
      </c>
      <c r="L130" s="33" t="str">
        <f>IF(ISERROR(VLOOKUP($B130,SportslineData!$AM:$AT,6,0)),"",ROUND(VLOOKUP($B130,SportslineData!$AM:$AT,6,0),0))</f>
        <v/>
      </c>
      <c r="M130" s="64" t="str">
        <f>IF(ISERROR(VLOOKUP($B130,SportslineData!$AM:$AT,7,0)),"",ROUND(VLOOKUP($B130,SportslineData!$AM:$AT,7,0),0))</f>
        <v/>
      </c>
      <c r="N130" s="117"/>
      <c r="O130" s="33"/>
      <c r="P130" s="38">
        <f>IF(ISERROR(ROUND((((ROUNDDOWN((E130/5),0)*Settings!$F$11)+(D130*Settings!$I$11))+(F130*Settings!$F$12)),1)),0,ROUND((((ROUNDDOWN((E130/5),0)*Settings!$F$11)+(D130*Settings!$I$11))+(F130*Settings!$F$12)),1))</f>
        <v>0</v>
      </c>
      <c r="Q130" s="38">
        <f>IF(ISERROR(ROUND((((ROUNDDOWN((H130/5),0)*Settings!$F$11)+(G130*Settings!$I$11))+(I130*Settings!$F$12)),1)),0,ROUND((((ROUNDDOWN((H130/5),0)*Settings!$F$11)+(G130*Settings!$I$11))+(I130*Settings!$F$12)),1))</f>
        <v>0</v>
      </c>
      <c r="R130" s="38">
        <f>IF((J130=""),0,((((J130*Settings!$I$11)+(ROUND((K130/5),0)*Settings!$F$11))+(L130*Settings!$F$12))+(M130*Settings!$F$15)))</f>
        <v>0</v>
      </c>
      <c r="S130" s="66">
        <f>ROUND((((P130*Settings!$B$21)+(Q130*Settings!$B$22))+(R130*Settings!$B$23)),1)</f>
        <v>0</v>
      </c>
      <c r="T130" s="66">
        <f>IF(ISERROR(VLOOKUP(RANK(S130,S$4:S$182),T$4:T129,1,0)),RANK(S130,S$4:S$182),IF(ISERROR(VLOOKUP((RANK(S130,S$4:S$182)+1),T$4:T129,1,0)),(RANK(S130,S$4:S$182)+1),IF(ISERROR(VLOOKUP((RANK(S130,S$4:S$182)+2),T$4:T129,1,0)),(RANK(S130,S$4:S$182)+2),(RANK(S130,S$4:S$182)+3))))</f>
        <v>87</v>
      </c>
      <c r="U130" t="str">
        <f t="shared" si="11"/>
        <v/>
      </c>
    </row>
    <row r="131" spans="1:21" ht="12.75" customHeight="1">
      <c r="A131" s="33">
        <f>ESPNData!AX134</f>
        <v>0</v>
      </c>
      <c r="B131" s="33" t="str">
        <f t="shared" si="9"/>
        <v/>
      </c>
      <c r="C131" s="64" t="e">
        <f t="shared" si="10"/>
        <v>#VALUE!</v>
      </c>
      <c r="D131" s="117" t="str">
        <f>IF(ISERROR(VLOOKUP($B131,FFTodayData!$AN:$AT,4,0)),"",VLOOKUP($B131,FFTodayData!$AN:$AT,4,0))</f>
        <v/>
      </c>
      <c r="E131" s="33" t="str">
        <f>IF(ISERROR(VLOOKUP($B131,FFTodayData!$AN:$AT,5,0)),"",VLOOKUP($B131,FFTodayData!$AN:$AT,5,0))</f>
        <v/>
      </c>
      <c r="F131" s="64" t="str">
        <f>IF(ISERROR(VLOOKUP($B131,FFTodayData!$AN:$AT,6,0)),"",VLOOKUP($B131,FFTodayData!$AN:$AT,6,0))</f>
        <v/>
      </c>
      <c r="G131" s="117" t="str">
        <f>IF(ISERROR(VLOOKUP($A131,ESPNData!$AX:$BK,11,0)),"",VLOOKUP($A131,ESPNData!$AX:$BK,11,0))</f>
        <v/>
      </c>
      <c r="H131" s="33" t="str">
        <f>IF(ISERROR(VLOOKUP($A131,ESPNData!$AX:$BK,12,0)),"",VLOOKUP($A131,ESPNData!$AX:$BK,12,0))</f>
        <v/>
      </c>
      <c r="I131" s="64" t="str">
        <f>IF(ISERROR(VLOOKUP($A131,ESPNData!$AX:$BK,13,0)),"",VLOOKUP($A131,ESPNData!$AX:$BK,13,0))</f>
        <v/>
      </c>
      <c r="J131" s="117" t="str">
        <f>IF(ISERROR(VLOOKUP($B131,SportslineData!$AM:$AT,3,0)),"",ROUND(VLOOKUP($B131,SportslineData!$AM:$AT,3,0),0))</f>
        <v/>
      </c>
      <c r="K131" s="33" t="str">
        <f>IF(ISERROR(VLOOKUP($B131,SportslineData!$AM:$AT,4,0)),"",VLOOKUP($B131,SportslineData!$AM:$AT,4,0))</f>
        <v/>
      </c>
      <c r="L131" s="33" t="str">
        <f>IF(ISERROR(VLOOKUP($B131,SportslineData!$AM:$AT,6,0)),"",ROUND(VLOOKUP($B131,SportslineData!$AM:$AT,6,0),0))</f>
        <v/>
      </c>
      <c r="M131" s="64" t="str">
        <f>IF(ISERROR(VLOOKUP($B131,SportslineData!$AM:$AT,7,0)),"",ROUND(VLOOKUP($B131,SportslineData!$AM:$AT,7,0),0))</f>
        <v/>
      </c>
      <c r="N131" s="117"/>
      <c r="O131" s="33"/>
      <c r="P131" s="38">
        <f>IF(ISERROR(ROUND((((ROUNDDOWN((E131/5),0)*Settings!$F$11)+(D131*Settings!$I$11))+(F131*Settings!$F$12)),1)),0,ROUND((((ROUNDDOWN((E131/5),0)*Settings!$F$11)+(D131*Settings!$I$11))+(F131*Settings!$F$12)),1))</f>
        <v>0</v>
      </c>
      <c r="Q131" s="38">
        <f>IF(ISERROR(ROUND((((ROUNDDOWN((H131/5),0)*Settings!$F$11)+(G131*Settings!$I$11))+(I131*Settings!$F$12)),1)),0,ROUND((((ROUNDDOWN((H131/5),0)*Settings!$F$11)+(G131*Settings!$I$11))+(I131*Settings!$F$12)),1))</f>
        <v>0</v>
      </c>
      <c r="R131" s="38">
        <f>IF((J131=""),0,((((J131*Settings!$I$11)+(ROUND((K131/5),0)*Settings!$F$11))+(L131*Settings!$F$12))+(M131*Settings!$F$15)))</f>
        <v>0</v>
      </c>
      <c r="S131" s="66">
        <f>ROUND((((P131*Settings!$B$21)+(Q131*Settings!$B$22))+(R131*Settings!$B$23)),1)</f>
        <v>0</v>
      </c>
      <c r="T131" s="66">
        <f>IF(ISERROR(VLOOKUP(RANK(S131,S$4:S$182),T$4:T130,1,0)),RANK(S131,S$4:S$182),IF(ISERROR(VLOOKUP((RANK(S131,S$4:S$182)+1),T$4:T130,1,0)),(RANK(S131,S$4:S$182)+1),IF(ISERROR(VLOOKUP((RANK(S131,S$4:S$182)+2),T$4:T130,1,0)),(RANK(S131,S$4:S$182)+2),(RANK(S131,S$4:S$182)+3))))</f>
        <v>87</v>
      </c>
      <c r="U131" t="str">
        <f t="shared" si="11"/>
        <v/>
      </c>
    </row>
    <row r="132" spans="1:21" ht="12.75" customHeight="1">
      <c r="A132" s="33">
        <f>ESPNData!AX135</f>
        <v>0</v>
      </c>
      <c r="B132" s="33" t="str">
        <f t="shared" ref="B132:B163" si="12">IF(OR((A132=""),(A132=0)),"",IF(ISERROR(FIND("*",A132)),LEFT(A132,(FIND(",",A132)-1)),LEFT(A132,(FIND("*",A132)-1))))</f>
        <v/>
      </c>
      <c r="C132" s="64" t="e">
        <f t="shared" ref="C132:C163" si="13">IF((A132=""),"",UPPER(RIGHT(LEFT(A132,(FIND("TE",A132)-2)),(LEN(LEFT(A132,(FIND("TE",A132)-2)))-(FIND(",",LEFT(A132,(FIND("TE",A132)-2)))+1)))))</f>
        <v>#VALUE!</v>
      </c>
      <c r="D132" s="117" t="str">
        <f>IF(ISERROR(VLOOKUP($B132,FFTodayData!$AN:$AT,4,0)),"",VLOOKUP($B132,FFTodayData!$AN:$AT,4,0))</f>
        <v/>
      </c>
      <c r="E132" s="33" t="str">
        <f>IF(ISERROR(VLOOKUP($B132,FFTodayData!$AN:$AT,5,0)),"",VLOOKUP($B132,FFTodayData!$AN:$AT,5,0))</f>
        <v/>
      </c>
      <c r="F132" s="64" t="str">
        <f>IF(ISERROR(VLOOKUP($B132,FFTodayData!$AN:$AT,6,0)),"",VLOOKUP($B132,FFTodayData!$AN:$AT,6,0))</f>
        <v/>
      </c>
      <c r="G132" s="117" t="str">
        <f>IF(ISERROR(VLOOKUP($A132,ESPNData!$AX:$BK,11,0)),"",VLOOKUP($A132,ESPNData!$AX:$BK,11,0))</f>
        <v/>
      </c>
      <c r="H132" s="33" t="str">
        <f>IF(ISERROR(VLOOKUP($A132,ESPNData!$AX:$BK,12,0)),"",VLOOKUP($A132,ESPNData!$AX:$BK,12,0))</f>
        <v/>
      </c>
      <c r="I132" s="64" t="str">
        <f>IF(ISERROR(VLOOKUP($A132,ESPNData!$AX:$BK,13,0)),"",VLOOKUP($A132,ESPNData!$AX:$BK,13,0))</f>
        <v/>
      </c>
      <c r="J132" s="117" t="str">
        <f>IF(ISERROR(VLOOKUP($B132,SportslineData!$AM:$AT,3,0)),"",ROUND(VLOOKUP($B132,SportslineData!$AM:$AT,3,0),0))</f>
        <v/>
      </c>
      <c r="K132" s="33" t="str">
        <f>IF(ISERROR(VLOOKUP($B132,SportslineData!$AM:$AT,4,0)),"",VLOOKUP($B132,SportslineData!$AM:$AT,4,0))</f>
        <v/>
      </c>
      <c r="L132" s="33" t="str">
        <f>IF(ISERROR(VLOOKUP($B132,SportslineData!$AM:$AT,6,0)),"",ROUND(VLOOKUP($B132,SportslineData!$AM:$AT,6,0),0))</f>
        <v/>
      </c>
      <c r="M132" s="64" t="str">
        <f>IF(ISERROR(VLOOKUP($B132,SportslineData!$AM:$AT,7,0)),"",ROUND(VLOOKUP($B132,SportslineData!$AM:$AT,7,0),0))</f>
        <v/>
      </c>
      <c r="N132" s="117"/>
      <c r="O132" s="33"/>
      <c r="P132" s="38">
        <f>IF(ISERROR(ROUND((((ROUNDDOWN((E132/5),0)*Settings!$F$11)+(D132*Settings!$I$11))+(F132*Settings!$F$12)),1)),0,ROUND((((ROUNDDOWN((E132/5),0)*Settings!$F$11)+(D132*Settings!$I$11))+(F132*Settings!$F$12)),1))</f>
        <v>0</v>
      </c>
      <c r="Q132" s="38">
        <f>IF(ISERROR(ROUND((((ROUNDDOWN((H132/5),0)*Settings!$F$11)+(G132*Settings!$I$11))+(I132*Settings!$F$12)),1)),0,ROUND((((ROUNDDOWN((H132/5),0)*Settings!$F$11)+(G132*Settings!$I$11))+(I132*Settings!$F$12)),1))</f>
        <v>0</v>
      </c>
      <c r="R132" s="38">
        <f>IF((J132=""),0,((((J132*Settings!$I$11)+(ROUND((K132/5),0)*Settings!$F$11))+(L132*Settings!$F$12))+(M132*Settings!$F$15)))</f>
        <v>0</v>
      </c>
      <c r="S132" s="66">
        <f>ROUND((((P132*Settings!$B$21)+(Q132*Settings!$B$22))+(R132*Settings!$B$23)),1)</f>
        <v>0</v>
      </c>
      <c r="T132" s="66">
        <f>IF(ISERROR(VLOOKUP(RANK(S132,S$4:S$182),T$4:T131,1,0)),RANK(S132,S$4:S$182),IF(ISERROR(VLOOKUP((RANK(S132,S$4:S$182)+1),T$4:T131,1,0)),(RANK(S132,S$4:S$182)+1),IF(ISERROR(VLOOKUP((RANK(S132,S$4:S$182)+2),T$4:T131,1,0)),(RANK(S132,S$4:S$182)+2),(RANK(S132,S$4:S$182)+3))))</f>
        <v>87</v>
      </c>
      <c r="U132" t="str">
        <f t="shared" ref="U132:U163" si="14">B132</f>
        <v/>
      </c>
    </row>
    <row r="133" spans="1:21" ht="12.75" customHeight="1">
      <c r="A133" s="33">
        <f>ESPNData!AX136</f>
        <v>0</v>
      </c>
      <c r="B133" s="33" t="str">
        <f t="shared" si="12"/>
        <v/>
      </c>
      <c r="C133" s="64" t="e">
        <f t="shared" si="13"/>
        <v>#VALUE!</v>
      </c>
      <c r="D133" s="117" t="str">
        <f>IF(ISERROR(VLOOKUP($B133,FFTodayData!$AN:$AT,4,0)),"",VLOOKUP($B133,FFTodayData!$AN:$AT,4,0))</f>
        <v/>
      </c>
      <c r="E133" s="33" t="str">
        <f>IF(ISERROR(VLOOKUP($B133,FFTodayData!$AN:$AT,5,0)),"",VLOOKUP($B133,FFTodayData!$AN:$AT,5,0))</f>
        <v/>
      </c>
      <c r="F133" s="64" t="str">
        <f>IF(ISERROR(VLOOKUP($B133,FFTodayData!$AN:$AT,6,0)),"",VLOOKUP($B133,FFTodayData!$AN:$AT,6,0))</f>
        <v/>
      </c>
      <c r="G133" s="117" t="str">
        <f>IF(ISERROR(VLOOKUP($A133,ESPNData!$AX:$BK,11,0)),"",VLOOKUP($A133,ESPNData!$AX:$BK,11,0))</f>
        <v/>
      </c>
      <c r="H133" s="33" t="str">
        <f>IF(ISERROR(VLOOKUP($A133,ESPNData!$AX:$BK,12,0)),"",VLOOKUP($A133,ESPNData!$AX:$BK,12,0))</f>
        <v/>
      </c>
      <c r="I133" s="64" t="str">
        <f>IF(ISERROR(VLOOKUP($A133,ESPNData!$AX:$BK,13,0)),"",VLOOKUP($A133,ESPNData!$AX:$BK,13,0))</f>
        <v/>
      </c>
      <c r="J133" s="117" t="str">
        <f>IF(ISERROR(VLOOKUP($B133,SportslineData!$AM:$AT,3,0)),"",ROUND(VLOOKUP($B133,SportslineData!$AM:$AT,3,0),0))</f>
        <v/>
      </c>
      <c r="K133" s="33" t="str">
        <f>IF(ISERROR(VLOOKUP($B133,SportslineData!$AM:$AT,4,0)),"",VLOOKUP($B133,SportslineData!$AM:$AT,4,0))</f>
        <v/>
      </c>
      <c r="L133" s="33" t="str">
        <f>IF(ISERROR(VLOOKUP($B133,SportslineData!$AM:$AT,6,0)),"",ROUND(VLOOKUP($B133,SportslineData!$AM:$AT,6,0),0))</f>
        <v/>
      </c>
      <c r="M133" s="64" t="str">
        <f>IF(ISERROR(VLOOKUP($B133,SportslineData!$AM:$AT,7,0)),"",ROUND(VLOOKUP($B133,SportslineData!$AM:$AT,7,0),0))</f>
        <v/>
      </c>
      <c r="N133" s="117"/>
      <c r="O133" s="33"/>
      <c r="P133" s="38">
        <f>IF(ISERROR(ROUND((((ROUNDDOWN((E133/5),0)*Settings!$F$11)+(D133*Settings!$I$11))+(F133*Settings!$F$12)),1)),0,ROUND((((ROUNDDOWN((E133/5),0)*Settings!$F$11)+(D133*Settings!$I$11))+(F133*Settings!$F$12)),1))</f>
        <v>0</v>
      </c>
      <c r="Q133" s="38">
        <f>IF(ISERROR(ROUND((((ROUNDDOWN((H133/5),0)*Settings!$F$11)+(G133*Settings!$I$11))+(I133*Settings!$F$12)),1)),0,ROUND((((ROUNDDOWN((H133/5),0)*Settings!$F$11)+(G133*Settings!$I$11))+(I133*Settings!$F$12)),1))</f>
        <v>0</v>
      </c>
      <c r="R133" s="38">
        <f>IF((J133=""),0,((((J133*Settings!$I$11)+(ROUND((K133/5),0)*Settings!$F$11))+(L133*Settings!$F$12))+(M133*Settings!$F$15)))</f>
        <v>0</v>
      </c>
      <c r="S133" s="66">
        <f>ROUND((((P133*Settings!$B$21)+(Q133*Settings!$B$22))+(R133*Settings!$B$23)),1)</f>
        <v>0</v>
      </c>
      <c r="T133" s="66">
        <f>IF(ISERROR(VLOOKUP(RANK(S133,S$4:S$182),T$4:T132,1,0)),RANK(S133,S$4:S$182),IF(ISERROR(VLOOKUP((RANK(S133,S$4:S$182)+1),T$4:T132,1,0)),(RANK(S133,S$4:S$182)+1),IF(ISERROR(VLOOKUP((RANK(S133,S$4:S$182)+2),T$4:T132,1,0)),(RANK(S133,S$4:S$182)+2),(RANK(S133,S$4:S$182)+3))))</f>
        <v>87</v>
      </c>
      <c r="U133" t="str">
        <f t="shared" si="14"/>
        <v/>
      </c>
    </row>
    <row r="134" spans="1:21" ht="12.75" customHeight="1">
      <c r="A134" s="33">
        <f>ESPNData!AX137</f>
        <v>0</v>
      </c>
      <c r="B134" s="33" t="str">
        <f t="shared" si="12"/>
        <v/>
      </c>
      <c r="C134" s="64" t="e">
        <f t="shared" si="13"/>
        <v>#VALUE!</v>
      </c>
      <c r="D134" s="117" t="str">
        <f>IF(ISERROR(VLOOKUP($B134,FFTodayData!$AN:$AT,4,0)),"",VLOOKUP($B134,FFTodayData!$AN:$AT,4,0))</f>
        <v/>
      </c>
      <c r="E134" s="33" t="str">
        <f>IF(ISERROR(VLOOKUP($B134,FFTodayData!$AN:$AT,5,0)),"",VLOOKUP($B134,FFTodayData!$AN:$AT,5,0))</f>
        <v/>
      </c>
      <c r="F134" s="64" t="str">
        <f>IF(ISERROR(VLOOKUP($B134,FFTodayData!$AN:$AT,6,0)),"",VLOOKUP($B134,FFTodayData!$AN:$AT,6,0))</f>
        <v/>
      </c>
      <c r="G134" s="117" t="str">
        <f>IF(ISERROR(VLOOKUP($A134,ESPNData!$AX:$BK,11,0)),"",VLOOKUP($A134,ESPNData!$AX:$BK,11,0))</f>
        <v/>
      </c>
      <c r="H134" s="33" t="str">
        <f>IF(ISERROR(VLOOKUP($A134,ESPNData!$AX:$BK,12,0)),"",VLOOKUP($A134,ESPNData!$AX:$BK,12,0))</f>
        <v/>
      </c>
      <c r="I134" s="64" t="str">
        <f>IF(ISERROR(VLOOKUP($A134,ESPNData!$AX:$BK,13,0)),"",VLOOKUP($A134,ESPNData!$AX:$BK,13,0))</f>
        <v/>
      </c>
      <c r="J134" s="117" t="str">
        <f>IF(ISERROR(VLOOKUP($B134,SportslineData!$AM:$AT,3,0)),"",ROUND(VLOOKUP($B134,SportslineData!$AM:$AT,3,0),0))</f>
        <v/>
      </c>
      <c r="K134" s="33" t="str">
        <f>IF(ISERROR(VLOOKUP($B134,SportslineData!$AM:$AT,4,0)),"",VLOOKUP($B134,SportslineData!$AM:$AT,4,0))</f>
        <v/>
      </c>
      <c r="L134" s="33" t="str">
        <f>IF(ISERROR(VLOOKUP($B134,SportslineData!$AM:$AT,6,0)),"",ROUND(VLOOKUP($B134,SportslineData!$AM:$AT,6,0),0))</f>
        <v/>
      </c>
      <c r="M134" s="64" t="str">
        <f>IF(ISERROR(VLOOKUP($B134,SportslineData!$AM:$AT,7,0)),"",ROUND(VLOOKUP($B134,SportslineData!$AM:$AT,7,0),0))</f>
        <v/>
      </c>
      <c r="N134" s="117"/>
      <c r="O134" s="33"/>
      <c r="P134" s="38">
        <f>IF(ISERROR(ROUND((((ROUNDDOWN((E134/5),0)*Settings!$F$11)+(D134*Settings!$I$11))+(F134*Settings!$F$12)),1)),0,ROUND((((ROUNDDOWN((E134/5),0)*Settings!$F$11)+(D134*Settings!$I$11))+(F134*Settings!$F$12)),1))</f>
        <v>0</v>
      </c>
      <c r="Q134" s="38">
        <f>IF(ISERROR(ROUND((((ROUNDDOWN((H134/5),0)*Settings!$F$11)+(G134*Settings!$I$11))+(I134*Settings!$F$12)),1)),0,ROUND((((ROUNDDOWN((H134/5),0)*Settings!$F$11)+(G134*Settings!$I$11))+(I134*Settings!$F$12)),1))</f>
        <v>0</v>
      </c>
      <c r="R134" s="38">
        <f>IF((J134=""),0,((((J134*Settings!$I$11)+(ROUND((K134/5),0)*Settings!$F$11))+(L134*Settings!$F$12))+(M134*Settings!$F$15)))</f>
        <v>0</v>
      </c>
      <c r="S134" s="66">
        <f>ROUND((((P134*Settings!$B$21)+(Q134*Settings!$B$22))+(R134*Settings!$B$23)),1)</f>
        <v>0</v>
      </c>
      <c r="T134" s="66">
        <f>IF(ISERROR(VLOOKUP(RANK(S134,S$4:S$182),T$4:T133,1,0)),RANK(S134,S$4:S$182),IF(ISERROR(VLOOKUP((RANK(S134,S$4:S$182)+1),T$4:T133,1,0)),(RANK(S134,S$4:S$182)+1),IF(ISERROR(VLOOKUP((RANK(S134,S$4:S$182)+2),T$4:T133,1,0)),(RANK(S134,S$4:S$182)+2),(RANK(S134,S$4:S$182)+3))))</f>
        <v>87</v>
      </c>
      <c r="U134" t="str">
        <f t="shared" si="14"/>
        <v/>
      </c>
    </row>
    <row r="135" spans="1:21" ht="12.75" customHeight="1">
      <c r="A135" s="33">
        <f>ESPNData!AX138</f>
        <v>0</v>
      </c>
      <c r="B135" s="33" t="str">
        <f t="shared" si="12"/>
        <v/>
      </c>
      <c r="C135" s="64" t="e">
        <f t="shared" si="13"/>
        <v>#VALUE!</v>
      </c>
      <c r="D135" s="117" t="str">
        <f>IF(ISERROR(VLOOKUP($B135,FFTodayData!$AN:$AT,4,0)),"",VLOOKUP($B135,FFTodayData!$AN:$AT,4,0))</f>
        <v/>
      </c>
      <c r="E135" s="33" t="str">
        <f>IF(ISERROR(VLOOKUP($B135,FFTodayData!$AN:$AT,5,0)),"",VLOOKUP($B135,FFTodayData!$AN:$AT,5,0))</f>
        <v/>
      </c>
      <c r="F135" s="64" t="str">
        <f>IF(ISERROR(VLOOKUP($B135,FFTodayData!$AN:$AT,6,0)),"",VLOOKUP($B135,FFTodayData!$AN:$AT,6,0))</f>
        <v/>
      </c>
      <c r="G135" s="117" t="str">
        <f>IF(ISERROR(VLOOKUP($A135,ESPNData!$AX:$BK,11,0)),"",VLOOKUP($A135,ESPNData!$AX:$BK,11,0))</f>
        <v/>
      </c>
      <c r="H135" s="33" t="str">
        <f>IF(ISERROR(VLOOKUP($A135,ESPNData!$AX:$BK,12,0)),"",VLOOKUP($A135,ESPNData!$AX:$BK,12,0))</f>
        <v/>
      </c>
      <c r="I135" s="64" t="str">
        <f>IF(ISERROR(VLOOKUP($A135,ESPNData!$AX:$BK,13,0)),"",VLOOKUP($A135,ESPNData!$AX:$BK,13,0))</f>
        <v/>
      </c>
      <c r="J135" s="117" t="str">
        <f>IF(ISERROR(VLOOKUP($B135,SportslineData!$AM:$AT,3,0)),"",ROUND(VLOOKUP($B135,SportslineData!$AM:$AT,3,0),0))</f>
        <v/>
      </c>
      <c r="K135" s="33" t="str">
        <f>IF(ISERROR(VLOOKUP($B135,SportslineData!$AM:$AT,4,0)),"",VLOOKUP($B135,SportslineData!$AM:$AT,4,0))</f>
        <v/>
      </c>
      <c r="L135" s="33" t="str">
        <f>IF(ISERROR(VLOOKUP($B135,SportslineData!$AM:$AT,6,0)),"",ROUND(VLOOKUP($B135,SportslineData!$AM:$AT,6,0),0))</f>
        <v/>
      </c>
      <c r="M135" s="64" t="str">
        <f>IF(ISERROR(VLOOKUP($B135,SportslineData!$AM:$AT,7,0)),"",ROUND(VLOOKUP($B135,SportslineData!$AM:$AT,7,0),0))</f>
        <v/>
      </c>
      <c r="N135" s="117"/>
      <c r="O135" s="33"/>
      <c r="P135" s="38">
        <f>IF(ISERROR(ROUND((((ROUNDDOWN((E135/5),0)*Settings!$F$11)+(D135*Settings!$I$11))+(F135*Settings!$F$12)),1)),0,ROUND((((ROUNDDOWN((E135/5),0)*Settings!$F$11)+(D135*Settings!$I$11))+(F135*Settings!$F$12)),1))</f>
        <v>0</v>
      </c>
      <c r="Q135" s="38">
        <f>IF(ISERROR(ROUND((((ROUNDDOWN((H135/5),0)*Settings!$F$11)+(G135*Settings!$I$11))+(I135*Settings!$F$12)),1)),0,ROUND((((ROUNDDOWN((H135/5),0)*Settings!$F$11)+(G135*Settings!$I$11))+(I135*Settings!$F$12)),1))</f>
        <v>0</v>
      </c>
      <c r="R135" s="38">
        <f>IF((J135=""),0,((((J135*Settings!$I$11)+(ROUND((K135/5),0)*Settings!$F$11))+(L135*Settings!$F$12))+(M135*Settings!$F$15)))</f>
        <v>0</v>
      </c>
      <c r="S135" s="66">
        <f>ROUND((((P135*Settings!$B$21)+(Q135*Settings!$B$22))+(R135*Settings!$B$23)),1)</f>
        <v>0</v>
      </c>
      <c r="T135" s="66">
        <f>IF(ISERROR(VLOOKUP(RANK(S135,S$4:S$182),T$4:T134,1,0)),RANK(S135,S$4:S$182),IF(ISERROR(VLOOKUP((RANK(S135,S$4:S$182)+1),T$4:T134,1,0)),(RANK(S135,S$4:S$182)+1),IF(ISERROR(VLOOKUP((RANK(S135,S$4:S$182)+2),T$4:T134,1,0)),(RANK(S135,S$4:S$182)+2),(RANK(S135,S$4:S$182)+3))))</f>
        <v>87</v>
      </c>
      <c r="U135" t="str">
        <f t="shared" si="14"/>
        <v/>
      </c>
    </row>
    <row r="136" spans="1:21" ht="12.75" customHeight="1">
      <c r="A136" s="33">
        <f>ESPNData!AX139</f>
        <v>0</v>
      </c>
      <c r="B136" s="33" t="str">
        <f t="shared" si="12"/>
        <v/>
      </c>
      <c r="C136" s="64" t="e">
        <f t="shared" si="13"/>
        <v>#VALUE!</v>
      </c>
      <c r="D136" s="117" t="str">
        <f>IF(ISERROR(VLOOKUP($B136,FFTodayData!$AN:$AT,4,0)),"",VLOOKUP($B136,FFTodayData!$AN:$AT,4,0))</f>
        <v/>
      </c>
      <c r="E136" s="33" t="str">
        <f>IF(ISERROR(VLOOKUP($B136,FFTodayData!$AN:$AT,5,0)),"",VLOOKUP($B136,FFTodayData!$AN:$AT,5,0))</f>
        <v/>
      </c>
      <c r="F136" s="64" t="str">
        <f>IF(ISERROR(VLOOKUP($B136,FFTodayData!$AN:$AT,6,0)),"",VLOOKUP($B136,FFTodayData!$AN:$AT,6,0))</f>
        <v/>
      </c>
      <c r="G136" s="117" t="str">
        <f>IF(ISERROR(VLOOKUP($A136,ESPNData!$AX:$BK,11,0)),"",VLOOKUP($A136,ESPNData!$AX:$BK,11,0))</f>
        <v/>
      </c>
      <c r="H136" s="33" t="str">
        <f>IF(ISERROR(VLOOKUP($A136,ESPNData!$AX:$BK,12,0)),"",VLOOKUP($A136,ESPNData!$AX:$BK,12,0))</f>
        <v/>
      </c>
      <c r="I136" s="64" t="str">
        <f>IF(ISERROR(VLOOKUP($A136,ESPNData!$AX:$BK,13,0)),"",VLOOKUP($A136,ESPNData!$AX:$BK,13,0))</f>
        <v/>
      </c>
      <c r="J136" s="117" t="str">
        <f>IF(ISERROR(VLOOKUP($B136,SportslineData!$AM:$AT,3,0)),"",ROUND(VLOOKUP($B136,SportslineData!$AM:$AT,3,0),0))</f>
        <v/>
      </c>
      <c r="K136" s="33" t="str">
        <f>IF(ISERROR(VLOOKUP($B136,SportslineData!$AM:$AT,4,0)),"",VLOOKUP($B136,SportslineData!$AM:$AT,4,0))</f>
        <v/>
      </c>
      <c r="L136" s="33" t="str">
        <f>IF(ISERROR(VLOOKUP($B136,SportslineData!$AM:$AT,6,0)),"",ROUND(VLOOKUP($B136,SportslineData!$AM:$AT,6,0),0))</f>
        <v/>
      </c>
      <c r="M136" s="64" t="str">
        <f>IF(ISERROR(VLOOKUP($B136,SportslineData!$AM:$AT,7,0)),"",ROUND(VLOOKUP($B136,SportslineData!$AM:$AT,7,0),0))</f>
        <v/>
      </c>
      <c r="N136" s="117"/>
      <c r="O136" s="33"/>
      <c r="P136" s="38">
        <f>IF(ISERROR(ROUND((((ROUNDDOWN((E136/5),0)*Settings!$F$11)+(D136*Settings!$I$11))+(F136*Settings!$F$12)),1)),0,ROUND((((ROUNDDOWN((E136/5),0)*Settings!$F$11)+(D136*Settings!$I$11))+(F136*Settings!$F$12)),1))</f>
        <v>0</v>
      </c>
      <c r="Q136" s="38">
        <f>IF(ISERROR(ROUND((((ROUNDDOWN((H136/5),0)*Settings!$F$11)+(G136*Settings!$I$11))+(I136*Settings!$F$12)),1)),0,ROUND((((ROUNDDOWN((H136/5),0)*Settings!$F$11)+(G136*Settings!$I$11))+(I136*Settings!$F$12)),1))</f>
        <v>0</v>
      </c>
      <c r="R136" s="38">
        <f>IF((J136=""),0,((((J136*Settings!$I$11)+(ROUND((K136/5),0)*Settings!$F$11))+(L136*Settings!$F$12))+(M136*Settings!$F$15)))</f>
        <v>0</v>
      </c>
      <c r="S136" s="66">
        <f>ROUND((((P136*Settings!$B$21)+(Q136*Settings!$B$22))+(R136*Settings!$B$23)),1)</f>
        <v>0</v>
      </c>
      <c r="T136" s="66">
        <f>IF(ISERROR(VLOOKUP(RANK(S136,S$4:S$182),T$4:T135,1,0)),RANK(S136,S$4:S$182),IF(ISERROR(VLOOKUP((RANK(S136,S$4:S$182)+1),T$4:T135,1,0)),(RANK(S136,S$4:S$182)+1),IF(ISERROR(VLOOKUP((RANK(S136,S$4:S$182)+2),T$4:T135,1,0)),(RANK(S136,S$4:S$182)+2),(RANK(S136,S$4:S$182)+3))))</f>
        <v>87</v>
      </c>
      <c r="U136" t="str">
        <f t="shared" si="14"/>
        <v/>
      </c>
    </row>
    <row r="137" spans="1:21" ht="12.75" customHeight="1">
      <c r="A137" s="33">
        <f>ESPNData!AX140</f>
        <v>0</v>
      </c>
      <c r="B137" s="33" t="str">
        <f t="shared" si="12"/>
        <v/>
      </c>
      <c r="C137" s="64" t="e">
        <f t="shared" si="13"/>
        <v>#VALUE!</v>
      </c>
      <c r="D137" s="117" t="str">
        <f>IF(ISERROR(VLOOKUP($B137,FFTodayData!$AN:$AT,4,0)),"",VLOOKUP($B137,FFTodayData!$AN:$AT,4,0))</f>
        <v/>
      </c>
      <c r="E137" s="33" t="str">
        <f>IF(ISERROR(VLOOKUP($B137,FFTodayData!$AN:$AT,5,0)),"",VLOOKUP($B137,FFTodayData!$AN:$AT,5,0))</f>
        <v/>
      </c>
      <c r="F137" s="64" t="str">
        <f>IF(ISERROR(VLOOKUP($B137,FFTodayData!$AN:$AT,6,0)),"",VLOOKUP($B137,FFTodayData!$AN:$AT,6,0))</f>
        <v/>
      </c>
      <c r="G137" s="117" t="str">
        <f>IF(ISERROR(VLOOKUP($A137,ESPNData!$AX:$BK,11,0)),"",VLOOKUP($A137,ESPNData!$AX:$BK,11,0))</f>
        <v/>
      </c>
      <c r="H137" s="33" t="str">
        <f>IF(ISERROR(VLOOKUP($A137,ESPNData!$AX:$BK,12,0)),"",VLOOKUP($A137,ESPNData!$AX:$BK,12,0))</f>
        <v/>
      </c>
      <c r="I137" s="64" t="str">
        <f>IF(ISERROR(VLOOKUP($A137,ESPNData!$AX:$BK,13,0)),"",VLOOKUP($A137,ESPNData!$AX:$BK,13,0))</f>
        <v/>
      </c>
      <c r="J137" s="117" t="str">
        <f>IF(ISERROR(VLOOKUP($B137,SportslineData!$AM:$AT,3,0)),"",ROUND(VLOOKUP($B137,SportslineData!$AM:$AT,3,0),0))</f>
        <v/>
      </c>
      <c r="K137" s="33" t="str">
        <f>IF(ISERROR(VLOOKUP($B137,SportslineData!$AM:$AT,4,0)),"",VLOOKUP($B137,SportslineData!$AM:$AT,4,0))</f>
        <v/>
      </c>
      <c r="L137" s="33" t="str">
        <f>IF(ISERROR(VLOOKUP($B137,SportslineData!$AM:$AT,6,0)),"",ROUND(VLOOKUP($B137,SportslineData!$AM:$AT,6,0),0))</f>
        <v/>
      </c>
      <c r="M137" s="64" t="str">
        <f>IF(ISERROR(VLOOKUP($B137,SportslineData!$AM:$AT,7,0)),"",ROUND(VLOOKUP($B137,SportslineData!$AM:$AT,7,0),0))</f>
        <v/>
      </c>
      <c r="N137" s="117"/>
      <c r="O137" s="33"/>
      <c r="P137" s="38">
        <f>IF(ISERROR(ROUND((((ROUNDDOWN((E137/5),0)*Settings!$F$11)+(D137*Settings!$I$11))+(F137*Settings!$F$12)),1)),0,ROUND((((ROUNDDOWN((E137/5),0)*Settings!$F$11)+(D137*Settings!$I$11))+(F137*Settings!$F$12)),1))</f>
        <v>0</v>
      </c>
      <c r="Q137" s="38">
        <f>IF(ISERROR(ROUND((((ROUNDDOWN((H137/5),0)*Settings!$F$11)+(G137*Settings!$I$11))+(I137*Settings!$F$12)),1)),0,ROUND((((ROUNDDOWN((H137/5),0)*Settings!$F$11)+(G137*Settings!$I$11))+(I137*Settings!$F$12)),1))</f>
        <v>0</v>
      </c>
      <c r="R137" s="38">
        <f>IF((J137=""),0,((((J137*Settings!$I$11)+(ROUND((K137/5),0)*Settings!$F$11))+(L137*Settings!$F$12))+(M137*Settings!$F$15)))</f>
        <v>0</v>
      </c>
      <c r="S137" s="66">
        <f>ROUND((((P137*Settings!$B$21)+(Q137*Settings!$B$22))+(R137*Settings!$B$23)),1)</f>
        <v>0</v>
      </c>
      <c r="T137" s="66">
        <f>IF(ISERROR(VLOOKUP(RANK(S137,S$4:S$182),T$4:T136,1,0)),RANK(S137,S$4:S$182),IF(ISERROR(VLOOKUP((RANK(S137,S$4:S$182)+1),T$4:T136,1,0)),(RANK(S137,S$4:S$182)+1),IF(ISERROR(VLOOKUP((RANK(S137,S$4:S$182)+2),T$4:T136,1,0)),(RANK(S137,S$4:S$182)+2),(RANK(S137,S$4:S$182)+3))))</f>
        <v>87</v>
      </c>
      <c r="U137" t="str">
        <f t="shared" si="14"/>
        <v/>
      </c>
    </row>
    <row r="138" spans="1:21" ht="12.75" customHeight="1">
      <c r="A138" s="33">
        <f>ESPNData!AX141</f>
        <v>0</v>
      </c>
      <c r="B138" s="33" t="str">
        <f t="shared" si="12"/>
        <v/>
      </c>
      <c r="C138" s="64" t="e">
        <f t="shared" si="13"/>
        <v>#VALUE!</v>
      </c>
      <c r="D138" s="117" t="str">
        <f>IF(ISERROR(VLOOKUP($B138,FFTodayData!$AN:$AT,4,0)),"",VLOOKUP($B138,FFTodayData!$AN:$AT,4,0))</f>
        <v/>
      </c>
      <c r="E138" s="33" t="str">
        <f>IF(ISERROR(VLOOKUP($B138,FFTodayData!$AN:$AT,5,0)),"",VLOOKUP($B138,FFTodayData!$AN:$AT,5,0))</f>
        <v/>
      </c>
      <c r="F138" s="64" t="str">
        <f>IF(ISERROR(VLOOKUP($B138,FFTodayData!$AN:$AT,6,0)),"",VLOOKUP($B138,FFTodayData!$AN:$AT,6,0))</f>
        <v/>
      </c>
      <c r="G138" s="117" t="str">
        <f>IF(ISERROR(VLOOKUP($A138,ESPNData!$AX:$BK,11,0)),"",VLOOKUP($A138,ESPNData!$AX:$BK,11,0))</f>
        <v/>
      </c>
      <c r="H138" s="33" t="str">
        <f>IF(ISERROR(VLOOKUP($A138,ESPNData!$AX:$BK,12,0)),"",VLOOKUP($A138,ESPNData!$AX:$BK,12,0))</f>
        <v/>
      </c>
      <c r="I138" s="64" t="str">
        <f>IF(ISERROR(VLOOKUP($A138,ESPNData!$AX:$BK,13,0)),"",VLOOKUP($A138,ESPNData!$AX:$BK,13,0))</f>
        <v/>
      </c>
      <c r="J138" s="117" t="str">
        <f>IF(ISERROR(VLOOKUP($B138,SportslineData!$AM:$AT,3,0)),"",ROUND(VLOOKUP($B138,SportslineData!$AM:$AT,3,0),0))</f>
        <v/>
      </c>
      <c r="K138" s="33" t="str">
        <f>IF(ISERROR(VLOOKUP($B138,SportslineData!$AM:$AT,4,0)),"",VLOOKUP($B138,SportslineData!$AM:$AT,4,0))</f>
        <v/>
      </c>
      <c r="L138" s="33" t="str">
        <f>IF(ISERROR(VLOOKUP($B138,SportslineData!$AM:$AT,6,0)),"",ROUND(VLOOKUP($B138,SportslineData!$AM:$AT,6,0),0))</f>
        <v/>
      </c>
      <c r="M138" s="64" t="str">
        <f>IF(ISERROR(VLOOKUP($B138,SportslineData!$AM:$AT,7,0)),"",ROUND(VLOOKUP($B138,SportslineData!$AM:$AT,7,0),0))</f>
        <v/>
      </c>
      <c r="N138" s="117"/>
      <c r="O138" s="33"/>
      <c r="P138" s="38">
        <f>IF(ISERROR(ROUND((((ROUNDDOWN((E138/5),0)*Settings!$F$11)+(D138*Settings!$I$11))+(F138*Settings!$F$12)),1)),0,ROUND((((ROUNDDOWN((E138/5),0)*Settings!$F$11)+(D138*Settings!$I$11))+(F138*Settings!$F$12)),1))</f>
        <v>0</v>
      </c>
      <c r="Q138" s="38">
        <f>IF(ISERROR(ROUND((((ROUNDDOWN((H138/5),0)*Settings!$F$11)+(G138*Settings!$I$11))+(I138*Settings!$F$12)),1)),0,ROUND((((ROUNDDOWN((H138/5),0)*Settings!$F$11)+(G138*Settings!$I$11))+(I138*Settings!$F$12)),1))</f>
        <v>0</v>
      </c>
      <c r="R138" s="38">
        <f>IF((J138=""),0,((((J138*Settings!$I$11)+(ROUND((K138/5),0)*Settings!$F$11))+(L138*Settings!$F$12))+(M138*Settings!$F$15)))</f>
        <v>0</v>
      </c>
      <c r="S138" s="66">
        <f>ROUND((((P138*Settings!$B$21)+(Q138*Settings!$B$22))+(R138*Settings!$B$23)),1)</f>
        <v>0</v>
      </c>
      <c r="T138" s="66">
        <f>IF(ISERROR(VLOOKUP(RANK(S138,S$4:S$182),T$4:T137,1,0)),RANK(S138,S$4:S$182),IF(ISERROR(VLOOKUP((RANK(S138,S$4:S$182)+1),T$4:T137,1,0)),(RANK(S138,S$4:S$182)+1),IF(ISERROR(VLOOKUP((RANK(S138,S$4:S$182)+2),T$4:T137,1,0)),(RANK(S138,S$4:S$182)+2),(RANK(S138,S$4:S$182)+3))))</f>
        <v>87</v>
      </c>
      <c r="U138" t="str">
        <f t="shared" si="14"/>
        <v/>
      </c>
    </row>
    <row r="139" spans="1:21" ht="12.75" customHeight="1">
      <c r="A139" s="33">
        <f>ESPNData!AX142</f>
        <v>0</v>
      </c>
      <c r="B139" s="33" t="str">
        <f t="shared" si="12"/>
        <v/>
      </c>
      <c r="C139" s="64" t="e">
        <f t="shared" si="13"/>
        <v>#VALUE!</v>
      </c>
      <c r="D139" s="117" t="str">
        <f>IF(ISERROR(VLOOKUP($B139,FFTodayData!$AN:$AT,4,0)),"",VLOOKUP($B139,FFTodayData!$AN:$AT,4,0))</f>
        <v/>
      </c>
      <c r="E139" s="33" t="str">
        <f>IF(ISERROR(VLOOKUP($B139,FFTodayData!$AN:$AT,5,0)),"",VLOOKUP($B139,FFTodayData!$AN:$AT,5,0))</f>
        <v/>
      </c>
      <c r="F139" s="64" t="str">
        <f>IF(ISERROR(VLOOKUP($B139,FFTodayData!$AN:$AT,6,0)),"",VLOOKUP($B139,FFTodayData!$AN:$AT,6,0))</f>
        <v/>
      </c>
      <c r="G139" s="117" t="str">
        <f>IF(ISERROR(VLOOKUP($A139,ESPNData!$AX:$BK,11,0)),"",VLOOKUP($A139,ESPNData!$AX:$BK,11,0))</f>
        <v/>
      </c>
      <c r="H139" s="33" t="str">
        <f>IF(ISERROR(VLOOKUP($A139,ESPNData!$AX:$BK,12,0)),"",VLOOKUP($A139,ESPNData!$AX:$BK,12,0))</f>
        <v/>
      </c>
      <c r="I139" s="64" t="str">
        <f>IF(ISERROR(VLOOKUP($A139,ESPNData!$AX:$BK,13,0)),"",VLOOKUP($A139,ESPNData!$AX:$BK,13,0))</f>
        <v/>
      </c>
      <c r="J139" s="117" t="str">
        <f>IF(ISERROR(VLOOKUP($B139,SportslineData!$AM:$AT,3,0)),"",ROUND(VLOOKUP($B139,SportslineData!$AM:$AT,3,0),0))</f>
        <v/>
      </c>
      <c r="K139" s="33" t="str">
        <f>IF(ISERROR(VLOOKUP($B139,SportslineData!$AM:$AT,4,0)),"",VLOOKUP($B139,SportslineData!$AM:$AT,4,0))</f>
        <v/>
      </c>
      <c r="L139" s="33" t="str">
        <f>IF(ISERROR(VLOOKUP($B139,SportslineData!$AM:$AT,6,0)),"",ROUND(VLOOKUP($B139,SportslineData!$AM:$AT,6,0),0))</f>
        <v/>
      </c>
      <c r="M139" s="64" t="str">
        <f>IF(ISERROR(VLOOKUP($B139,SportslineData!$AM:$AT,7,0)),"",ROUND(VLOOKUP($B139,SportslineData!$AM:$AT,7,0),0))</f>
        <v/>
      </c>
      <c r="N139" s="117"/>
      <c r="O139" s="33"/>
      <c r="P139" s="38">
        <f>IF(ISERROR(ROUND((((ROUNDDOWN((E139/5),0)*Settings!$F$11)+(D139*Settings!$I$11))+(F139*Settings!$F$12)),1)),0,ROUND((((ROUNDDOWN((E139/5),0)*Settings!$F$11)+(D139*Settings!$I$11))+(F139*Settings!$F$12)),1))</f>
        <v>0</v>
      </c>
      <c r="Q139" s="38">
        <f>IF(ISERROR(ROUND((((ROUNDDOWN((H139/5),0)*Settings!$F$11)+(G139*Settings!$I$11))+(I139*Settings!$F$12)),1)),0,ROUND((((ROUNDDOWN((H139/5),0)*Settings!$F$11)+(G139*Settings!$I$11))+(I139*Settings!$F$12)),1))</f>
        <v>0</v>
      </c>
      <c r="R139" s="38">
        <f>IF((J139=""),0,((((J139*Settings!$I$11)+(ROUND((K139/5),0)*Settings!$F$11))+(L139*Settings!$F$12))+(M139*Settings!$F$15)))</f>
        <v>0</v>
      </c>
      <c r="S139" s="66">
        <f>ROUND((((P139*Settings!$B$21)+(Q139*Settings!$B$22))+(R139*Settings!$B$23)),1)</f>
        <v>0</v>
      </c>
      <c r="T139" s="66">
        <f>IF(ISERROR(VLOOKUP(RANK(S139,S$4:S$182),T$4:T138,1,0)),RANK(S139,S$4:S$182),IF(ISERROR(VLOOKUP((RANK(S139,S$4:S$182)+1),T$4:T138,1,0)),(RANK(S139,S$4:S$182)+1),IF(ISERROR(VLOOKUP((RANK(S139,S$4:S$182)+2),T$4:T138,1,0)),(RANK(S139,S$4:S$182)+2),(RANK(S139,S$4:S$182)+3))))</f>
        <v>87</v>
      </c>
      <c r="U139" t="str">
        <f t="shared" si="14"/>
        <v/>
      </c>
    </row>
    <row r="140" spans="1:21" ht="12.75" customHeight="1">
      <c r="A140" s="33">
        <f>ESPNData!AX143</f>
        <v>0</v>
      </c>
      <c r="B140" s="33" t="str">
        <f t="shared" si="12"/>
        <v/>
      </c>
      <c r="C140" s="64" t="e">
        <f t="shared" si="13"/>
        <v>#VALUE!</v>
      </c>
      <c r="D140" s="117" t="str">
        <f>IF(ISERROR(VLOOKUP($B140,FFTodayData!$AN:$AT,4,0)),"",VLOOKUP($B140,FFTodayData!$AN:$AT,4,0))</f>
        <v/>
      </c>
      <c r="E140" s="33" t="str">
        <f>IF(ISERROR(VLOOKUP($B140,FFTodayData!$AN:$AT,5,0)),"",VLOOKUP($B140,FFTodayData!$AN:$AT,5,0))</f>
        <v/>
      </c>
      <c r="F140" s="64" t="str">
        <f>IF(ISERROR(VLOOKUP($B140,FFTodayData!$AN:$AT,6,0)),"",VLOOKUP($B140,FFTodayData!$AN:$AT,6,0))</f>
        <v/>
      </c>
      <c r="G140" s="117" t="str">
        <f>IF(ISERROR(VLOOKUP($A140,ESPNData!$AX:$BK,11,0)),"",VLOOKUP($A140,ESPNData!$AX:$BK,11,0))</f>
        <v/>
      </c>
      <c r="H140" s="33" t="str">
        <f>IF(ISERROR(VLOOKUP($A140,ESPNData!$AX:$BK,12,0)),"",VLOOKUP($A140,ESPNData!$AX:$BK,12,0))</f>
        <v/>
      </c>
      <c r="I140" s="64" t="str">
        <f>IF(ISERROR(VLOOKUP($A140,ESPNData!$AX:$BK,13,0)),"",VLOOKUP($A140,ESPNData!$AX:$BK,13,0))</f>
        <v/>
      </c>
      <c r="J140" s="117" t="str">
        <f>IF(ISERROR(VLOOKUP($B140,SportslineData!$AM:$AT,3,0)),"",ROUND(VLOOKUP($B140,SportslineData!$AM:$AT,3,0),0))</f>
        <v/>
      </c>
      <c r="K140" s="33" t="str">
        <f>IF(ISERROR(VLOOKUP($B140,SportslineData!$AM:$AT,4,0)),"",VLOOKUP($B140,SportslineData!$AM:$AT,4,0))</f>
        <v/>
      </c>
      <c r="L140" s="33" t="str">
        <f>IF(ISERROR(VLOOKUP($B140,SportslineData!$AM:$AT,6,0)),"",ROUND(VLOOKUP($B140,SportslineData!$AM:$AT,6,0),0))</f>
        <v/>
      </c>
      <c r="M140" s="64" t="str">
        <f>IF(ISERROR(VLOOKUP($B140,SportslineData!$AM:$AT,7,0)),"",ROUND(VLOOKUP($B140,SportslineData!$AM:$AT,7,0),0))</f>
        <v/>
      </c>
      <c r="N140" s="117"/>
      <c r="O140" s="33"/>
      <c r="P140" s="38">
        <f>IF(ISERROR(ROUND((((ROUNDDOWN((E140/5),0)*Settings!$F$11)+(D140*Settings!$I$11))+(F140*Settings!$F$12)),1)),0,ROUND((((ROUNDDOWN((E140/5),0)*Settings!$F$11)+(D140*Settings!$I$11))+(F140*Settings!$F$12)),1))</f>
        <v>0</v>
      </c>
      <c r="Q140" s="38">
        <f>IF(ISERROR(ROUND((((ROUNDDOWN((H140/5),0)*Settings!$F$11)+(G140*Settings!$I$11))+(I140*Settings!$F$12)),1)),0,ROUND((((ROUNDDOWN((H140/5),0)*Settings!$F$11)+(G140*Settings!$I$11))+(I140*Settings!$F$12)),1))</f>
        <v>0</v>
      </c>
      <c r="R140" s="38">
        <f>IF((J140=""),0,((((J140*Settings!$I$11)+(ROUND((K140/5),0)*Settings!$F$11))+(L140*Settings!$F$12))+(M140*Settings!$F$15)))</f>
        <v>0</v>
      </c>
      <c r="S140" s="66">
        <f>ROUND((((P140*Settings!$B$21)+(Q140*Settings!$B$22))+(R140*Settings!$B$23)),1)</f>
        <v>0</v>
      </c>
      <c r="T140" s="66">
        <f>IF(ISERROR(VLOOKUP(RANK(S140,S$4:S$182),T$4:T139,1,0)),RANK(S140,S$4:S$182),IF(ISERROR(VLOOKUP((RANK(S140,S$4:S$182)+1),T$4:T139,1,0)),(RANK(S140,S$4:S$182)+1),IF(ISERROR(VLOOKUP((RANK(S140,S$4:S$182)+2),T$4:T139,1,0)),(RANK(S140,S$4:S$182)+2),(RANK(S140,S$4:S$182)+3))))</f>
        <v>87</v>
      </c>
      <c r="U140" t="str">
        <f t="shared" si="14"/>
        <v/>
      </c>
    </row>
    <row r="141" spans="1:21" ht="12.75" customHeight="1">
      <c r="A141" s="33">
        <f>ESPNData!AX144</f>
        <v>0</v>
      </c>
      <c r="B141" s="33" t="str">
        <f t="shared" si="12"/>
        <v/>
      </c>
      <c r="C141" s="64" t="e">
        <f t="shared" si="13"/>
        <v>#VALUE!</v>
      </c>
      <c r="D141" s="117" t="str">
        <f>IF(ISERROR(VLOOKUP($B141,FFTodayData!$AN:$AT,4,0)),"",VLOOKUP($B141,FFTodayData!$AN:$AT,4,0))</f>
        <v/>
      </c>
      <c r="E141" s="33" t="str">
        <f>IF(ISERROR(VLOOKUP($B141,FFTodayData!$AN:$AT,5,0)),"",VLOOKUP($B141,FFTodayData!$AN:$AT,5,0))</f>
        <v/>
      </c>
      <c r="F141" s="64" t="str">
        <f>IF(ISERROR(VLOOKUP($B141,FFTodayData!$AN:$AT,6,0)),"",VLOOKUP($B141,FFTodayData!$AN:$AT,6,0))</f>
        <v/>
      </c>
      <c r="G141" s="117" t="str">
        <f>IF(ISERROR(VLOOKUP($A141,ESPNData!$AX:$BK,11,0)),"",VLOOKUP($A141,ESPNData!$AX:$BK,11,0))</f>
        <v/>
      </c>
      <c r="H141" s="33" t="str">
        <f>IF(ISERROR(VLOOKUP($A141,ESPNData!$AX:$BK,12,0)),"",VLOOKUP($A141,ESPNData!$AX:$BK,12,0))</f>
        <v/>
      </c>
      <c r="I141" s="64" t="str">
        <f>IF(ISERROR(VLOOKUP($A141,ESPNData!$AX:$BK,13,0)),"",VLOOKUP($A141,ESPNData!$AX:$BK,13,0))</f>
        <v/>
      </c>
      <c r="J141" s="117" t="str">
        <f>IF(ISERROR(VLOOKUP($B141,SportslineData!$AM:$AT,3,0)),"",ROUND(VLOOKUP($B141,SportslineData!$AM:$AT,3,0),0))</f>
        <v/>
      </c>
      <c r="K141" s="33" t="str">
        <f>IF(ISERROR(VLOOKUP($B141,SportslineData!$AM:$AT,4,0)),"",VLOOKUP($B141,SportslineData!$AM:$AT,4,0))</f>
        <v/>
      </c>
      <c r="L141" s="33" t="str">
        <f>IF(ISERROR(VLOOKUP($B141,SportslineData!$AM:$AT,6,0)),"",ROUND(VLOOKUP($B141,SportslineData!$AM:$AT,6,0),0))</f>
        <v/>
      </c>
      <c r="M141" s="64" t="str">
        <f>IF(ISERROR(VLOOKUP($B141,SportslineData!$AM:$AT,7,0)),"",ROUND(VLOOKUP($B141,SportslineData!$AM:$AT,7,0),0))</f>
        <v/>
      </c>
      <c r="N141" s="117"/>
      <c r="O141" s="33"/>
      <c r="P141" s="38">
        <f>IF(ISERROR(ROUND((((ROUNDDOWN((E141/5),0)*Settings!$F$11)+(D141*Settings!$I$11))+(F141*Settings!$F$12)),1)),0,ROUND((((ROUNDDOWN((E141/5),0)*Settings!$F$11)+(D141*Settings!$I$11))+(F141*Settings!$F$12)),1))</f>
        <v>0</v>
      </c>
      <c r="Q141" s="38">
        <f>IF(ISERROR(ROUND((((ROUNDDOWN((H141/5),0)*Settings!$F$11)+(G141*Settings!$I$11))+(I141*Settings!$F$12)),1)),0,ROUND((((ROUNDDOWN((H141/5),0)*Settings!$F$11)+(G141*Settings!$I$11))+(I141*Settings!$F$12)),1))</f>
        <v>0</v>
      </c>
      <c r="R141" s="38">
        <f>IF((J141=""),0,((((J141*Settings!$I$11)+(ROUND((K141/5),0)*Settings!$F$11))+(L141*Settings!$F$12))+(M141*Settings!$F$15)))</f>
        <v>0</v>
      </c>
      <c r="S141" s="66">
        <f>ROUND((((P141*Settings!$B$21)+(Q141*Settings!$B$22))+(R141*Settings!$B$23)),1)</f>
        <v>0</v>
      </c>
      <c r="T141" s="66">
        <f>IF(ISERROR(VLOOKUP(RANK(S141,S$4:S$182),T$4:T140,1,0)),RANK(S141,S$4:S$182),IF(ISERROR(VLOOKUP((RANK(S141,S$4:S$182)+1),T$4:T140,1,0)),(RANK(S141,S$4:S$182)+1),IF(ISERROR(VLOOKUP((RANK(S141,S$4:S$182)+2),T$4:T140,1,0)),(RANK(S141,S$4:S$182)+2),(RANK(S141,S$4:S$182)+3))))</f>
        <v>87</v>
      </c>
      <c r="U141" t="str">
        <f t="shared" si="14"/>
        <v/>
      </c>
    </row>
    <row r="142" spans="1:21" ht="12.75" customHeight="1">
      <c r="A142" s="33">
        <f>ESPNData!AX145</f>
        <v>0</v>
      </c>
      <c r="B142" s="33" t="str">
        <f t="shared" si="12"/>
        <v/>
      </c>
      <c r="C142" s="64" t="e">
        <f t="shared" si="13"/>
        <v>#VALUE!</v>
      </c>
      <c r="D142" s="117" t="str">
        <f>IF(ISERROR(VLOOKUP($B142,FFTodayData!$AN:$AT,4,0)),"",VLOOKUP($B142,FFTodayData!$AN:$AT,4,0))</f>
        <v/>
      </c>
      <c r="E142" s="33" t="str">
        <f>IF(ISERROR(VLOOKUP($B142,FFTodayData!$AN:$AT,5,0)),"",VLOOKUP($B142,FFTodayData!$AN:$AT,5,0))</f>
        <v/>
      </c>
      <c r="F142" s="64" t="str">
        <f>IF(ISERROR(VLOOKUP($B142,FFTodayData!$AN:$AT,6,0)),"",VLOOKUP($B142,FFTodayData!$AN:$AT,6,0))</f>
        <v/>
      </c>
      <c r="G142" s="117" t="str">
        <f>IF(ISERROR(VLOOKUP($A142,ESPNData!$AX:$BK,11,0)),"",VLOOKUP($A142,ESPNData!$AX:$BK,11,0))</f>
        <v/>
      </c>
      <c r="H142" s="33" t="str">
        <f>IF(ISERROR(VLOOKUP($A142,ESPNData!$AX:$BK,12,0)),"",VLOOKUP($A142,ESPNData!$AX:$BK,12,0))</f>
        <v/>
      </c>
      <c r="I142" s="64" t="str">
        <f>IF(ISERROR(VLOOKUP($A142,ESPNData!$AX:$BK,13,0)),"",VLOOKUP($A142,ESPNData!$AX:$BK,13,0))</f>
        <v/>
      </c>
      <c r="J142" s="117" t="str">
        <f>IF(ISERROR(VLOOKUP($B142,SportslineData!$AM:$AT,3,0)),"",ROUND(VLOOKUP($B142,SportslineData!$AM:$AT,3,0),0))</f>
        <v/>
      </c>
      <c r="K142" s="33" t="str">
        <f>IF(ISERROR(VLOOKUP($B142,SportslineData!$AM:$AT,4,0)),"",VLOOKUP($B142,SportslineData!$AM:$AT,4,0))</f>
        <v/>
      </c>
      <c r="L142" s="33" t="str">
        <f>IF(ISERROR(VLOOKUP($B142,SportslineData!$AM:$AT,6,0)),"",ROUND(VLOOKUP($B142,SportslineData!$AM:$AT,6,0),0))</f>
        <v/>
      </c>
      <c r="M142" s="64" t="str">
        <f>IF(ISERROR(VLOOKUP($B142,SportslineData!$AM:$AT,7,0)),"",ROUND(VLOOKUP($B142,SportslineData!$AM:$AT,7,0),0))</f>
        <v/>
      </c>
      <c r="N142" s="117"/>
      <c r="O142" s="33"/>
      <c r="P142" s="38">
        <f>IF(ISERROR(ROUND((((ROUNDDOWN((E142/5),0)*Settings!$F$11)+(D142*Settings!$I$11))+(F142*Settings!$F$12)),1)),0,ROUND((((ROUNDDOWN((E142/5),0)*Settings!$F$11)+(D142*Settings!$I$11))+(F142*Settings!$F$12)),1))</f>
        <v>0</v>
      </c>
      <c r="Q142" s="38">
        <f>IF(ISERROR(ROUND((((ROUNDDOWN((H142/5),0)*Settings!$F$11)+(G142*Settings!$I$11))+(I142*Settings!$F$12)),1)),0,ROUND((((ROUNDDOWN((H142/5),0)*Settings!$F$11)+(G142*Settings!$I$11))+(I142*Settings!$F$12)),1))</f>
        <v>0</v>
      </c>
      <c r="R142" s="38">
        <f>IF((J142=""),0,((((J142*Settings!$I$11)+(ROUND((K142/5),0)*Settings!$F$11))+(L142*Settings!$F$12))+(M142*Settings!$F$15)))</f>
        <v>0</v>
      </c>
      <c r="S142" s="66">
        <f>ROUND((((P142*Settings!$B$21)+(Q142*Settings!$B$22))+(R142*Settings!$B$23)),1)</f>
        <v>0</v>
      </c>
      <c r="T142" s="66">
        <f>IF(ISERROR(VLOOKUP(RANK(S142,S$4:S$182),T$4:T141,1,0)),RANK(S142,S$4:S$182),IF(ISERROR(VLOOKUP((RANK(S142,S$4:S$182)+1),T$4:T141,1,0)),(RANK(S142,S$4:S$182)+1),IF(ISERROR(VLOOKUP((RANK(S142,S$4:S$182)+2),T$4:T141,1,0)),(RANK(S142,S$4:S$182)+2),(RANK(S142,S$4:S$182)+3))))</f>
        <v>87</v>
      </c>
      <c r="U142" t="str">
        <f t="shared" si="14"/>
        <v/>
      </c>
    </row>
    <row r="143" spans="1:21" ht="12.75" customHeight="1">
      <c r="A143" s="33">
        <f>ESPNData!AX146</f>
        <v>0</v>
      </c>
      <c r="B143" s="33" t="str">
        <f t="shared" si="12"/>
        <v/>
      </c>
      <c r="C143" s="64" t="e">
        <f t="shared" si="13"/>
        <v>#VALUE!</v>
      </c>
      <c r="D143" s="117" t="str">
        <f>IF(ISERROR(VLOOKUP($B143,FFTodayData!$AN:$AT,4,0)),"",VLOOKUP($B143,FFTodayData!$AN:$AT,4,0))</f>
        <v/>
      </c>
      <c r="E143" s="33" t="str">
        <f>IF(ISERROR(VLOOKUP($B143,FFTodayData!$AN:$AT,5,0)),"",VLOOKUP($B143,FFTodayData!$AN:$AT,5,0))</f>
        <v/>
      </c>
      <c r="F143" s="64" t="str">
        <f>IF(ISERROR(VLOOKUP($B143,FFTodayData!$AN:$AT,6,0)),"",VLOOKUP($B143,FFTodayData!$AN:$AT,6,0))</f>
        <v/>
      </c>
      <c r="G143" s="117" t="str">
        <f>IF(ISERROR(VLOOKUP($A143,ESPNData!$AX:$BK,11,0)),"",VLOOKUP($A143,ESPNData!$AX:$BK,11,0))</f>
        <v/>
      </c>
      <c r="H143" s="33" t="str">
        <f>IF(ISERROR(VLOOKUP($A143,ESPNData!$AX:$BK,12,0)),"",VLOOKUP($A143,ESPNData!$AX:$BK,12,0))</f>
        <v/>
      </c>
      <c r="I143" s="64" t="str">
        <f>IF(ISERROR(VLOOKUP($A143,ESPNData!$AX:$BK,13,0)),"",VLOOKUP($A143,ESPNData!$AX:$BK,13,0))</f>
        <v/>
      </c>
      <c r="J143" s="117" t="str">
        <f>IF(ISERROR(VLOOKUP($B143,SportslineData!$AM:$AT,3,0)),"",ROUND(VLOOKUP($B143,SportslineData!$AM:$AT,3,0),0))</f>
        <v/>
      </c>
      <c r="K143" s="33" t="str">
        <f>IF(ISERROR(VLOOKUP($B143,SportslineData!$AM:$AT,4,0)),"",VLOOKUP($B143,SportslineData!$AM:$AT,4,0))</f>
        <v/>
      </c>
      <c r="L143" s="33" t="str">
        <f>IF(ISERROR(VLOOKUP($B143,SportslineData!$AM:$AT,6,0)),"",ROUND(VLOOKUP($B143,SportslineData!$AM:$AT,6,0),0))</f>
        <v/>
      </c>
      <c r="M143" s="64" t="str">
        <f>IF(ISERROR(VLOOKUP($B143,SportslineData!$AM:$AT,7,0)),"",ROUND(VLOOKUP($B143,SportslineData!$AM:$AT,7,0),0))</f>
        <v/>
      </c>
      <c r="N143" s="117"/>
      <c r="O143" s="33"/>
      <c r="P143" s="38">
        <f>IF(ISERROR(ROUND((((ROUNDDOWN((E143/5),0)*Settings!$F$11)+(D143*Settings!$I$11))+(F143*Settings!$F$12)),1)),0,ROUND((((ROUNDDOWN((E143/5),0)*Settings!$F$11)+(D143*Settings!$I$11))+(F143*Settings!$F$12)),1))</f>
        <v>0</v>
      </c>
      <c r="Q143" s="38">
        <f>IF(ISERROR(ROUND((((ROUNDDOWN((H143/5),0)*Settings!$F$11)+(G143*Settings!$I$11))+(I143*Settings!$F$12)),1)),0,ROUND((((ROUNDDOWN((H143/5),0)*Settings!$F$11)+(G143*Settings!$I$11))+(I143*Settings!$F$12)),1))</f>
        <v>0</v>
      </c>
      <c r="R143" s="38">
        <f>IF((J143=""),0,((((J143*Settings!$I$11)+(ROUND((K143/5),0)*Settings!$F$11))+(L143*Settings!$F$12))+(M143*Settings!$F$15)))</f>
        <v>0</v>
      </c>
      <c r="S143" s="66">
        <f>ROUND((((P143*Settings!$B$21)+(Q143*Settings!$B$22))+(R143*Settings!$B$23)),1)</f>
        <v>0</v>
      </c>
      <c r="T143" s="66">
        <f>IF(ISERROR(VLOOKUP(RANK(S143,S$4:S$182),T$4:T142,1,0)),RANK(S143,S$4:S$182),IF(ISERROR(VLOOKUP((RANK(S143,S$4:S$182)+1),T$4:T142,1,0)),(RANK(S143,S$4:S$182)+1),IF(ISERROR(VLOOKUP((RANK(S143,S$4:S$182)+2),T$4:T142,1,0)),(RANK(S143,S$4:S$182)+2),(RANK(S143,S$4:S$182)+3))))</f>
        <v>87</v>
      </c>
      <c r="U143" t="str">
        <f t="shared" si="14"/>
        <v/>
      </c>
    </row>
    <row r="144" spans="1:21" ht="12.75" customHeight="1">
      <c r="A144" s="33">
        <f>ESPNData!AX147</f>
        <v>0</v>
      </c>
      <c r="B144" s="33" t="str">
        <f t="shared" si="12"/>
        <v/>
      </c>
      <c r="C144" s="64" t="e">
        <f t="shared" si="13"/>
        <v>#VALUE!</v>
      </c>
      <c r="D144" s="117" t="str">
        <f>IF(ISERROR(VLOOKUP($B144,FFTodayData!$AN:$AT,4,0)),"",VLOOKUP($B144,FFTodayData!$AN:$AT,4,0))</f>
        <v/>
      </c>
      <c r="E144" s="33" t="str">
        <f>IF(ISERROR(VLOOKUP($B144,FFTodayData!$AN:$AT,5,0)),"",VLOOKUP($B144,FFTodayData!$AN:$AT,5,0))</f>
        <v/>
      </c>
      <c r="F144" s="64" t="str">
        <f>IF(ISERROR(VLOOKUP($B144,FFTodayData!$AN:$AT,6,0)),"",VLOOKUP($B144,FFTodayData!$AN:$AT,6,0))</f>
        <v/>
      </c>
      <c r="G144" s="117" t="str">
        <f>IF(ISERROR(VLOOKUP($A144,ESPNData!$AX:$BK,11,0)),"",VLOOKUP($A144,ESPNData!$AX:$BK,11,0))</f>
        <v/>
      </c>
      <c r="H144" s="33" t="str">
        <f>IF(ISERROR(VLOOKUP($A144,ESPNData!$AX:$BK,12,0)),"",VLOOKUP($A144,ESPNData!$AX:$BK,12,0))</f>
        <v/>
      </c>
      <c r="I144" s="64" t="str">
        <f>IF(ISERROR(VLOOKUP($A144,ESPNData!$AX:$BK,13,0)),"",VLOOKUP($A144,ESPNData!$AX:$BK,13,0))</f>
        <v/>
      </c>
      <c r="J144" s="117" t="str">
        <f>IF(ISERROR(VLOOKUP($B144,SportslineData!$AM:$AT,3,0)),"",ROUND(VLOOKUP($B144,SportslineData!$AM:$AT,3,0),0))</f>
        <v/>
      </c>
      <c r="K144" s="33" t="str">
        <f>IF(ISERROR(VLOOKUP($B144,SportslineData!$AM:$AT,4,0)),"",VLOOKUP($B144,SportslineData!$AM:$AT,4,0))</f>
        <v/>
      </c>
      <c r="L144" s="33" t="str">
        <f>IF(ISERROR(VLOOKUP($B144,SportslineData!$AM:$AT,6,0)),"",ROUND(VLOOKUP($B144,SportslineData!$AM:$AT,6,0),0))</f>
        <v/>
      </c>
      <c r="M144" s="64" t="str">
        <f>IF(ISERROR(VLOOKUP($B144,SportslineData!$AM:$AT,7,0)),"",ROUND(VLOOKUP($B144,SportslineData!$AM:$AT,7,0),0))</f>
        <v/>
      </c>
      <c r="N144" s="117"/>
      <c r="O144" s="33"/>
      <c r="P144" s="38">
        <f>IF(ISERROR(ROUND((((ROUNDDOWN((E144/5),0)*Settings!$F$11)+(D144*Settings!$I$11))+(F144*Settings!$F$12)),1)),0,ROUND((((ROUNDDOWN((E144/5),0)*Settings!$F$11)+(D144*Settings!$I$11))+(F144*Settings!$F$12)),1))</f>
        <v>0</v>
      </c>
      <c r="Q144" s="38">
        <f>IF(ISERROR(ROUND((((ROUNDDOWN((H144/5),0)*Settings!$F$11)+(G144*Settings!$I$11))+(I144*Settings!$F$12)),1)),0,ROUND((((ROUNDDOWN((H144/5),0)*Settings!$F$11)+(G144*Settings!$I$11))+(I144*Settings!$F$12)),1))</f>
        <v>0</v>
      </c>
      <c r="R144" s="38">
        <f>IF((J144=""),0,((((J144*Settings!$I$11)+(ROUND((K144/5),0)*Settings!$F$11))+(L144*Settings!$F$12))+(M144*Settings!$F$15)))</f>
        <v>0</v>
      </c>
      <c r="S144" s="66">
        <f>ROUND((((P144*Settings!$B$21)+(Q144*Settings!$B$22))+(R144*Settings!$B$23)),1)</f>
        <v>0</v>
      </c>
      <c r="T144" s="66">
        <f>IF(ISERROR(VLOOKUP(RANK(S144,S$4:S$182),T$4:T143,1,0)),RANK(S144,S$4:S$182),IF(ISERROR(VLOOKUP((RANK(S144,S$4:S$182)+1),T$4:T143,1,0)),(RANK(S144,S$4:S$182)+1),IF(ISERROR(VLOOKUP((RANK(S144,S$4:S$182)+2),T$4:T143,1,0)),(RANK(S144,S$4:S$182)+2),(RANK(S144,S$4:S$182)+3))))</f>
        <v>87</v>
      </c>
      <c r="U144" t="str">
        <f t="shared" si="14"/>
        <v/>
      </c>
    </row>
    <row r="145" spans="1:21" ht="12.75" customHeight="1">
      <c r="A145" s="33">
        <f>ESPNData!AX148</f>
        <v>0</v>
      </c>
      <c r="B145" s="33" t="str">
        <f t="shared" si="12"/>
        <v/>
      </c>
      <c r="C145" s="64" t="e">
        <f t="shared" si="13"/>
        <v>#VALUE!</v>
      </c>
      <c r="D145" s="117" t="str">
        <f>IF(ISERROR(VLOOKUP($B145,FFTodayData!$AN:$AT,4,0)),"",VLOOKUP($B145,FFTodayData!$AN:$AT,4,0))</f>
        <v/>
      </c>
      <c r="E145" s="33" t="str">
        <f>IF(ISERROR(VLOOKUP($B145,FFTodayData!$AN:$AT,5,0)),"",VLOOKUP($B145,FFTodayData!$AN:$AT,5,0))</f>
        <v/>
      </c>
      <c r="F145" s="64" t="str">
        <f>IF(ISERROR(VLOOKUP($B145,FFTodayData!$AN:$AT,6,0)),"",VLOOKUP($B145,FFTodayData!$AN:$AT,6,0))</f>
        <v/>
      </c>
      <c r="G145" s="117" t="str">
        <f>IF(ISERROR(VLOOKUP($A145,ESPNData!$AX:$BK,11,0)),"",VLOOKUP($A145,ESPNData!$AX:$BK,11,0))</f>
        <v/>
      </c>
      <c r="H145" s="33" t="str">
        <f>IF(ISERROR(VLOOKUP($A145,ESPNData!$AX:$BK,12,0)),"",VLOOKUP($A145,ESPNData!$AX:$BK,12,0))</f>
        <v/>
      </c>
      <c r="I145" s="64" t="str">
        <f>IF(ISERROR(VLOOKUP($A145,ESPNData!$AX:$BK,13,0)),"",VLOOKUP($A145,ESPNData!$AX:$BK,13,0))</f>
        <v/>
      </c>
      <c r="J145" s="117" t="str">
        <f>IF(ISERROR(VLOOKUP($B145,SportslineData!$AM:$AT,3,0)),"",ROUND(VLOOKUP($B145,SportslineData!$AM:$AT,3,0),0))</f>
        <v/>
      </c>
      <c r="K145" s="33" t="str">
        <f>IF(ISERROR(VLOOKUP($B145,SportslineData!$AM:$AT,4,0)),"",VLOOKUP($B145,SportslineData!$AM:$AT,4,0))</f>
        <v/>
      </c>
      <c r="L145" s="33" t="str">
        <f>IF(ISERROR(VLOOKUP($B145,SportslineData!$AM:$AT,6,0)),"",ROUND(VLOOKUP($B145,SportslineData!$AM:$AT,6,0),0))</f>
        <v/>
      </c>
      <c r="M145" s="64" t="str">
        <f>IF(ISERROR(VLOOKUP($B145,SportslineData!$AM:$AT,7,0)),"",ROUND(VLOOKUP($B145,SportslineData!$AM:$AT,7,0),0))</f>
        <v/>
      </c>
      <c r="N145" s="117"/>
      <c r="O145" s="33"/>
      <c r="P145" s="38">
        <f>IF(ISERROR(ROUND((((ROUNDDOWN((E145/5),0)*Settings!$F$11)+(D145*Settings!$I$11))+(F145*Settings!$F$12)),1)),0,ROUND((((ROUNDDOWN((E145/5),0)*Settings!$F$11)+(D145*Settings!$I$11))+(F145*Settings!$F$12)),1))</f>
        <v>0</v>
      </c>
      <c r="Q145" s="38">
        <f>IF(ISERROR(ROUND((((ROUNDDOWN((H145/5),0)*Settings!$F$11)+(G145*Settings!$I$11))+(I145*Settings!$F$12)),1)),0,ROUND((((ROUNDDOWN((H145/5),0)*Settings!$F$11)+(G145*Settings!$I$11))+(I145*Settings!$F$12)),1))</f>
        <v>0</v>
      </c>
      <c r="R145" s="38">
        <f>IF((J145=""),0,((((J145*Settings!$I$11)+(ROUND((K145/5),0)*Settings!$F$11))+(L145*Settings!$F$12))+(M145*Settings!$F$15)))</f>
        <v>0</v>
      </c>
      <c r="S145" s="66">
        <f>ROUND((((P145*Settings!$B$21)+(Q145*Settings!$B$22))+(R145*Settings!$B$23)),1)</f>
        <v>0</v>
      </c>
      <c r="T145" s="66">
        <f>IF(ISERROR(VLOOKUP(RANK(S145,S$4:S$182),T$4:T144,1,0)),RANK(S145,S$4:S$182),IF(ISERROR(VLOOKUP((RANK(S145,S$4:S$182)+1),T$4:T144,1,0)),(RANK(S145,S$4:S$182)+1),IF(ISERROR(VLOOKUP((RANK(S145,S$4:S$182)+2),T$4:T144,1,0)),(RANK(S145,S$4:S$182)+2),(RANK(S145,S$4:S$182)+3))))</f>
        <v>87</v>
      </c>
      <c r="U145" t="str">
        <f t="shared" si="14"/>
        <v/>
      </c>
    </row>
    <row r="146" spans="1:21" ht="12.75" customHeight="1">
      <c r="A146" s="33">
        <f>ESPNData!AX149</f>
        <v>0</v>
      </c>
      <c r="B146" s="33" t="str">
        <f t="shared" si="12"/>
        <v/>
      </c>
      <c r="C146" s="64" t="e">
        <f t="shared" si="13"/>
        <v>#VALUE!</v>
      </c>
      <c r="D146" s="117" t="str">
        <f>IF(ISERROR(VLOOKUP($B146,FFTodayData!$AN:$AT,4,0)),"",VLOOKUP($B146,FFTodayData!$AN:$AT,4,0))</f>
        <v/>
      </c>
      <c r="E146" s="33" t="str">
        <f>IF(ISERROR(VLOOKUP($B146,FFTodayData!$AN:$AT,5,0)),"",VLOOKUP($B146,FFTodayData!$AN:$AT,5,0))</f>
        <v/>
      </c>
      <c r="F146" s="64" t="str">
        <f>IF(ISERROR(VLOOKUP($B146,FFTodayData!$AN:$AT,6,0)),"",VLOOKUP($B146,FFTodayData!$AN:$AT,6,0))</f>
        <v/>
      </c>
      <c r="G146" s="117" t="str">
        <f>IF(ISERROR(VLOOKUP($A146,ESPNData!$AX:$BK,11,0)),"",VLOOKUP($A146,ESPNData!$AX:$BK,11,0))</f>
        <v/>
      </c>
      <c r="H146" s="33" t="str">
        <f>IF(ISERROR(VLOOKUP($A146,ESPNData!$AX:$BK,12,0)),"",VLOOKUP($A146,ESPNData!$AX:$BK,12,0))</f>
        <v/>
      </c>
      <c r="I146" s="64" t="str">
        <f>IF(ISERROR(VLOOKUP($A146,ESPNData!$AX:$BK,13,0)),"",VLOOKUP($A146,ESPNData!$AX:$BK,13,0))</f>
        <v/>
      </c>
      <c r="J146" s="117" t="str">
        <f>IF(ISERROR(VLOOKUP($B146,SportslineData!$AM:$AT,3,0)),"",ROUND(VLOOKUP($B146,SportslineData!$AM:$AT,3,0),0))</f>
        <v/>
      </c>
      <c r="K146" s="33" t="str">
        <f>IF(ISERROR(VLOOKUP($B146,SportslineData!$AM:$AT,4,0)),"",VLOOKUP($B146,SportslineData!$AM:$AT,4,0))</f>
        <v/>
      </c>
      <c r="L146" s="33" t="str">
        <f>IF(ISERROR(VLOOKUP($B146,SportslineData!$AM:$AT,6,0)),"",ROUND(VLOOKUP($B146,SportslineData!$AM:$AT,6,0),0))</f>
        <v/>
      </c>
      <c r="M146" s="64" t="str">
        <f>IF(ISERROR(VLOOKUP($B146,SportslineData!$AM:$AT,7,0)),"",ROUND(VLOOKUP($B146,SportslineData!$AM:$AT,7,0),0))</f>
        <v/>
      </c>
      <c r="N146" s="117"/>
      <c r="O146" s="33"/>
      <c r="P146" s="38">
        <f>IF(ISERROR(ROUND((((ROUNDDOWN((E146/5),0)*Settings!$F$11)+(D146*Settings!$I$11))+(F146*Settings!$F$12)),1)),0,ROUND((((ROUNDDOWN((E146/5),0)*Settings!$F$11)+(D146*Settings!$I$11))+(F146*Settings!$F$12)),1))</f>
        <v>0</v>
      </c>
      <c r="Q146" s="38">
        <f>IF(ISERROR(ROUND((((ROUNDDOWN((H146/5),0)*Settings!$F$11)+(G146*Settings!$I$11))+(I146*Settings!$F$12)),1)),0,ROUND((((ROUNDDOWN((H146/5),0)*Settings!$F$11)+(G146*Settings!$I$11))+(I146*Settings!$F$12)),1))</f>
        <v>0</v>
      </c>
      <c r="R146" s="38">
        <f>IF((J146=""),0,((((J146*Settings!$I$11)+(ROUND((K146/5),0)*Settings!$F$11))+(L146*Settings!$F$12))+(M146*Settings!$F$15)))</f>
        <v>0</v>
      </c>
      <c r="S146" s="66">
        <f>ROUND((((P146*Settings!$B$21)+(Q146*Settings!$B$22))+(R146*Settings!$B$23)),1)</f>
        <v>0</v>
      </c>
      <c r="T146" s="66">
        <f>IF(ISERROR(VLOOKUP(RANK(S146,S$4:S$182),T$4:T145,1,0)),RANK(S146,S$4:S$182),IF(ISERROR(VLOOKUP((RANK(S146,S$4:S$182)+1),T$4:T145,1,0)),(RANK(S146,S$4:S$182)+1),IF(ISERROR(VLOOKUP((RANK(S146,S$4:S$182)+2),T$4:T145,1,0)),(RANK(S146,S$4:S$182)+2),(RANK(S146,S$4:S$182)+3))))</f>
        <v>87</v>
      </c>
      <c r="U146" t="str">
        <f t="shared" si="14"/>
        <v/>
      </c>
    </row>
    <row r="147" spans="1:21" ht="12.75" customHeight="1">
      <c r="A147" s="33">
        <f>ESPNData!AX150</f>
        <v>0</v>
      </c>
      <c r="B147" s="33" t="str">
        <f t="shared" si="12"/>
        <v/>
      </c>
      <c r="C147" s="64" t="e">
        <f t="shared" si="13"/>
        <v>#VALUE!</v>
      </c>
      <c r="D147" s="117" t="str">
        <f>IF(ISERROR(VLOOKUP($B147,FFTodayData!$AN:$AT,4,0)),"",VLOOKUP($B147,FFTodayData!$AN:$AT,4,0))</f>
        <v/>
      </c>
      <c r="E147" s="33" t="str">
        <f>IF(ISERROR(VLOOKUP($B147,FFTodayData!$AN:$AT,5,0)),"",VLOOKUP($B147,FFTodayData!$AN:$AT,5,0))</f>
        <v/>
      </c>
      <c r="F147" s="64" t="str">
        <f>IF(ISERROR(VLOOKUP($B147,FFTodayData!$AN:$AT,6,0)),"",VLOOKUP($B147,FFTodayData!$AN:$AT,6,0))</f>
        <v/>
      </c>
      <c r="G147" s="117" t="str">
        <f>IF(ISERROR(VLOOKUP($A147,ESPNData!$AX:$BK,11,0)),"",VLOOKUP($A147,ESPNData!$AX:$BK,11,0))</f>
        <v/>
      </c>
      <c r="H147" s="33" t="str">
        <f>IF(ISERROR(VLOOKUP($A147,ESPNData!$AX:$BK,12,0)),"",VLOOKUP($A147,ESPNData!$AX:$BK,12,0))</f>
        <v/>
      </c>
      <c r="I147" s="64" t="str">
        <f>IF(ISERROR(VLOOKUP($A147,ESPNData!$AX:$BK,13,0)),"",VLOOKUP($A147,ESPNData!$AX:$BK,13,0))</f>
        <v/>
      </c>
      <c r="J147" s="117" t="str">
        <f>IF(ISERROR(VLOOKUP($B147,SportslineData!$AM:$AT,3,0)),"",ROUND(VLOOKUP($B147,SportslineData!$AM:$AT,3,0),0))</f>
        <v/>
      </c>
      <c r="K147" s="33" t="str">
        <f>IF(ISERROR(VLOOKUP($B147,SportslineData!$AM:$AT,4,0)),"",VLOOKUP($B147,SportslineData!$AM:$AT,4,0))</f>
        <v/>
      </c>
      <c r="L147" s="33" t="str">
        <f>IF(ISERROR(VLOOKUP($B147,SportslineData!$AM:$AT,6,0)),"",ROUND(VLOOKUP($B147,SportslineData!$AM:$AT,6,0),0))</f>
        <v/>
      </c>
      <c r="M147" s="64" t="str">
        <f>IF(ISERROR(VLOOKUP($B147,SportslineData!$AM:$AT,7,0)),"",ROUND(VLOOKUP($B147,SportslineData!$AM:$AT,7,0),0))</f>
        <v/>
      </c>
      <c r="N147" s="117"/>
      <c r="O147" s="33"/>
      <c r="P147" s="38">
        <f>IF(ISERROR(ROUND((((ROUNDDOWN((E147/5),0)*Settings!$F$11)+(D147*Settings!$I$11))+(F147*Settings!$F$12)),1)),0,ROUND((((ROUNDDOWN((E147/5),0)*Settings!$F$11)+(D147*Settings!$I$11))+(F147*Settings!$F$12)),1))</f>
        <v>0</v>
      </c>
      <c r="Q147" s="38">
        <f>IF(ISERROR(ROUND((((ROUNDDOWN((H147/5),0)*Settings!$F$11)+(G147*Settings!$I$11))+(I147*Settings!$F$12)),1)),0,ROUND((((ROUNDDOWN((H147/5),0)*Settings!$F$11)+(G147*Settings!$I$11))+(I147*Settings!$F$12)),1))</f>
        <v>0</v>
      </c>
      <c r="R147" s="38">
        <f>IF((J147=""),0,((((J147*Settings!$I$11)+(ROUND((K147/5),0)*Settings!$F$11))+(L147*Settings!$F$12))+(M147*Settings!$F$15)))</f>
        <v>0</v>
      </c>
      <c r="S147" s="66">
        <f>ROUND((((P147*Settings!$B$21)+(Q147*Settings!$B$22))+(R147*Settings!$B$23)),1)</f>
        <v>0</v>
      </c>
      <c r="T147" s="66">
        <f>IF(ISERROR(VLOOKUP(RANK(S147,S$4:S$182),T$4:T146,1,0)),RANK(S147,S$4:S$182),IF(ISERROR(VLOOKUP((RANK(S147,S$4:S$182)+1),T$4:T146,1,0)),(RANK(S147,S$4:S$182)+1),IF(ISERROR(VLOOKUP((RANK(S147,S$4:S$182)+2),T$4:T146,1,0)),(RANK(S147,S$4:S$182)+2),(RANK(S147,S$4:S$182)+3))))</f>
        <v>87</v>
      </c>
      <c r="U147" t="str">
        <f t="shared" si="14"/>
        <v/>
      </c>
    </row>
    <row r="148" spans="1:21" ht="12.75" customHeight="1">
      <c r="A148" s="33">
        <f>ESPNData!AX151</f>
        <v>0</v>
      </c>
      <c r="B148" s="33" t="str">
        <f t="shared" si="12"/>
        <v/>
      </c>
      <c r="C148" s="64" t="e">
        <f t="shared" si="13"/>
        <v>#VALUE!</v>
      </c>
      <c r="D148" s="117" t="str">
        <f>IF(ISERROR(VLOOKUP($B148,FFTodayData!$AN:$AT,4,0)),"",VLOOKUP($B148,FFTodayData!$AN:$AT,4,0))</f>
        <v/>
      </c>
      <c r="E148" s="33" t="str">
        <f>IF(ISERROR(VLOOKUP($B148,FFTodayData!$AN:$AT,5,0)),"",VLOOKUP($B148,FFTodayData!$AN:$AT,5,0))</f>
        <v/>
      </c>
      <c r="F148" s="64" t="str">
        <f>IF(ISERROR(VLOOKUP($B148,FFTodayData!$AN:$AT,6,0)),"",VLOOKUP($B148,FFTodayData!$AN:$AT,6,0))</f>
        <v/>
      </c>
      <c r="G148" s="117" t="str">
        <f>IF(ISERROR(VLOOKUP($A148,ESPNData!$AX:$BK,11,0)),"",VLOOKUP($A148,ESPNData!$AX:$BK,11,0))</f>
        <v/>
      </c>
      <c r="H148" s="33" t="str">
        <f>IF(ISERROR(VLOOKUP($A148,ESPNData!$AX:$BK,12,0)),"",VLOOKUP($A148,ESPNData!$AX:$BK,12,0))</f>
        <v/>
      </c>
      <c r="I148" s="64" t="str">
        <f>IF(ISERROR(VLOOKUP($A148,ESPNData!$AX:$BK,13,0)),"",VLOOKUP($A148,ESPNData!$AX:$BK,13,0))</f>
        <v/>
      </c>
      <c r="J148" s="117" t="str">
        <f>IF(ISERROR(VLOOKUP($B148,SportslineData!$AM:$AT,3,0)),"",ROUND(VLOOKUP($B148,SportslineData!$AM:$AT,3,0),0))</f>
        <v/>
      </c>
      <c r="K148" s="33" t="str">
        <f>IF(ISERROR(VLOOKUP($B148,SportslineData!$AM:$AT,4,0)),"",VLOOKUP($B148,SportslineData!$AM:$AT,4,0))</f>
        <v/>
      </c>
      <c r="L148" s="33" t="str">
        <f>IF(ISERROR(VLOOKUP($B148,SportslineData!$AM:$AT,6,0)),"",ROUND(VLOOKUP($B148,SportslineData!$AM:$AT,6,0),0))</f>
        <v/>
      </c>
      <c r="M148" s="64" t="str">
        <f>IF(ISERROR(VLOOKUP($B148,SportslineData!$AM:$AT,7,0)),"",ROUND(VLOOKUP($B148,SportslineData!$AM:$AT,7,0),0))</f>
        <v/>
      </c>
      <c r="N148" s="117"/>
      <c r="O148" s="33"/>
      <c r="P148" s="38">
        <f>IF(ISERROR(ROUND((((ROUNDDOWN((E148/5),0)*Settings!$F$11)+(D148*Settings!$I$11))+(F148*Settings!$F$12)),1)),0,ROUND((((ROUNDDOWN((E148/5),0)*Settings!$F$11)+(D148*Settings!$I$11))+(F148*Settings!$F$12)),1))</f>
        <v>0</v>
      </c>
      <c r="Q148" s="38">
        <f>IF(ISERROR(ROUND((((ROUNDDOWN((H148/5),0)*Settings!$F$11)+(G148*Settings!$I$11))+(I148*Settings!$F$12)),1)),0,ROUND((((ROUNDDOWN((H148/5),0)*Settings!$F$11)+(G148*Settings!$I$11))+(I148*Settings!$F$12)),1))</f>
        <v>0</v>
      </c>
      <c r="R148" s="38">
        <f>IF((J148=""),0,((((J148*Settings!$I$11)+(ROUND((K148/5),0)*Settings!$F$11))+(L148*Settings!$F$12))+(M148*Settings!$F$15)))</f>
        <v>0</v>
      </c>
      <c r="S148" s="66">
        <f>ROUND((((P148*Settings!$B$21)+(Q148*Settings!$B$22))+(R148*Settings!$B$23)),1)</f>
        <v>0</v>
      </c>
      <c r="T148" s="66">
        <f>IF(ISERROR(VLOOKUP(RANK(S148,S$4:S$182),T$4:T147,1,0)),RANK(S148,S$4:S$182),IF(ISERROR(VLOOKUP((RANK(S148,S$4:S$182)+1),T$4:T147,1,0)),(RANK(S148,S$4:S$182)+1),IF(ISERROR(VLOOKUP((RANK(S148,S$4:S$182)+2),T$4:T147,1,0)),(RANK(S148,S$4:S$182)+2),(RANK(S148,S$4:S$182)+3))))</f>
        <v>87</v>
      </c>
      <c r="U148" t="str">
        <f t="shared" si="14"/>
        <v/>
      </c>
    </row>
    <row r="149" spans="1:21" ht="12.75" customHeight="1">
      <c r="A149" s="33">
        <f>ESPNData!AX152</f>
        <v>0</v>
      </c>
      <c r="B149" s="33" t="str">
        <f t="shared" si="12"/>
        <v/>
      </c>
      <c r="C149" s="64" t="e">
        <f t="shared" si="13"/>
        <v>#VALUE!</v>
      </c>
      <c r="D149" s="117" t="str">
        <f>IF(ISERROR(VLOOKUP($B149,FFTodayData!$AN:$AT,4,0)),"",VLOOKUP($B149,FFTodayData!$AN:$AT,4,0))</f>
        <v/>
      </c>
      <c r="E149" s="33" t="str">
        <f>IF(ISERROR(VLOOKUP($B149,FFTodayData!$AN:$AT,5,0)),"",VLOOKUP($B149,FFTodayData!$AN:$AT,5,0))</f>
        <v/>
      </c>
      <c r="F149" s="64" t="str">
        <f>IF(ISERROR(VLOOKUP($B149,FFTodayData!$AN:$AT,6,0)),"",VLOOKUP($B149,FFTodayData!$AN:$AT,6,0))</f>
        <v/>
      </c>
      <c r="G149" s="117" t="str">
        <f>IF(ISERROR(VLOOKUP($A149,ESPNData!$AX:$BK,11,0)),"",VLOOKUP($A149,ESPNData!$AX:$BK,11,0))</f>
        <v/>
      </c>
      <c r="H149" s="33" t="str">
        <f>IF(ISERROR(VLOOKUP($A149,ESPNData!$AX:$BK,12,0)),"",VLOOKUP($A149,ESPNData!$AX:$BK,12,0))</f>
        <v/>
      </c>
      <c r="I149" s="64" t="str">
        <f>IF(ISERROR(VLOOKUP($A149,ESPNData!$AX:$BK,13,0)),"",VLOOKUP($A149,ESPNData!$AX:$BK,13,0))</f>
        <v/>
      </c>
      <c r="J149" s="117" t="str">
        <f>IF(ISERROR(VLOOKUP($B149,SportslineData!$AM:$AT,3,0)),"",ROUND(VLOOKUP($B149,SportslineData!$AM:$AT,3,0),0))</f>
        <v/>
      </c>
      <c r="K149" s="33" t="str">
        <f>IF(ISERROR(VLOOKUP($B149,SportslineData!$AM:$AT,4,0)),"",VLOOKUP($B149,SportslineData!$AM:$AT,4,0))</f>
        <v/>
      </c>
      <c r="L149" s="33" t="str">
        <f>IF(ISERROR(VLOOKUP($B149,SportslineData!$AM:$AT,6,0)),"",ROUND(VLOOKUP($B149,SportslineData!$AM:$AT,6,0),0))</f>
        <v/>
      </c>
      <c r="M149" s="64" t="str">
        <f>IF(ISERROR(VLOOKUP($B149,SportslineData!$AM:$AT,7,0)),"",ROUND(VLOOKUP($B149,SportslineData!$AM:$AT,7,0),0))</f>
        <v/>
      </c>
      <c r="N149" s="117"/>
      <c r="O149" s="33"/>
      <c r="P149" s="38">
        <f>IF(ISERROR(ROUND((((ROUNDDOWN((E149/5),0)*Settings!$F$11)+(D149*Settings!$I$11))+(F149*Settings!$F$12)),1)),0,ROUND((((ROUNDDOWN((E149/5),0)*Settings!$F$11)+(D149*Settings!$I$11))+(F149*Settings!$F$12)),1))</f>
        <v>0</v>
      </c>
      <c r="Q149" s="38">
        <f>IF(ISERROR(ROUND((((ROUNDDOWN((H149/5),0)*Settings!$F$11)+(G149*Settings!$I$11))+(I149*Settings!$F$12)),1)),0,ROUND((((ROUNDDOWN((H149/5),0)*Settings!$F$11)+(G149*Settings!$I$11))+(I149*Settings!$F$12)),1))</f>
        <v>0</v>
      </c>
      <c r="R149" s="38">
        <f>IF((J149=""),0,((((J149*Settings!$I$11)+(ROUND((K149/5),0)*Settings!$F$11))+(L149*Settings!$F$12))+(M149*Settings!$F$15)))</f>
        <v>0</v>
      </c>
      <c r="S149" s="66">
        <f>ROUND((((P149*Settings!$B$21)+(Q149*Settings!$B$22))+(R149*Settings!$B$23)),1)</f>
        <v>0</v>
      </c>
      <c r="T149" s="66">
        <f>IF(ISERROR(VLOOKUP(RANK(S149,S$4:S$182),T$4:T148,1,0)),RANK(S149,S$4:S$182),IF(ISERROR(VLOOKUP((RANK(S149,S$4:S$182)+1),T$4:T148,1,0)),(RANK(S149,S$4:S$182)+1),IF(ISERROR(VLOOKUP((RANK(S149,S$4:S$182)+2),T$4:T148,1,0)),(RANK(S149,S$4:S$182)+2),(RANK(S149,S$4:S$182)+3))))</f>
        <v>87</v>
      </c>
      <c r="U149" t="str">
        <f t="shared" si="14"/>
        <v/>
      </c>
    </row>
    <row r="150" spans="1:21" ht="12.75" customHeight="1">
      <c r="A150" s="33">
        <f>ESPNData!AX153</f>
        <v>0</v>
      </c>
      <c r="B150" s="33" t="str">
        <f t="shared" si="12"/>
        <v/>
      </c>
      <c r="C150" s="64" t="e">
        <f t="shared" si="13"/>
        <v>#VALUE!</v>
      </c>
      <c r="D150" s="117" t="str">
        <f>IF(ISERROR(VLOOKUP($B150,FFTodayData!$AN:$AT,4,0)),"",VLOOKUP($B150,FFTodayData!$AN:$AT,4,0))</f>
        <v/>
      </c>
      <c r="E150" s="33" t="str">
        <f>IF(ISERROR(VLOOKUP($B150,FFTodayData!$AN:$AT,5,0)),"",VLOOKUP($B150,FFTodayData!$AN:$AT,5,0))</f>
        <v/>
      </c>
      <c r="F150" s="64" t="str">
        <f>IF(ISERROR(VLOOKUP($B150,FFTodayData!$AN:$AT,6,0)),"",VLOOKUP($B150,FFTodayData!$AN:$AT,6,0))</f>
        <v/>
      </c>
      <c r="G150" s="117" t="str">
        <f>IF(ISERROR(VLOOKUP($A150,ESPNData!$AX:$BK,11,0)),"",VLOOKUP($A150,ESPNData!$AX:$BK,11,0))</f>
        <v/>
      </c>
      <c r="H150" s="33" t="str">
        <f>IF(ISERROR(VLOOKUP($A150,ESPNData!$AX:$BK,12,0)),"",VLOOKUP($A150,ESPNData!$AX:$BK,12,0))</f>
        <v/>
      </c>
      <c r="I150" s="64" t="str">
        <f>IF(ISERROR(VLOOKUP($A150,ESPNData!$AX:$BK,13,0)),"",VLOOKUP($A150,ESPNData!$AX:$BK,13,0))</f>
        <v/>
      </c>
      <c r="J150" s="117" t="str">
        <f>IF(ISERROR(VLOOKUP($B150,SportslineData!$AM:$AT,3,0)),"",ROUND(VLOOKUP($B150,SportslineData!$AM:$AT,3,0),0))</f>
        <v/>
      </c>
      <c r="K150" s="33" t="str">
        <f>IF(ISERROR(VLOOKUP($B150,SportslineData!$AM:$AT,4,0)),"",VLOOKUP($B150,SportslineData!$AM:$AT,4,0))</f>
        <v/>
      </c>
      <c r="L150" s="33" t="str">
        <f>IF(ISERROR(VLOOKUP($B150,SportslineData!$AM:$AT,6,0)),"",ROUND(VLOOKUP($B150,SportslineData!$AM:$AT,6,0),0))</f>
        <v/>
      </c>
      <c r="M150" s="64" t="str">
        <f>IF(ISERROR(VLOOKUP($B150,SportslineData!$AM:$AT,7,0)),"",ROUND(VLOOKUP($B150,SportslineData!$AM:$AT,7,0),0))</f>
        <v/>
      </c>
      <c r="N150" s="117"/>
      <c r="O150" s="33"/>
      <c r="P150" s="38">
        <f>IF(ISERROR(ROUND((((ROUNDDOWN((E150/5),0)*Settings!$F$11)+(D150*Settings!$I$11))+(F150*Settings!$F$12)),1)),0,ROUND((((ROUNDDOWN((E150/5),0)*Settings!$F$11)+(D150*Settings!$I$11))+(F150*Settings!$F$12)),1))</f>
        <v>0</v>
      </c>
      <c r="Q150" s="38">
        <f>IF(ISERROR(ROUND((((ROUNDDOWN((H150/5),0)*Settings!$F$11)+(G150*Settings!$I$11))+(I150*Settings!$F$12)),1)),0,ROUND((((ROUNDDOWN((H150/5),0)*Settings!$F$11)+(G150*Settings!$I$11))+(I150*Settings!$F$12)),1))</f>
        <v>0</v>
      </c>
      <c r="R150" s="38">
        <f>IF((J150=""),0,((((J150*Settings!$I$11)+(ROUND((K150/5),0)*Settings!$F$11))+(L150*Settings!$F$12))+(M150*Settings!$F$15)))</f>
        <v>0</v>
      </c>
      <c r="S150" s="66">
        <f>ROUND((((P150*Settings!$B$21)+(Q150*Settings!$B$22))+(R150*Settings!$B$23)),1)</f>
        <v>0</v>
      </c>
      <c r="T150" s="66">
        <f>IF(ISERROR(VLOOKUP(RANK(S150,S$4:S$182),T$4:T149,1,0)),RANK(S150,S$4:S$182),IF(ISERROR(VLOOKUP((RANK(S150,S$4:S$182)+1),T$4:T149,1,0)),(RANK(S150,S$4:S$182)+1),IF(ISERROR(VLOOKUP((RANK(S150,S$4:S$182)+2),T$4:T149,1,0)),(RANK(S150,S$4:S$182)+2),(RANK(S150,S$4:S$182)+3))))</f>
        <v>87</v>
      </c>
      <c r="U150" t="str">
        <f t="shared" si="14"/>
        <v/>
      </c>
    </row>
    <row r="151" spans="1:21" ht="12.75" customHeight="1">
      <c r="A151" s="33">
        <f>ESPNData!AX154</f>
        <v>0</v>
      </c>
      <c r="B151" s="33" t="str">
        <f t="shared" si="12"/>
        <v/>
      </c>
      <c r="C151" s="64" t="e">
        <f t="shared" si="13"/>
        <v>#VALUE!</v>
      </c>
      <c r="D151" s="117" t="str">
        <f>IF(ISERROR(VLOOKUP($B151,FFTodayData!$AN:$AT,4,0)),"",VLOOKUP($B151,FFTodayData!$AN:$AT,4,0))</f>
        <v/>
      </c>
      <c r="E151" s="33" t="str">
        <f>IF(ISERROR(VLOOKUP($B151,FFTodayData!$AN:$AT,5,0)),"",VLOOKUP($B151,FFTodayData!$AN:$AT,5,0))</f>
        <v/>
      </c>
      <c r="F151" s="64" t="str">
        <f>IF(ISERROR(VLOOKUP($B151,FFTodayData!$AN:$AT,6,0)),"",VLOOKUP($B151,FFTodayData!$AN:$AT,6,0))</f>
        <v/>
      </c>
      <c r="G151" s="117" t="str">
        <f>IF(ISERROR(VLOOKUP($A151,ESPNData!$AX:$BK,11,0)),"",VLOOKUP($A151,ESPNData!$AX:$BK,11,0))</f>
        <v/>
      </c>
      <c r="H151" s="33" t="str">
        <f>IF(ISERROR(VLOOKUP($A151,ESPNData!$AX:$BK,12,0)),"",VLOOKUP($A151,ESPNData!$AX:$BK,12,0))</f>
        <v/>
      </c>
      <c r="I151" s="64" t="str">
        <f>IF(ISERROR(VLOOKUP($A151,ESPNData!$AX:$BK,13,0)),"",VLOOKUP($A151,ESPNData!$AX:$BK,13,0))</f>
        <v/>
      </c>
      <c r="J151" s="117" t="str">
        <f>IF(ISERROR(VLOOKUP($B151,SportslineData!$AM:$AT,3,0)),"",ROUND(VLOOKUP($B151,SportslineData!$AM:$AT,3,0),0))</f>
        <v/>
      </c>
      <c r="K151" s="33" t="str">
        <f>IF(ISERROR(VLOOKUP($B151,SportslineData!$AM:$AT,4,0)),"",VLOOKUP($B151,SportslineData!$AM:$AT,4,0))</f>
        <v/>
      </c>
      <c r="L151" s="33" t="str">
        <f>IF(ISERROR(VLOOKUP($B151,SportslineData!$AM:$AT,6,0)),"",ROUND(VLOOKUP($B151,SportslineData!$AM:$AT,6,0),0))</f>
        <v/>
      </c>
      <c r="M151" s="64" t="str">
        <f>IF(ISERROR(VLOOKUP($B151,SportslineData!$AM:$AT,7,0)),"",ROUND(VLOOKUP($B151,SportslineData!$AM:$AT,7,0),0))</f>
        <v/>
      </c>
      <c r="N151" s="117"/>
      <c r="O151" s="33"/>
      <c r="P151" s="38">
        <f>IF(ISERROR(ROUND((((ROUNDDOWN((E151/5),0)*Settings!$F$11)+(D151*Settings!$I$11))+(F151*Settings!$F$12)),1)),0,ROUND((((ROUNDDOWN((E151/5),0)*Settings!$F$11)+(D151*Settings!$I$11))+(F151*Settings!$F$12)),1))</f>
        <v>0</v>
      </c>
      <c r="Q151" s="38">
        <f>IF(ISERROR(ROUND((((ROUNDDOWN((H151/5),0)*Settings!$F$11)+(G151*Settings!$I$11))+(I151*Settings!$F$12)),1)),0,ROUND((((ROUNDDOWN((H151/5),0)*Settings!$F$11)+(G151*Settings!$I$11))+(I151*Settings!$F$12)),1))</f>
        <v>0</v>
      </c>
      <c r="R151" s="38">
        <f>IF((J151=""),0,((((J151*Settings!$I$11)+(ROUND((K151/5),0)*Settings!$F$11))+(L151*Settings!$F$12))+(M151*Settings!$F$15)))</f>
        <v>0</v>
      </c>
      <c r="S151" s="66">
        <f>ROUND((((P151*Settings!$B$21)+(Q151*Settings!$B$22))+(R151*Settings!$B$23)),1)</f>
        <v>0</v>
      </c>
      <c r="T151" s="66">
        <f>IF(ISERROR(VLOOKUP(RANK(S151,S$4:S$182),T$4:T150,1,0)),RANK(S151,S$4:S$182),IF(ISERROR(VLOOKUP((RANK(S151,S$4:S$182)+1),T$4:T150,1,0)),(RANK(S151,S$4:S$182)+1),IF(ISERROR(VLOOKUP((RANK(S151,S$4:S$182)+2),T$4:T150,1,0)),(RANK(S151,S$4:S$182)+2),(RANK(S151,S$4:S$182)+3))))</f>
        <v>87</v>
      </c>
      <c r="U151" t="str">
        <f t="shared" si="14"/>
        <v/>
      </c>
    </row>
    <row r="152" spans="1:21" ht="12.75" customHeight="1">
      <c r="A152" s="33">
        <f>ESPNData!AX155</f>
        <v>0</v>
      </c>
      <c r="B152" s="33" t="str">
        <f t="shared" si="12"/>
        <v/>
      </c>
      <c r="C152" s="64" t="e">
        <f t="shared" si="13"/>
        <v>#VALUE!</v>
      </c>
      <c r="D152" s="117" t="str">
        <f>IF(ISERROR(VLOOKUP($B152,FFTodayData!$AN:$AT,4,0)),"",VLOOKUP($B152,FFTodayData!$AN:$AT,4,0))</f>
        <v/>
      </c>
      <c r="E152" s="33" t="str">
        <f>IF(ISERROR(VLOOKUP($B152,FFTodayData!$AN:$AT,5,0)),"",VLOOKUP($B152,FFTodayData!$AN:$AT,5,0))</f>
        <v/>
      </c>
      <c r="F152" s="64" t="str">
        <f>IF(ISERROR(VLOOKUP($B152,FFTodayData!$AN:$AT,6,0)),"",VLOOKUP($B152,FFTodayData!$AN:$AT,6,0))</f>
        <v/>
      </c>
      <c r="G152" s="117" t="str">
        <f>IF(ISERROR(VLOOKUP($A152,ESPNData!$AX:$BK,11,0)),"",VLOOKUP($A152,ESPNData!$AX:$BK,11,0))</f>
        <v/>
      </c>
      <c r="H152" s="33" t="str">
        <f>IF(ISERROR(VLOOKUP($A152,ESPNData!$AX:$BK,12,0)),"",VLOOKUP($A152,ESPNData!$AX:$BK,12,0))</f>
        <v/>
      </c>
      <c r="I152" s="64" t="str">
        <f>IF(ISERROR(VLOOKUP($A152,ESPNData!$AX:$BK,13,0)),"",VLOOKUP($A152,ESPNData!$AX:$BK,13,0))</f>
        <v/>
      </c>
      <c r="J152" s="117" t="str">
        <f>IF(ISERROR(VLOOKUP($B152,SportslineData!$AM:$AT,3,0)),"",ROUND(VLOOKUP($B152,SportslineData!$AM:$AT,3,0),0))</f>
        <v/>
      </c>
      <c r="K152" s="33" t="str">
        <f>IF(ISERROR(VLOOKUP($B152,SportslineData!$AM:$AT,4,0)),"",VLOOKUP($B152,SportslineData!$AM:$AT,4,0))</f>
        <v/>
      </c>
      <c r="L152" s="33" t="str">
        <f>IF(ISERROR(VLOOKUP($B152,SportslineData!$AM:$AT,6,0)),"",ROUND(VLOOKUP($B152,SportslineData!$AM:$AT,6,0),0))</f>
        <v/>
      </c>
      <c r="M152" s="64" t="str">
        <f>IF(ISERROR(VLOOKUP($B152,SportslineData!$AM:$AT,7,0)),"",ROUND(VLOOKUP($B152,SportslineData!$AM:$AT,7,0),0))</f>
        <v/>
      </c>
      <c r="N152" s="117"/>
      <c r="O152" s="33"/>
      <c r="P152" s="38">
        <f>IF(ISERROR(ROUND((((ROUNDDOWN((E152/5),0)*Settings!$F$11)+(D152*Settings!$I$11))+(F152*Settings!$F$12)),1)),0,ROUND((((ROUNDDOWN((E152/5),0)*Settings!$F$11)+(D152*Settings!$I$11))+(F152*Settings!$F$12)),1))</f>
        <v>0</v>
      </c>
      <c r="Q152" s="38">
        <f>IF(ISERROR(ROUND((((ROUNDDOWN((H152/5),0)*Settings!$F$11)+(G152*Settings!$I$11))+(I152*Settings!$F$12)),1)),0,ROUND((((ROUNDDOWN((H152/5),0)*Settings!$F$11)+(G152*Settings!$I$11))+(I152*Settings!$F$12)),1))</f>
        <v>0</v>
      </c>
      <c r="R152" s="38">
        <f>IF((J152=""),0,((((J152*Settings!$I$11)+(ROUND((K152/5),0)*Settings!$F$11))+(L152*Settings!$F$12))+(M152*Settings!$F$15)))</f>
        <v>0</v>
      </c>
      <c r="S152" s="66">
        <f>ROUND((((P152*Settings!$B$21)+(Q152*Settings!$B$22))+(R152*Settings!$B$23)),1)</f>
        <v>0</v>
      </c>
      <c r="T152" s="66">
        <f>IF(ISERROR(VLOOKUP(RANK(S152,S$4:S$182),T$4:T151,1,0)),RANK(S152,S$4:S$182),IF(ISERROR(VLOOKUP((RANK(S152,S$4:S$182)+1),T$4:T151,1,0)),(RANK(S152,S$4:S$182)+1),IF(ISERROR(VLOOKUP((RANK(S152,S$4:S$182)+2),T$4:T151,1,0)),(RANK(S152,S$4:S$182)+2),(RANK(S152,S$4:S$182)+3))))</f>
        <v>87</v>
      </c>
      <c r="U152" t="str">
        <f t="shared" si="14"/>
        <v/>
      </c>
    </row>
    <row r="153" spans="1:21" ht="12.75" customHeight="1">
      <c r="A153" s="33">
        <f>ESPNData!AX156</f>
        <v>0</v>
      </c>
      <c r="B153" s="33" t="str">
        <f t="shared" si="12"/>
        <v/>
      </c>
      <c r="C153" s="64" t="e">
        <f t="shared" si="13"/>
        <v>#VALUE!</v>
      </c>
      <c r="D153" s="117" t="str">
        <f>IF(ISERROR(VLOOKUP($B153,FFTodayData!$AN:$AT,4,0)),"",VLOOKUP($B153,FFTodayData!$AN:$AT,4,0))</f>
        <v/>
      </c>
      <c r="E153" s="33" t="str">
        <f>IF(ISERROR(VLOOKUP($B153,FFTodayData!$AN:$AT,5,0)),"",VLOOKUP($B153,FFTodayData!$AN:$AT,5,0))</f>
        <v/>
      </c>
      <c r="F153" s="64" t="str">
        <f>IF(ISERROR(VLOOKUP($B153,FFTodayData!$AN:$AT,6,0)),"",VLOOKUP($B153,FFTodayData!$AN:$AT,6,0))</f>
        <v/>
      </c>
      <c r="G153" s="117" t="str">
        <f>IF(ISERROR(VLOOKUP($A153,ESPNData!$AX:$BK,11,0)),"",VLOOKUP($A153,ESPNData!$AX:$BK,11,0))</f>
        <v/>
      </c>
      <c r="H153" s="33" t="str">
        <f>IF(ISERROR(VLOOKUP($A153,ESPNData!$AX:$BK,12,0)),"",VLOOKUP($A153,ESPNData!$AX:$BK,12,0))</f>
        <v/>
      </c>
      <c r="I153" s="64" t="str">
        <f>IF(ISERROR(VLOOKUP($A153,ESPNData!$AX:$BK,13,0)),"",VLOOKUP($A153,ESPNData!$AX:$BK,13,0))</f>
        <v/>
      </c>
      <c r="J153" s="117" t="str">
        <f>IF(ISERROR(VLOOKUP($B153,SportslineData!$AM:$AT,3,0)),"",ROUND(VLOOKUP($B153,SportslineData!$AM:$AT,3,0),0))</f>
        <v/>
      </c>
      <c r="K153" s="33" t="str">
        <f>IF(ISERROR(VLOOKUP($B153,SportslineData!$AM:$AT,4,0)),"",VLOOKUP($B153,SportslineData!$AM:$AT,4,0))</f>
        <v/>
      </c>
      <c r="L153" s="33" t="str">
        <f>IF(ISERROR(VLOOKUP($B153,SportslineData!$AM:$AT,6,0)),"",ROUND(VLOOKUP($B153,SportslineData!$AM:$AT,6,0),0))</f>
        <v/>
      </c>
      <c r="M153" s="64" t="str">
        <f>IF(ISERROR(VLOOKUP($B153,SportslineData!$AM:$AT,7,0)),"",ROUND(VLOOKUP($B153,SportslineData!$AM:$AT,7,0),0))</f>
        <v/>
      </c>
      <c r="N153" s="117"/>
      <c r="O153" s="33"/>
      <c r="P153" s="38">
        <f>IF(ISERROR(ROUND((((ROUNDDOWN((E153/5),0)*Settings!$F$11)+(D153*Settings!$I$11))+(F153*Settings!$F$12)),1)),0,ROUND((((ROUNDDOWN((E153/5),0)*Settings!$F$11)+(D153*Settings!$I$11))+(F153*Settings!$F$12)),1))</f>
        <v>0</v>
      </c>
      <c r="Q153" s="38">
        <f>IF(ISERROR(ROUND((((ROUNDDOWN((H153/5),0)*Settings!$F$11)+(G153*Settings!$I$11))+(I153*Settings!$F$12)),1)),0,ROUND((((ROUNDDOWN((H153/5),0)*Settings!$F$11)+(G153*Settings!$I$11))+(I153*Settings!$F$12)),1))</f>
        <v>0</v>
      </c>
      <c r="R153" s="38">
        <f>IF((J153=""),0,((((J153*Settings!$I$11)+(ROUND((K153/5),0)*Settings!$F$11))+(L153*Settings!$F$12))+(M153*Settings!$F$15)))</f>
        <v>0</v>
      </c>
      <c r="S153" s="66">
        <f>ROUND((((P153*Settings!$B$21)+(Q153*Settings!$B$22))+(R153*Settings!$B$23)),1)</f>
        <v>0</v>
      </c>
      <c r="T153" s="66">
        <f>IF(ISERROR(VLOOKUP(RANK(S153,S$4:S$182),T$4:T152,1,0)),RANK(S153,S$4:S$182),IF(ISERROR(VLOOKUP((RANK(S153,S$4:S$182)+1),T$4:T152,1,0)),(RANK(S153,S$4:S$182)+1),IF(ISERROR(VLOOKUP((RANK(S153,S$4:S$182)+2),T$4:T152,1,0)),(RANK(S153,S$4:S$182)+2),(RANK(S153,S$4:S$182)+3))))</f>
        <v>87</v>
      </c>
      <c r="U153" t="str">
        <f t="shared" si="14"/>
        <v/>
      </c>
    </row>
    <row r="154" spans="1:21" ht="12.75" customHeight="1">
      <c r="A154" s="33">
        <f>ESPNData!AX157</f>
        <v>0</v>
      </c>
      <c r="B154" s="33" t="str">
        <f t="shared" si="12"/>
        <v/>
      </c>
      <c r="C154" s="64" t="e">
        <f t="shared" si="13"/>
        <v>#VALUE!</v>
      </c>
      <c r="D154" s="117" t="str">
        <f>IF(ISERROR(VLOOKUP($B154,FFTodayData!$AN:$AT,4,0)),"",VLOOKUP($B154,FFTodayData!$AN:$AT,4,0))</f>
        <v/>
      </c>
      <c r="E154" s="33" t="str">
        <f>IF(ISERROR(VLOOKUP($B154,FFTodayData!$AN:$AT,5,0)),"",VLOOKUP($B154,FFTodayData!$AN:$AT,5,0))</f>
        <v/>
      </c>
      <c r="F154" s="64" t="str">
        <f>IF(ISERROR(VLOOKUP($B154,FFTodayData!$AN:$AT,6,0)),"",VLOOKUP($B154,FFTodayData!$AN:$AT,6,0))</f>
        <v/>
      </c>
      <c r="G154" s="117" t="str">
        <f>IF(ISERROR(VLOOKUP($A154,ESPNData!$AX:$BK,11,0)),"",VLOOKUP($A154,ESPNData!$AX:$BK,11,0))</f>
        <v/>
      </c>
      <c r="H154" s="33" t="str">
        <f>IF(ISERROR(VLOOKUP($A154,ESPNData!$AX:$BK,12,0)),"",VLOOKUP($A154,ESPNData!$AX:$BK,12,0))</f>
        <v/>
      </c>
      <c r="I154" s="64" t="str">
        <f>IF(ISERROR(VLOOKUP($A154,ESPNData!$AX:$BK,13,0)),"",VLOOKUP($A154,ESPNData!$AX:$BK,13,0))</f>
        <v/>
      </c>
      <c r="J154" s="117" t="str">
        <f>IF(ISERROR(VLOOKUP($B154,SportslineData!$AM:$AT,3,0)),"",ROUND(VLOOKUP($B154,SportslineData!$AM:$AT,3,0),0))</f>
        <v/>
      </c>
      <c r="K154" s="33" t="str">
        <f>IF(ISERROR(VLOOKUP($B154,SportslineData!$AM:$AT,4,0)),"",VLOOKUP($B154,SportslineData!$AM:$AT,4,0))</f>
        <v/>
      </c>
      <c r="L154" s="33" t="str">
        <f>IF(ISERROR(VLOOKUP($B154,SportslineData!$AM:$AT,6,0)),"",ROUND(VLOOKUP($B154,SportslineData!$AM:$AT,6,0),0))</f>
        <v/>
      </c>
      <c r="M154" s="64" t="str">
        <f>IF(ISERROR(VLOOKUP($B154,SportslineData!$AM:$AT,7,0)),"",ROUND(VLOOKUP($B154,SportslineData!$AM:$AT,7,0),0))</f>
        <v/>
      </c>
      <c r="N154" s="117"/>
      <c r="O154" s="33"/>
      <c r="P154" s="38">
        <f>IF(ISERROR(ROUND((((ROUNDDOWN((E154/5),0)*Settings!$F$11)+(D154*Settings!$I$11))+(F154*Settings!$F$12)),1)),0,ROUND((((ROUNDDOWN((E154/5),0)*Settings!$F$11)+(D154*Settings!$I$11))+(F154*Settings!$F$12)),1))</f>
        <v>0</v>
      </c>
      <c r="Q154" s="38">
        <f>IF(ISERROR(ROUND((((ROUNDDOWN((H154/5),0)*Settings!$F$11)+(G154*Settings!$I$11))+(I154*Settings!$F$12)),1)),0,ROUND((((ROUNDDOWN((H154/5),0)*Settings!$F$11)+(G154*Settings!$I$11))+(I154*Settings!$F$12)),1))</f>
        <v>0</v>
      </c>
      <c r="R154" s="38">
        <f>IF((J154=""),0,((((J154*Settings!$I$11)+(ROUND((K154/5),0)*Settings!$F$11))+(L154*Settings!$F$12))+(M154*Settings!$F$15)))</f>
        <v>0</v>
      </c>
      <c r="S154" s="66">
        <f>ROUND((((P154*Settings!$B$21)+(Q154*Settings!$B$22))+(R154*Settings!$B$23)),1)</f>
        <v>0</v>
      </c>
      <c r="T154" s="66">
        <f>IF(ISERROR(VLOOKUP(RANK(S154,S$4:S$182),T$4:T153,1,0)),RANK(S154,S$4:S$182),IF(ISERROR(VLOOKUP((RANK(S154,S$4:S$182)+1),T$4:T153,1,0)),(RANK(S154,S$4:S$182)+1),IF(ISERROR(VLOOKUP((RANK(S154,S$4:S$182)+2),T$4:T153,1,0)),(RANK(S154,S$4:S$182)+2),(RANK(S154,S$4:S$182)+3))))</f>
        <v>87</v>
      </c>
      <c r="U154" t="str">
        <f t="shared" si="14"/>
        <v/>
      </c>
    </row>
    <row r="155" spans="1:21" ht="12.75" customHeight="1">
      <c r="A155" s="33">
        <f>ESPNData!AX158</f>
        <v>0</v>
      </c>
      <c r="B155" s="33" t="str">
        <f t="shared" si="12"/>
        <v/>
      </c>
      <c r="C155" s="64" t="e">
        <f t="shared" si="13"/>
        <v>#VALUE!</v>
      </c>
      <c r="D155" s="117" t="str">
        <f>IF(ISERROR(VLOOKUP($B155,FFTodayData!$AN:$AT,4,0)),"",VLOOKUP($B155,FFTodayData!$AN:$AT,4,0))</f>
        <v/>
      </c>
      <c r="E155" s="33" t="str">
        <f>IF(ISERROR(VLOOKUP($B155,FFTodayData!$AN:$AT,5,0)),"",VLOOKUP($B155,FFTodayData!$AN:$AT,5,0))</f>
        <v/>
      </c>
      <c r="F155" s="64" t="str">
        <f>IF(ISERROR(VLOOKUP($B155,FFTodayData!$AN:$AT,6,0)),"",VLOOKUP($B155,FFTodayData!$AN:$AT,6,0))</f>
        <v/>
      </c>
      <c r="G155" s="117" t="str">
        <f>IF(ISERROR(VLOOKUP($A155,ESPNData!$AX:$BK,11,0)),"",VLOOKUP($A155,ESPNData!$AX:$BK,11,0))</f>
        <v/>
      </c>
      <c r="H155" s="33" t="str">
        <f>IF(ISERROR(VLOOKUP($A155,ESPNData!$AX:$BK,12,0)),"",VLOOKUP($A155,ESPNData!$AX:$BK,12,0))</f>
        <v/>
      </c>
      <c r="I155" s="64" t="str">
        <f>IF(ISERROR(VLOOKUP($A155,ESPNData!$AX:$BK,13,0)),"",VLOOKUP($A155,ESPNData!$AX:$BK,13,0))</f>
        <v/>
      </c>
      <c r="J155" s="117" t="str">
        <f>IF(ISERROR(VLOOKUP($B155,SportslineData!$AM:$AT,3,0)),"",ROUND(VLOOKUP($B155,SportslineData!$AM:$AT,3,0),0))</f>
        <v/>
      </c>
      <c r="K155" s="33" t="str">
        <f>IF(ISERROR(VLOOKUP($B155,SportslineData!$AM:$AT,4,0)),"",VLOOKUP($B155,SportslineData!$AM:$AT,4,0))</f>
        <v/>
      </c>
      <c r="L155" s="33" t="str">
        <f>IF(ISERROR(VLOOKUP($B155,SportslineData!$AM:$AT,6,0)),"",ROUND(VLOOKUP($B155,SportslineData!$AM:$AT,6,0),0))</f>
        <v/>
      </c>
      <c r="M155" s="64" t="str">
        <f>IF(ISERROR(VLOOKUP($B155,SportslineData!$AM:$AT,7,0)),"",ROUND(VLOOKUP($B155,SportslineData!$AM:$AT,7,0),0))</f>
        <v/>
      </c>
      <c r="N155" s="117"/>
      <c r="O155" s="33"/>
      <c r="P155" s="38">
        <f>IF(ISERROR(ROUND((((ROUNDDOWN((E155/5),0)*Settings!$F$11)+(D155*Settings!$I$11))+(F155*Settings!$F$12)),1)),0,ROUND((((ROUNDDOWN((E155/5),0)*Settings!$F$11)+(D155*Settings!$I$11))+(F155*Settings!$F$12)),1))</f>
        <v>0</v>
      </c>
      <c r="Q155" s="38">
        <f>IF(ISERROR(ROUND((((ROUNDDOWN((H155/5),0)*Settings!$F$11)+(G155*Settings!$I$11))+(I155*Settings!$F$12)),1)),0,ROUND((((ROUNDDOWN((H155/5),0)*Settings!$F$11)+(G155*Settings!$I$11))+(I155*Settings!$F$12)),1))</f>
        <v>0</v>
      </c>
      <c r="R155" s="38">
        <f>IF((J155=""),0,((((J155*Settings!$I$11)+(ROUND((K155/5),0)*Settings!$F$11))+(L155*Settings!$F$12))+(M155*Settings!$F$15)))</f>
        <v>0</v>
      </c>
      <c r="S155" s="66">
        <f>ROUND((((P155*Settings!$B$21)+(Q155*Settings!$B$22))+(R155*Settings!$B$23)),1)</f>
        <v>0</v>
      </c>
      <c r="T155" s="66">
        <f>IF(ISERROR(VLOOKUP(RANK(S155,S$4:S$182),T$4:T154,1,0)),RANK(S155,S$4:S$182),IF(ISERROR(VLOOKUP((RANK(S155,S$4:S$182)+1),T$4:T154,1,0)),(RANK(S155,S$4:S$182)+1),IF(ISERROR(VLOOKUP((RANK(S155,S$4:S$182)+2),T$4:T154,1,0)),(RANK(S155,S$4:S$182)+2),(RANK(S155,S$4:S$182)+3))))</f>
        <v>87</v>
      </c>
      <c r="U155" t="str">
        <f t="shared" si="14"/>
        <v/>
      </c>
    </row>
    <row r="156" spans="1:21" ht="12.75" customHeight="1">
      <c r="A156" s="33">
        <f>ESPNData!AX159</f>
        <v>0</v>
      </c>
      <c r="B156" s="33" t="str">
        <f t="shared" si="12"/>
        <v/>
      </c>
      <c r="C156" s="64" t="e">
        <f t="shared" si="13"/>
        <v>#VALUE!</v>
      </c>
      <c r="D156" s="117" t="str">
        <f>IF(ISERROR(VLOOKUP($B156,FFTodayData!$AN:$AT,4,0)),"",VLOOKUP($B156,FFTodayData!$AN:$AT,4,0))</f>
        <v/>
      </c>
      <c r="E156" s="33" t="str">
        <f>IF(ISERROR(VLOOKUP($B156,FFTodayData!$AN:$AT,5,0)),"",VLOOKUP($B156,FFTodayData!$AN:$AT,5,0))</f>
        <v/>
      </c>
      <c r="F156" s="64" t="str">
        <f>IF(ISERROR(VLOOKUP($B156,FFTodayData!$AN:$AT,6,0)),"",VLOOKUP($B156,FFTodayData!$AN:$AT,6,0))</f>
        <v/>
      </c>
      <c r="G156" s="117" t="str">
        <f>IF(ISERROR(VLOOKUP($A156,ESPNData!$AX:$BK,11,0)),"",VLOOKUP($A156,ESPNData!$AX:$BK,11,0))</f>
        <v/>
      </c>
      <c r="H156" s="33" t="str">
        <f>IF(ISERROR(VLOOKUP($A156,ESPNData!$AX:$BK,12,0)),"",VLOOKUP($A156,ESPNData!$AX:$BK,12,0))</f>
        <v/>
      </c>
      <c r="I156" s="64" t="str">
        <f>IF(ISERROR(VLOOKUP($A156,ESPNData!$AX:$BK,13,0)),"",VLOOKUP($A156,ESPNData!$AX:$BK,13,0))</f>
        <v/>
      </c>
      <c r="J156" s="117" t="str">
        <f>IF(ISERROR(VLOOKUP($B156,SportslineData!$AM:$AT,3,0)),"",ROUND(VLOOKUP($B156,SportslineData!$AM:$AT,3,0),0))</f>
        <v/>
      </c>
      <c r="K156" s="33" t="str">
        <f>IF(ISERROR(VLOOKUP($B156,SportslineData!$AM:$AT,4,0)),"",VLOOKUP($B156,SportslineData!$AM:$AT,4,0))</f>
        <v/>
      </c>
      <c r="L156" s="33" t="str">
        <f>IF(ISERROR(VLOOKUP($B156,SportslineData!$AM:$AT,6,0)),"",ROUND(VLOOKUP($B156,SportslineData!$AM:$AT,6,0),0))</f>
        <v/>
      </c>
      <c r="M156" s="64" t="str">
        <f>IF(ISERROR(VLOOKUP($B156,SportslineData!$AM:$AT,7,0)),"",ROUND(VLOOKUP($B156,SportslineData!$AM:$AT,7,0),0))</f>
        <v/>
      </c>
      <c r="N156" s="117"/>
      <c r="O156" s="33"/>
      <c r="P156" s="38">
        <f>IF(ISERROR(ROUND((((ROUNDDOWN((E156/5),0)*Settings!$F$11)+(D156*Settings!$I$11))+(F156*Settings!$F$12)),1)),0,ROUND((((ROUNDDOWN((E156/5),0)*Settings!$F$11)+(D156*Settings!$I$11))+(F156*Settings!$F$12)),1))</f>
        <v>0</v>
      </c>
      <c r="Q156" s="38">
        <f>IF(ISERROR(ROUND((((ROUNDDOWN((H156/5),0)*Settings!$F$11)+(G156*Settings!$I$11))+(I156*Settings!$F$12)),1)),0,ROUND((((ROUNDDOWN((H156/5),0)*Settings!$F$11)+(G156*Settings!$I$11))+(I156*Settings!$F$12)),1))</f>
        <v>0</v>
      </c>
      <c r="R156" s="38">
        <f>IF((J156=""),0,((((J156*Settings!$I$11)+(ROUND((K156/5),0)*Settings!$F$11))+(L156*Settings!$F$12))+(M156*Settings!$F$15)))</f>
        <v>0</v>
      </c>
      <c r="S156" s="66">
        <f>ROUND((((P156*Settings!$B$21)+(Q156*Settings!$B$22))+(R156*Settings!$B$23)),1)</f>
        <v>0</v>
      </c>
      <c r="T156" s="66">
        <f>IF(ISERROR(VLOOKUP(RANK(S156,S$4:S$182),T$4:T155,1,0)),RANK(S156,S$4:S$182),IF(ISERROR(VLOOKUP((RANK(S156,S$4:S$182)+1),T$4:T155,1,0)),(RANK(S156,S$4:S$182)+1),IF(ISERROR(VLOOKUP((RANK(S156,S$4:S$182)+2),T$4:T155,1,0)),(RANK(S156,S$4:S$182)+2),(RANK(S156,S$4:S$182)+3))))</f>
        <v>87</v>
      </c>
      <c r="U156" t="str">
        <f t="shared" si="14"/>
        <v/>
      </c>
    </row>
    <row r="157" spans="1:21" ht="12.75" customHeight="1">
      <c r="A157" s="33">
        <f>ESPNData!AX160</f>
        <v>0</v>
      </c>
      <c r="B157" s="33" t="str">
        <f t="shared" si="12"/>
        <v/>
      </c>
      <c r="C157" s="64" t="e">
        <f t="shared" si="13"/>
        <v>#VALUE!</v>
      </c>
      <c r="D157" s="117" t="str">
        <f>IF(ISERROR(VLOOKUP($B157,FFTodayData!$AN:$AT,4,0)),"",VLOOKUP($B157,FFTodayData!$AN:$AT,4,0))</f>
        <v/>
      </c>
      <c r="E157" s="33" t="str">
        <f>IF(ISERROR(VLOOKUP($B157,FFTodayData!$AN:$AT,5,0)),"",VLOOKUP($B157,FFTodayData!$AN:$AT,5,0))</f>
        <v/>
      </c>
      <c r="F157" s="64" t="str">
        <f>IF(ISERROR(VLOOKUP($B157,FFTodayData!$AN:$AT,6,0)),"",VLOOKUP($B157,FFTodayData!$AN:$AT,6,0))</f>
        <v/>
      </c>
      <c r="G157" s="117" t="str">
        <f>IF(ISERROR(VLOOKUP($A157,ESPNData!$AX:$BK,11,0)),"",VLOOKUP($A157,ESPNData!$AX:$BK,11,0))</f>
        <v/>
      </c>
      <c r="H157" s="33" t="str">
        <f>IF(ISERROR(VLOOKUP($A157,ESPNData!$AX:$BK,12,0)),"",VLOOKUP($A157,ESPNData!$AX:$BK,12,0))</f>
        <v/>
      </c>
      <c r="I157" s="64" t="str">
        <f>IF(ISERROR(VLOOKUP($A157,ESPNData!$AX:$BK,13,0)),"",VLOOKUP($A157,ESPNData!$AX:$BK,13,0))</f>
        <v/>
      </c>
      <c r="J157" s="117" t="str">
        <f>IF(ISERROR(VLOOKUP($B157,SportslineData!$AM:$AT,3,0)),"",ROUND(VLOOKUP($B157,SportslineData!$AM:$AT,3,0),0))</f>
        <v/>
      </c>
      <c r="K157" s="33" t="str">
        <f>IF(ISERROR(VLOOKUP($B157,SportslineData!$AM:$AT,4,0)),"",VLOOKUP($B157,SportslineData!$AM:$AT,4,0))</f>
        <v/>
      </c>
      <c r="L157" s="33" t="str">
        <f>IF(ISERROR(VLOOKUP($B157,SportslineData!$AM:$AT,6,0)),"",ROUND(VLOOKUP($B157,SportslineData!$AM:$AT,6,0),0))</f>
        <v/>
      </c>
      <c r="M157" s="64" t="str">
        <f>IF(ISERROR(VLOOKUP($B157,SportslineData!$AM:$AT,7,0)),"",ROUND(VLOOKUP($B157,SportslineData!$AM:$AT,7,0),0))</f>
        <v/>
      </c>
      <c r="N157" s="117"/>
      <c r="O157" s="33"/>
      <c r="P157" s="38">
        <f>IF(ISERROR(ROUND((((ROUNDDOWN((E157/5),0)*Settings!$F$11)+(D157*Settings!$I$11))+(F157*Settings!$F$12)),1)),0,ROUND((((ROUNDDOWN((E157/5),0)*Settings!$F$11)+(D157*Settings!$I$11))+(F157*Settings!$F$12)),1))</f>
        <v>0</v>
      </c>
      <c r="Q157" s="38">
        <f>IF(ISERROR(ROUND((((ROUNDDOWN((H157/5),0)*Settings!$F$11)+(G157*Settings!$I$11))+(I157*Settings!$F$12)),1)),0,ROUND((((ROUNDDOWN((H157/5),0)*Settings!$F$11)+(G157*Settings!$I$11))+(I157*Settings!$F$12)),1))</f>
        <v>0</v>
      </c>
      <c r="R157" s="38">
        <f>IF((J157=""),0,((((J157*Settings!$I$11)+(ROUND((K157/5),0)*Settings!$F$11))+(L157*Settings!$F$12))+(M157*Settings!$F$15)))</f>
        <v>0</v>
      </c>
      <c r="S157" s="66">
        <f>ROUND((((P157*Settings!$B$21)+(Q157*Settings!$B$22))+(R157*Settings!$B$23)),1)</f>
        <v>0</v>
      </c>
      <c r="T157" s="66">
        <f>IF(ISERROR(VLOOKUP(RANK(S157,S$4:S$182),T$4:T156,1,0)),RANK(S157,S$4:S$182),IF(ISERROR(VLOOKUP((RANK(S157,S$4:S$182)+1),T$4:T156,1,0)),(RANK(S157,S$4:S$182)+1),IF(ISERROR(VLOOKUP((RANK(S157,S$4:S$182)+2),T$4:T156,1,0)),(RANK(S157,S$4:S$182)+2),(RANK(S157,S$4:S$182)+3))))</f>
        <v>87</v>
      </c>
      <c r="U157" t="str">
        <f t="shared" si="14"/>
        <v/>
      </c>
    </row>
    <row r="158" spans="1:21" ht="12.75" customHeight="1">
      <c r="A158" s="33">
        <f>ESPNData!AX161</f>
        <v>0</v>
      </c>
      <c r="B158" s="33" t="str">
        <f t="shared" si="12"/>
        <v/>
      </c>
      <c r="C158" s="64" t="e">
        <f t="shared" si="13"/>
        <v>#VALUE!</v>
      </c>
      <c r="D158" s="117" t="str">
        <f>IF(ISERROR(VLOOKUP($B158,FFTodayData!$AN:$AT,4,0)),"",VLOOKUP($B158,FFTodayData!$AN:$AT,4,0))</f>
        <v/>
      </c>
      <c r="E158" s="33" t="str">
        <f>IF(ISERROR(VLOOKUP($B158,FFTodayData!$AN:$AT,5,0)),"",VLOOKUP($B158,FFTodayData!$AN:$AT,5,0))</f>
        <v/>
      </c>
      <c r="F158" s="64" t="str">
        <f>IF(ISERROR(VLOOKUP($B158,FFTodayData!$AN:$AT,6,0)),"",VLOOKUP($B158,FFTodayData!$AN:$AT,6,0))</f>
        <v/>
      </c>
      <c r="G158" s="117" t="str">
        <f>IF(ISERROR(VLOOKUP($A158,ESPNData!$AX:$BK,11,0)),"",VLOOKUP($A158,ESPNData!$AX:$BK,11,0))</f>
        <v/>
      </c>
      <c r="H158" s="33" t="str">
        <f>IF(ISERROR(VLOOKUP($A158,ESPNData!$AX:$BK,12,0)),"",VLOOKUP($A158,ESPNData!$AX:$BK,12,0))</f>
        <v/>
      </c>
      <c r="I158" s="64" t="str">
        <f>IF(ISERROR(VLOOKUP($A158,ESPNData!$AX:$BK,13,0)),"",VLOOKUP($A158,ESPNData!$AX:$BK,13,0))</f>
        <v/>
      </c>
      <c r="J158" s="117" t="str">
        <f>IF(ISERROR(VLOOKUP($B158,SportslineData!$AM:$AT,3,0)),"",ROUND(VLOOKUP($B158,SportslineData!$AM:$AT,3,0),0))</f>
        <v/>
      </c>
      <c r="K158" s="33" t="str">
        <f>IF(ISERROR(VLOOKUP($B158,SportslineData!$AM:$AT,4,0)),"",VLOOKUP($B158,SportslineData!$AM:$AT,4,0))</f>
        <v/>
      </c>
      <c r="L158" s="33" t="str">
        <f>IF(ISERROR(VLOOKUP($B158,SportslineData!$AM:$AT,6,0)),"",ROUND(VLOOKUP($B158,SportslineData!$AM:$AT,6,0),0))</f>
        <v/>
      </c>
      <c r="M158" s="64" t="str">
        <f>IF(ISERROR(VLOOKUP($B158,SportslineData!$AM:$AT,7,0)),"",ROUND(VLOOKUP($B158,SportslineData!$AM:$AT,7,0),0))</f>
        <v/>
      </c>
      <c r="N158" s="117"/>
      <c r="O158" s="33"/>
      <c r="P158" s="38">
        <f>IF(ISERROR(ROUND((((ROUNDDOWN((E158/5),0)*Settings!$F$11)+(D158*Settings!$I$11))+(F158*Settings!$F$12)),1)),0,ROUND((((ROUNDDOWN((E158/5),0)*Settings!$F$11)+(D158*Settings!$I$11))+(F158*Settings!$F$12)),1))</f>
        <v>0</v>
      </c>
      <c r="Q158" s="38">
        <f>IF(ISERROR(ROUND((((ROUNDDOWN((H158/5),0)*Settings!$F$11)+(G158*Settings!$I$11))+(I158*Settings!$F$12)),1)),0,ROUND((((ROUNDDOWN((H158/5),0)*Settings!$F$11)+(G158*Settings!$I$11))+(I158*Settings!$F$12)),1))</f>
        <v>0</v>
      </c>
      <c r="R158" s="38">
        <f>IF((J158=""),0,((((J158*Settings!$I$11)+(ROUND((K158/5),0)*Settings!$F$11))+(L158*Settings!$F$12))+(M158*Settings!$F$15)))</f>
        <v>0</v>
      </c>
      <c r="S158" s="66">
        <f>ROUND((((P158*Settings!$B$21)+(Q158*Settings!$B$22))+(R158*Settings!$B$23)),1)</f>
        <v>0</v>
      </c>
      <c r="T158" s="66">
        <f>IF(ISERROR(VLOOKUP(RANK(S158,S$4:S$182),T$4:T157,1,0)),RANK(S158,S$4:S$182),IF(ISERROR(VLOOKUP((RANK(S158,S$4:S$182)+1),T$4:T157,1,0)),(RANK(S158,S$4:S$182)+1),IF(ISERROR(VLOOKUP((RANK(S158,S$4:S$182)+2),T$4:T157,1,0)),(RANK(S158,S$4:S$182)+2),(RANK(S158,S$4:S$182)+3))))</f>
        <v>87</v>
      </c>
      <c r="U158" t="str">
        <f t="shared" si="14"/>
        <v/>
      </c>
    </row>
    <row r="159" spans="1:21" ht="12.75" customHeight="1">
      <c r="A159" s="33">
        <f>ESPNData!AX162</f>
        <v>0</v>
      </c>
      <c r="B159" s="33" t="str">
        <f t="shared" si="12"/>
        <v/>
      </c>
      <c r="C159" s="64" t="e">
        <f t="shared" si="13"/>
        <v>#VALUE!</v>
      </c>
      <c r="D159" s="117" t="str">
        <f>IF(ISERROR(VLOOKUP($B159,FFTodayData!$AN:$AT,4,0)),"",VLOOKUP($B159,FFTodayData!$AN:$AT,4,0))</f>
        <v/>
      </c>
      <c r="E159" s="33" t="str">
        <f>IF(ISERROR(VLOOKUP($B159,FFTodayData!$AN:$AT,5,0)),"",VLOOKUP($B159,FFTodayData!$AN:$AT,5,0))</f>
        <v/>
      </c>
      <c r="F159" s="64" t="str">
        <f>IF(ISERROR(VLOOKUP($B159,FFTodayData!$AN:$AT,6,0)),"",VLOOKUP($B159,FFTodayData!$AN:$AT,6,0))</f>
        <v/>
      </c>
      <c r="G159" s="117" t="str">
        <f>IF(ISERROR(VLOOKUP($A159,ESPNData!$AX:$BK,11,0)),"",VLOOKUP($A159,ESPNData!$AX:$BK,11,0))</f>
        <v/>
      </c>
      <c r="H159" s="33" t="str">
        <f>IF(ISERROR(VLOOKUP($A159,ESPNData!$AX:$BK,12,0)),"",VLOOKUP($A159,ESPNData!$AX:$BK,12,0))</f>
        <v/>
      </c>
      <c r="I159" s="64" t="str">
        <f>IF(ISERROR(VLOOKUP($A159,ESPNData!$AX:$BK,13,0)),"",VLOOKUP($A159,ESPNData!$AX:$BK,13,0))</f>
        <v/>
      </c>
      <c r="J159" s="117" t="str">
        <f>IF(ISERROR(VLOOKUP($B159,SportslineData!$AM:$AT,3,0)),"",ROUND(VLOOKUP($B159,SportslineData!$AM:$AT,3,0),0))</f>
        <v/>
      </c>
      <c r="K159" s="33" t="str">
        <f>IF(ISERROR(VLOOKUP($B159,SportslineData!$AM:$AT,4,0)),"",VLOOKUP($B159,SportslineData!$AM:$AT,4,0))</f>
        <v/>
      </c>
      <c r="L159" s="33" t="str">
        <f>IF(ISERROR(VLOOKUP($B159,SportslineData!$AM:$AT,6,0)),"",ROUND(VLOOKUP($B159,SportslineData!$AM:$AT,6,0),0))</f>
        <v/>
      </c>
      <c r="M159" s="64" t="str">
        <f>IF(ISERROR(VLOOKUP($B159,SportslineData!$AM:$AT,7,0)),"",ROUND(VLOOKUP($B159,SportslineData!$AM:$AT,7,0),0))</f>
        <v/>
      </c>
      <c r="N159" s="117"/>
      <c r="O159" s="33"/>
      <c r="P159" s="38">
        <f>IF(ISERROR(ROUND((((ROUNDDOWN((E159/5),0)*Settings!$F$11)+(D159*Settings!$I$11))+(F159*Settings!$F$12)),1)),0,ROUND((((ROUNDDOWN((E159/5),0)*Settings!$F$11)+(D159*Settings!$I$11))+(F159*Settings!$F$12)),1))</f>
        <v>0</v>
      </c>
      <c r="Q159" s="38">
        <f>IF(ISERROR(ROUND((((ROUNDDOWN((H159/5),0)*Settings!$F$11)+(G159*Settings!$I$11))+(I159*Settings!$F$12)),1)),0,ROUND((((ROUNDDOWN((H159/5),0)*Settings!$F$11)+(G159*Settings!$I$11))+(I159*Settings!$F$12)),1))</f>
        <v>0</v>
      </c>
      <c r="R159" s="38">
        <f>IF((J159=""),0,((((J159*Settings!$I$11)+(ROUND((K159/5),0)*Settings!$F$11))+(L159*Settings!$F$12))+(M159*Settings!$F$15)))</f>
        <v>0</v>
      </c>
      <c r="S159" s="66">
        <f>ROUND((((P159*Settings!$B$21)+(Q159*Settings!$B$22))+(R159*Settings!$B$23)),1)</f>
        <v>0</v>
      </c>
      <c r="T159" s="66">
        <f>IF(ISERROR(VLOOKUP(RANK(S159,S$4:S$182),T$4:T158,1,0)),RANK(S159,S$4:S$182),IF(ISERROR(VLOOKUP((RANK(S159,S$4:S$182)+1),T$4:T158,1,0)),(RANK(S159,S$4:S$182)+1),IF(ISERROR(VLOOKUP((RANK(S159,S$4:S$182)+2),T$4:T158,1,0)),(RANK(S159,S$4:S$182)+2),(RANK(S159,S$4:S$182)+3))))</f>
        <v>87</v>
      </c>
      <c r="U159" t="str">
        <f t="shared" si="14"/>
        <v/>
      </c>
    </row>
    <row r="160" spans="1:21" ht="12.75" customHeight="1">
      <c r="A160" s="33">
        <f>ESPNData!AX163</f>
        <v>0</v>
      </c>
      <c r="B160" s="33" t="str">
        <f t="shared" si="12"/>
        <v/>
      </c>
      <c r="C160" s="64" t="e">
        <f t="shared" si="13"/>
        <v>#VALUE!</v>
      </c>
      <c r="D160" s="117" t="str">
        <f>IF(ISERROR(VLOOKUP($B160,FFTodayData!$AN:$AT,4,0)),"",VLOOKUP($B160,FFTodayData!$AN:$AT,4,0))</f>
        <v/>
      </c>
      <c r="E160" s="33" t="str">
        <f>IF(ISERROR(VLOOKUP($B160,FFTodayData!$AN:$AT,5,0)),"",VLOOKUP($B160,FFTodayData!$AN:$AT,5,0))</f>
        <v/>
      </c>
      <c r="F160" s="64" t="str">
        <f>IF(ISERROR(VLOOKUP($B160,FFTodayData!$AN:$AT,6,0)),"",VLOOKUP($B160,FFTodayData!$AN:$AT,6,0))</f>
        <v/>
      </c>
      <c r="G160" s="117" t="str">
        <f>IF(ISERROR(VLOOKUP($A160,ESPNData!$AX:$BK,11,0)),"",VLOOKUP($A160,ESPNData!$AX:$BK,11,0))</f>
        <v/>
      </c>
      <c r="H160" s="33" t="str">
        <f>IF(ISERROR(VLOOKUP($A160,ESPNData!$AX:$BK,12,0)),"",VLOOKUP($A160,ESPNData!$AX:$BK,12,0))</f>
        <v/>
      </c>
      <c r="I160" s="64" t="str">
        <f>IF(ISERROR(VLOOKUP($A160,ESPNData!$AX:$BK,13,0)),"",VLOOKUP($A160,ESPNData!$AX:$BK,13,0))</f>
        <v/>
      </c>
      <c r="J160" s="117" t="str">
        <f>IF(ISERROR(VLOOKUP($B160,SportslineData!$AM:$AT,3,0)),"",ROUND(VLOOKUP($B160,SportslineData!$AM:$AT,3,0),0))</f>
        <v/>
      </c>
      <c r="K160" s="33" t="str">
        <f>IF(ISERROR(VLOOKUP($B160,SportslineData!$AM:$AT,4,0)),"",VLOOKUP($B160,SportslineData!$AM:$AT,4,0))</f>
        <v/>
      </c>
      <c r="L160" s="33" t="str">
        <f>IF(ISERROR(VLOOKUP($B160,SportslineData!$AM:$AT,6,0)),"",ROUND(VLOOKUP($B160,SportslineData!$AM:$AT,6,0),0))</f>
        <v/>
      </c>
      <c r="M160" s="64" t="str">
        <f>IF(ISERROR(VLOOKUP($B160,SportslineData!$AM:$AT,7,0)),"",ROUND(VLOOKUP($B160,SportslineData!$AM:$AT,7,0),0))</f>
        <v/>
      </c>
      <c r="N160" s="117"/>
      <c r="O160" s="33"/>
      <c r="P160" s="38">
        <f>IF(ISERROR(ROUND((((ROUNDDOWN((E160/5),0)*Settings!$F$11)+(D160*Settings!$I$11))+(F160*Settings!$F$12)),1)),0,ROUND((((ROUNDDOWN((E160/5),0)*Settings!$F$11)+(D160*Settings!$I$11))+(F160*Settings!$F$12)),1))</f>
        <v>0</v>
      </c>
      <c r="Q160" s="38">
        <f>IF(ISERROR(ROUND((((ROUNDDOWN((H160/5),0)*Settings!$F$11)+(G160*Settings!$I$11))+(I160*Settings!$F$12)),1)),0,ROUND((((ROUNDDOWN((H160/5),0)*Settings!$F$11)+(G160*Settings!$I$11))+(I160*Settings!$F$12)),1))</f>
        <v>0</v>
      </c>
      <c r="R160" s="38">
        <f>IF((J160=""),0,((((J160*Settings!$I$11)+(ROUND((K160/5),0)*Settings!$F$11))+(L160*Settings!$F$12))+(M160*Settings!$F$15)))</f>
        <v>0</v>
      </c>
      <c r="S160" s="66">
        <f>ROUND((((P160*Settings!$B$21)+(Q160*Settings!$B$22))+(R160*Settings!$B$23)),1)</f>
        <v>0</v>
      </c>
      <c r="T160" s="66">
        <f>IF(ISERROR(VLOOKUP(RANK(S160,S$4:S$182),T$4:T159,1,0)),RANK(S160,S$4:S$182),IF(ISERROR(VLOOKUP((RANK(S160,S$4:S$182)+1),T$4:T159,1,0)),(RANK(S160,S$4:S$182)+1),IF(ISERROR(VLOOKUP((RANK(S160,S$4:S$182)+2),T$4:T159,1,0)),(RANK(S160,S$4:S$182)+2),(RANK(S160,S$4:S$182)+3))))</f>
        <v>87</v>
      </c>
      <c r="U160" t="str">
        <f t="shared" si="14"/>
        <v/>
      </c>
    </row>
    <row r="161" spans="1:21" ht="12.75" customHeight="1">
      <c r="A161" s="33">
        <f>ESPNData!AX164</f>
        <v>0</v>
      </c>
      <c r="B161" s="33" t="str">
        <f t="shared" si="12"/>
        <v/>
      </c>
      <c r="C161" s="64" t="e">
        <f t="shared" si="13"/>
        <v>#VALUE!</v>
      </c>
      <c r="D161" s="117" t="str">
        <f>IF(ISERROR(VLOOKUP($B161,FFTodayData!$AN:$AT,4,0)),"",VLOOKUP($B161,FFTodayData!$AN:$AT,4,0))</f>
        <v/>
      </c>
      <c r="E161" s="33" t="str">
        <f>IF(ISERROR(VLOOKUP($B161,FFTodayData!$AN:$AT,5,0)),"",VLOOKUP($B161,FFTodayData!$AN:$AT,5,0))</f>
        <v/>
      </c>
      <c r="F161" s="64" t="str">
        <f>IF(ISERROR(VLOOKUP($B161,FFTodayData!$AN:$AT,6,0)),"",VLOOKUP($B161,FFTodayData!$AN:$AT,6,0))</f>
        <v/>
      </c>
      <c r="G161" s="117" t="str">
        <f>IF(ISERROR(VLOOKUP($A161,ESPNData!$AX:$BK,11,0)),"",VLOOKUP($A161,ESPNData!$AX:$BK,11,0))</f>
        <v/>
      </c>
      <c r="H161" s="33" t="str">
        <f>IF(ISERROR(VLOOKUP($A161,ESPNData!$AX:$BK,12,0)),"",VLOOKUP($A161,ESPNData!$AX:$BK,12,0))</f>
        <v/>
      </c>
      <c r="I161" s="64" t="str">
        <f>IF(ISERROR(VLOOKUP($A161,ESPNData!$AX:$BK,13,0)),"",VLOOKUP($A161,ESPNData!$AX:$BK,13,0))</f>
        <v/>
      </c>
      <c r="J161" s="117" t="str">
        <f>IF(ISERROR(VLOOKUP($B161,SportslineData!$AM:$AT,3,0)),"",ROUND(VLOOKUP($B161,SportslineData!$AM:$AT,3,0),0))</f>
        <v/>
      </c>
      <c r="K161" s="33" t="str">
        <f>IF(ISERROR(VLOOKUP($B161,SportslineData!$AM:$AT,4,0)),"",VLOOKUP($B161,SportslineData!$AM:$AT,4,0))</f>
        <v/>
      </c>
      <c r="L161" s="33" t="str">
        <f>IF(ISERROR(VLOOKUP($B161,SportslineData!$AM:$AT,6,0)),"",ROUND(VLOOKUP($B161,SportslineData!$AM:$AT,6,0),0))</f>
        <v/>
      </c>
      <c r="M161" s="64" t="str">
        <f>IF(ISERROR(VLOOKUP($B161,SportslineData!$AM:$AT,7,0)),"",ROUND(VLOOKUP($B161,SportslineData!$AM:$AT,7,0),0))</f>
        <v/>
      </c>
      <c r="N161" s="117"/>
      <c r="O161" s="33"/>
      <c r="P161" s="38">
        <f>IF(ISERROR(ROUND((((ROUNDDOWN((E161/5),0)*Settings!$F$11)+(D161*Settings!$I$11))+(F161*Settings!$F$12)),1)),0,ROUND((((ROUNDDOWN((E161/5),0)*Settings!$F$11)+(D161*Settings!$I$11))+(F161*Settings!$F$12)),1))</f>
        <v>0</v>
      </c>
      <c r="Q161" s="38">
        <f>IF(ISERROR(ROUND((((ROUNDDOWN((H161/5),0)*Settings!$F$11)+(G161*Settings!$I$11))+(I161*Settings!$F$12)),1)),0,ROUND((((ROUNDDOWN((H161/5),0)*Settings!$F$11)+(G161*Settings!$I$11))+(I161*Settings!$F$12)),1))</f>
        <v>0</v>
      </c>
      <c r="R161" s="38">
        <f>IF((J161=""),0,((((J161*Settings!$I$11)+(ROUND((K161/5),0)*Settings!$F$11))+(L161*Settings!$F$12))+(M161*Settings!$F$15)))</f>
        <v>0</v>
      </c>
      <c r="S161" s="66">
        <f>ROUND((((P161*Settings!$B$21)+(Q161*Settings!$B$22))+(R161*Settings!$B$23)),1)</f>
        <v>0</v>
      </c>
      <c r="T161" s="66">
        <f>IF(ISERROR(VLOOKUP(RANK(S161,S$4:S$182),T$4:T160,1,0)),RANK(S161,S$4:S$182),IF(ISERROR(VLOOKUP((RANK(S161,S$4:S$182)+1),T$4:T160,1,0)),(RANK(S161,S$4:S$182)+1),IF(ISERROR(VLOOKUP((RANK(S161,S$4:S$182)+2),T$4:T160,1,0)),(RANK(S161,S$4:S$182)+2),(RANK(S161,S$4:S$182)+3))))</f>
        <v>87</v>
      </c>
      <c r="U161" t="str">
        <f t="shared" si="14"/>
        <v/>
      </c>
    </row>
    <row r="162" spans="1:21" ht="12.75" customHeight="1">
      <c r="A162" s="33">
        <f>ESPNData!AX165</f>
        <v>0</v>
      </c>
      <c r="B162" s="33" t="str">
        <f t="shared" si="12"/>
        <v/>
      </c>
      <c r="C162" s="64" t="e">
        <f t="shared" si="13"/>
        <v>#VALUE!</v>
      </c>
      <c r="D162" s="117" t="str">
        <f>IF(ISERROR(VLOOKUP($B162,FFTodayData!$AN:$AT,4,0)),"",VLOOKUP($B162,FFTodayData!$AN:$AT,4,0))</f>
        <v/>
      </c>
      <c r="E162" s="33" t="str">
        <f>IF(ISERROR(VLOOKUP($B162,FFTodayData!$AN:$AT,5,0)),"",VLOOKUP($B162,FFTodayData!$AN:$AT,5,0))</f>
        <v/>
      </c>
      <c r="F162" s="64" t="str">
        <f>IF(ISERROR(VLOOKUP($B162,FFTodayData!$AN:$AT,6,0)),"",VLOOKUP($B162,FFTodayData!$AN:$AT,6,0))</f>
        <v/>
      </c>
      <c r="G162" s="117" t="str">
        <f>IF(ISERROR(VLOOKUP($A162,ESPNData!$AX:$BK,11,0)),"",VLOOKUP($A162,ESPNData!$AX:$BK,11,0))</f>
        <v/>
      </c>
      <c r="H162" s="33" t="str">
        <f>IF(ISERROR(VLOOKUP($A162,ESPNData!$AX:$BK,12,0)),"",VLOOKUP($A162,ESPNData!$AX:$BK,12,0))</f>
        <v/>
      </c>
      <c r="I162" s="64" t="str">
        <f>IF(ISERROR(VLOOKUP($A162,ESPNData!$AX:$BK,13,0)),"",VLOOKUP($A162,ESPNData!$AX:$BK,13,0))</f>
        <v/>
      </c>
      <c r="J162" s="117" t="str">
        <f>IF(ISERROR(VLOOKUP($B162,SportslineData!$AM:$AT,3,0)),"",ROUND(VLOOKUP($B162,SportslineData!$AM:$AT,3,0),0))</f>
        <v/>
      </c>
      <c r="K162" s="33" t="str">
        <f>IF(ISERROR(VLOOKUP($B162,SportslineData!$AM:$AT,4,0)),"",VLOOKUP($B162,SportslineData!$AM:$AT,4,0))</f>
        <v/>
      </c>
      <c r="L162" s="33" t="str">
        <f>IF(ISERROR(VLOOKUP($B162,SportslineData!$AM:$AT,6,0)),"",ROUND(VLOOKUP($B162,SportslineData!$AM:$AT,6,0),0))</f>
        <v/>
      </c>
      <c r="M162" s="64" t="str">
        <f>IF(ISERROR(VLOOKUP($B162,SportslineData!$AM:$AT,7,0)),"",ROUND(VLOOKUP($B162,SportslineData!$AM:$AT,7,0),0))</f>
        <v/>
      </c>
      <c r="N162" s="117"/>
      <c r="O162" s="33"/>
      <c r="P162" s="38">
        <f>IF(ISERROR(ROUND((((ROUNDDOWN((E162/5),0)*Settings!$F$11)+(D162*Settings!$I$11))+(F162*Settings!$F$12)),1)),0,ROUND((((ROUNDDOWN((E162/5),0)*Settings!$F$11)+(D162*Settings!$I$11))+(F162*Settings!$F$12)),1))</f>
        <v>0</v>
      </c>
      <c r="Q162" s="38">
        <f>IF(ISERROR(ROUND((((ROUNDDOWN((H162/5),0)*Settings!$F$11)+(G162*Settings!$I$11))+(I162*Settings!$F$12)),1)),0,ROUND((((ROUNDDOWN((H162/5),0)*Settings!$F$11)+(G162*Settings!$I$11))+(I162*Settings!$F$12)),1))</f>
        <v>0</v>
      </c>
      <c r="R162" s="38">
        <f>IF((J162=""),0,((((J162*Settings!$I$11)+(ROUND((K162/5),0)*Settings!$F$11))+(L162*Settings!$F$12))+(M162*Settings!$F$15)))</f>
        <v>0</v>
      </c>
      <c r="S162" s="66">
        <f>ROUND((((P162*Settings!$B$21)+(Q162*Settings!$B$22))+(R162*Settings!$B$23)),1)</f>
        <v>0</v>
      </c>
      <c r="T162" s="66">
        <f>IF(ISERROR(VLOOKUP(RANK(S162,S$4:S$182),T$4:T161,1,0)),RANK(S162,S$4:S$182),IF(ISERROR(VLOOKUP((RANK(S162,S$4:S$182)+1),T$4:T161,1,0)),(RANK(S162,S$4:S$182)+1),IF(ISERROR(VLOOKUP((RANK(S162,S$4:S$182)+2),T$4:T161,1,0)),(RANK(S162,S$4:S$182)+2),(RANK(S162,S$4:S$182)+3))))</f>
        <v>87</v>
      </c>
      <c r="U162" t="str">
        <f t="shared" si="14"/>
        <v/>
      </c>
    </row>
    <row r="163" spans="1:21" ht="12.75" customHeight="1">
      <c r="A163" s="33">
        <f>ESPNData!AX166</f>
        <v>0</v>
      </c>
      <c r="B163" s="33" t="str">
        <f t="shared" si="12"/>
        <v/>
      </c>
      <c r="C163" s="64" t="e">
        <f t="shared" si="13"/>
        <v>#VALUE!</v>
      </c>
      <c r="D163" s="117" t="str">
        <f>IF(ISERROR(VLOOKUP($B163,FFTodayData!$AN:$AT,4,0)),"",VLOOKUP($B163,FFTodayData!$AN:$AT,4,0))</f>
        <v/>
      </c>
      <c r="E163" s="33" t="str">
        <f>IF(ISERROR(VLOOKUP($B163,FFTodayData!$AN:$AT,5,0)),"",VLOOKUP($B163,FFTodayData!$AN:$AT,5,0))</f>
        <v/>
      </c>
      <c r="F163" s="64" t="str">
        <f>IF(ISERROR(VLOOKUP($B163,FFTodayData!$AN:$AT,6,0)),"",VLOOKUP($B163,FFTodayData!$AN:$AT,6,0))</f>
        <v/>
      </c>
      <c r="G163" s="117" t="str">
        <f>IF(ISERROR(VLOOKUP($A163,ESPNData!$AX:$BK,11,0)),"",VLOOKUP($A163,ESPNData!$AX:$BK,11,0))</f>
        <v/>
      </c>
      <c r="H163" s="33" t="str">
        <f>IF(ISERROR(VLOOKUP($A163,ESPNData!$AX:$BK,12,0)),"",VLOOKUP($A163,ESPNData!$AX:$BK,12,0))</f>
        <v/>
      </c>
      <c r="I163" s="64" t="str">
        <f>IF(ISERROR(VLOOKUP($A163,ESPNData!$AX:$BK,13,0)),"",VLOOKUP($A163,ESPNData!$AX:$BK,13,0))</f>
        <v/>
      </c>
      <c r="J163" s="117" t="str">
        <f>IF(ISERROR(VLOOKUP($B163,SportslineData!$AM:$AT,3,0)),"",ROUND(VLOOKUP($B163,SportslineData!$AM:$AT,3,0),0))</f>
        <v/>
      </c>
      <c r="K163" s="33" t="str">
        <f>IF(ISERROR(VLOOKUP($B163,SportslineData!$AM:$AT,4,0)),"",VLOOKUP($B163,SportslineData!$AM:$AT,4,0))</f>
        <v/>
      </c>
      <c r="L163" s="33" t="str">
        <f>IF(ISERROR(VLOOKUP($B163,SportslineData!$AM:$AT,6,0)),"",ROUND(VLOOKUP($B163,SportslineData!$AM:$AT,6,0),0))</f>
        <v/>
      </c>
      <c r="M163" s="64" t="str">
        <f>IF(ISERROR(VLOOKUP($B163,SportslineData!$AM:$AT,7,0)),"",ROUND(VLOOKUP($B163,SportslineData!$AM:$AT,7,0),0))</f>
        <v/>
      </c>
      <c r="N163" s="117"/>
      <c r="O163" s="33"/>
      <c r="P163" s="38">
        <f>IF(ISERROR(ROUND((((ROUNDDOWN((E163/5),0)*Settings!$F$11)+(D163*Settings!$I$11))+(F163*Settings!$F$12)),1)),0,ROUND((((ROUNDDOWN((E163/5),0)*Settings!$F$11)+(D163*Settings!$I$11))+(F163*Settings!$F$12)),1))</f>
        <v>0</v>
      </c>
      <c r="Q163" s="38">
        <f>IF(ISERROR(ROUND((((ROUNDDOWN((H163/5),0)*Settings!$F$11)+(G163*Settings!$I$11))+(I163*Settings!$F$12)),1)),0,ROUND((((ROUNDDOWN((H163/5),0)*Settings!$F$11)+(G163*Settings!$I$11))+(I163*Settings!$F$12)),1))</f>
        <v>0</v>
      </c>
      <c r="R163" s="38">
        <f>IF((J163=""),0,((((J163*Settings!$I$11)+(ROUND((K163/5),0)*Settings!$F$11))+(L163*Settings!$F$12))+(M163*Settings!$F$15)))</f>
        <v>0</v>
      </c>
      <c r="S163" s="66">
        <f>ROUND((((P163*Settings!$B$21)+(Q163*Settings!$B$22))+(R163*Settings!$B$23)),1)</f>
        <v>0</v>
      </c>
      <c r="T163" s="66">
        <f>IF(ISERROR(VLOOKUP(RANK(S163,S$4:S$182),T$4:T162,1,0)),RANK(S163,S$4:S$182),IF(ISERROR(VLOOKUP((RANK(S163,S$4:S$182)+1),T$4:T162,1,0)),(RANK(S163,S$4:S$182)+1),IF(ISERROR(VLOOKUP((RANK(S163,S$4:S$182)+2),T$4:T162,1,0)),(RANK(S163,S$4:S$182)+2),(RANK(S163,S$4:S$182)+3))))</f>
        <v>87</v>
      </c>
      <c r="U163" t="str">
        <f t="shared" si="14"/>
        <v/>
      </c>
    </row>
    <row r="164" spans="1:21" ht="12.75" customHeight="1">
      <c r="A164" s="33">
        <f>ESPNData!AX167</f>
        <v>0</v>
      </c>
      <c r="B164" s="33" t="str">
        <f t="shared" ref="B164:B195" si="15">IF(OR((A164=""),(A164=0)),"",IF(ISERROR(FIND("*",A164)),LEFT(A164,(FIND(",",A164)-1)),LEFT(A164,(FIND("*",A164)-1))))</f>
        <v/>
      </c>
      <c r="C164" s="64" t="e">
        <f t="shared" ref="C164:C182" si="16">IF((A164=""),"",UPPER(RIGHT(LEFT(A164,(FIND("TE",A164)-2)),(LEN(LEFT(A164,(FIND("TE",A164)-2)))-(FIND(",",LEFT(A164,(FIND("TE",A164)-2)))+1)))))</f>
        <v>#VALUE!</v>
      </c>
      <c r="D164" s="117" t="str">
        <f>IF(ISERROR(VLOOKUP($B164,FFTodayData!$AN:$AT,4,0)),"",VLOOKUP($B164,FFTodayData!$AN:$AT,4,0))</f>
        <v/>
      </c>
      <c r="E164" s="33" t="str">
        <f>IF(ISERROR(VLOOKUP($B164,FFTodayData!$AN:$AT,5,0)),"",VLOOKUP($B164,FFTodayData!$AN:$AT,5,0))</f>
        <v/>
      </c>
      <c r="F164" s="64" t="str">
        <f>IF(ISERROR(VLOOKUP($B164,FFTodayData!$AN:$AT,6,0)),"",VLOOKUP($B164,FFTodayData!$AN:$AT,6,0))</f>
        <v/>
      </c>
      <c r="G164" s="117" t="str">
        <f>IF(ISERROR(VLOOKUP($A164,ESPNData!$AX:$BK,11,0)),"",VLOOKUP($A164,ESPNData!$AX:$BK,11,0))</f>
        <v/>
      </c>
      <c r="H164" s="33" t="str">
        <f>IF(ISERROR(VLOOKUP($A164,ESPNData!$AX:$BK,12,0)),"",VLOOKUP($A164,ESPNData!$AX:$BK,12,0))</f>
        <v/>
      </c>
      <c r="I164" s="64" t="str">
        <f>IF(ISERROR(VLOOKUP($A164,ESPNData!$AX:$BK,13,0)),"",VLOOKUP($A164,ESPNData!$AX:$BK,13,0))</f>
        <v/>
      </c>
      <c r="J164" s="117" t="str">
        <f>IF(ISERROR(VLOOKUP($B164,SportslineData!$AM:$AT,3,0)),"",ROUND(VLOOKUP($B164,SportslineData!$AM:$AT,3,0),0))</f>
        <v/>
      </c>
      <c r="K164" s="33" t="str">
        <f>IF(ISERROR(VLOOKUP($B164,SportslineData!$AM:$AT,4,0)),"",VLOOKUP($B164,SportslineData!$AM:$AT,4,0))</f>
        <v/>
      </c>
      <c r="L164" s="33" t="str">
        <f>IF(ISERROR(VLOOKUP($B164,SportslineData!$AM:$AT,6,0)),"",ROUND(VLOOKUP($B164,SportslineData!$AM:$AT,6,0),0))</f>
        <v/>
      </c>
      <c r="M164" s="64" t="str">
        <f>IF(ISERROR(VLOOKUP($B164,SportslineData!$AM:$AT,7,0)),"",ROUND(VLOOKUP($B164,SportslineData!$AM:$AT,7,0),0))</f>
        <v/>
      </c>
      <c r="N164" s="117"/>
      <c r="O164" s="33"/>
      <c r="P164" s="38">
        <f>IF(ISERROR(ROUND((((ROUNDDOWN((E164/5),0)*Settings!$F$11)+(D164*Settings!$I$11))+(F164*Settings!$F$12)),1)),0,ROUND((((ROUNDDOWN((E164/5),0)*Settings!$F$11)+(D164*Settings!$I$11))+(F164*Settings!$F$12)),1))</f>
        <v>0</v>
      </c>
      <c r="Q164" s="38">
        <f>IF(ISERROR(ROUND((((ROUNDDOWN((H164/5),0)*Settings!$F$11)+(G164*Settings!$I$11))+(I164*Settings!$F$12)),1)),0,ROUND((((ROUNDDOWN((H164/5),0)*Settings!$F$11)+(G164*Settings!$I$11))+(I164*Settings!$F$12)),1))</f>
        <v>0</v>
      </c>
      <c r="R164" s="38">
        <f>IF((J164=""),0,((((J164*Settings!$I$11)+(ROUND((K164/5),0)*Settings!$F$11))+(L164*Settings!$F$12))+(M164*Settings!$F$15)))</f>
        <v>0</v>
      </c>
      <c r="S164" s="66">
        <f>ROUND((((P164*Settings!$B$21)+(Q164*Settings!$B$22))+(R164*Settings!$B$23)),1)</f>
        <v>0</v>
      </c>
      <c r="T164" s="66">
        <f>IF(ISERROR(VLOOKUP(RANK(S164,S$4:S$182),T$4:T163,1,0)),RANK(S164,S$4:S$182),IF(ISERROR(VLOOKUP((RANK(S164,S$4:S$182)+1),T$4:T163,1,0)),(RANK(S164,S$4:S$182)+1),IF(ISERROR(VLOOKUP((RANK(S164,S$4:S$182)+2),T$4:T163,1,0)),(RANK(S164,S$4:S$182)+2),(RANK(S164,S$4:S$182)+3))))</f>
        <v>87</v>
      </c>
      <c r="U164" t="str">
        <f t="shared" ref="U164:U182" si="17">B164</f>
        <v/>
      </c>
    </row>
    <row r="165" spans="1:21" ht="12.75" customHeight="1">
      <c r="A165" s="33">
        <f>ESPNData!AX168</f>
        <v>0</v>
      </c>
      <c r="B165" s="33" t="str">
        <f t="shared" si="15"/>
        <v/>
      </c>
      <c r="C165" s="64" t="e">
        <f t="shared" si="16"/>
        <v>#VALUE!</v>
      </c>
      <c r="D165" s="117" t="str">
        <f>IF(ISERROR(VLOOKUP($B165,FFTodayData!$AN:$AT,4,0)),"",VLOOKUP($B165,FFTodayData!$AN:$AT,4,0))</f>
        <v/>
      </c>
      <c r="E165" s="33" t="str">
        <f>IF(ISERROR(VLOOKUP($B165,FFTodayData!$AN:$AT,5,0)),"",VLOOKUP($B165,FFTodayData!$AN:$AT,5,0))</f>
        <v/>
      </c>
      <c r="F165" s="64" t="str">
        <f>IF(ISERROR(VLOOKUP($B165,FFTodayData!$AN:$AT,6,0)),"",VLOOKUP($B165,FFTodayData!$AN:$AT,6,0))</f>
        <v/>
      </c>
      <c r="G165" s="117" t="str">
        <f>IF(ISERROR(VLOOKUP($A165,ESPNData!$AX:$BK,11,0)),"",VLOOKUP($A165,ESPNData!$AX:$BK,11,0))</f>
        <v/>
      </c>
      <c r="H165" s="33" t="str">
        <f>IF(ISERROR(VLOOKUP($A165,ESPNData!$AX:$BK,12,0)),"",VLOOKUP($A165,ESPNData!$AX:$BK,12,0))</f>
        <v/>
      </c>
      <c r="I165" s="64" t="str">
        <f>IF(ISERROR(VLOOKUP($A165,ESPNData!$AX:$BK,13,0)),"",VLOOKUP($A165,ESPNData!$AX:$BK,13,0))</f>
        <v/>
      </c>
      <c r="J165" s="117" t="str">
        <f>IF(ISERROR(VLOOKUP($B165,SportslineData!$AM:$AT,3,0)),"",ROUND(VLOOKUP($B165,SportslineData!$AM:$AT,3,0),0))</f>
        <v/>
      </c>
      <c r="K165" s="33" t="str">
        <f>IF(ISERROR(VLOOKUP($B165,SportslineData!$AM:$AT,4,0)),"",VLOOKUP($B165,SportslineData!$AM:$AT,4,0))</f>
        <v/>
      </c>
      <c r="L165" s="33" t="str">
        <f>IF(ISERROR(VLOOKUP($B165,SportslineData!$AM:$AT,6,0)),"",ROUND(VLOOKUP($B165,SportslineData!$AM:$AT,6,0),0))</f>
        <v/>
      </c>
      <c r="M165" s="64" t="str">
        <f>IF(ISERROR(VLOOKUP($B165,SportslineData!$AM:$AT,7,0)),"",ROUND(VLOOKUP($B165,SportslineData!$AM:$AT,7,0),0))</f>
        <v/>
      </c>
      <c r="N165" s="117"/>
      <c r="O165" s="33"/>
      <c r="P165" s="38">
        <f>IF(ISERROR(ROUND((((ROUNDDOWN((E165/5),0)*Settings!$F$11)+(D165*Settings!$I$11))+(F165*Settings!$F$12)),1)),0,ROUND((((ROUNDDOWN((E165/5),0)*Settings!$F$11)+(D165*Settings!$I$11))+(F165*Settings!$F$12)),1))</f>
        <v>0</v>
      </c>
      <c r="Q165" s="38">
        <f>IF(ISERROR(ROUND((((ROUNDDOWN((H165/5),0)*Settings!$F$11)+(G165*Settings!$I$11))+(I165*Settings!$F$12)),1)),0,ROUND((((ROUNDDOWN((H165/5),0)*Settings!$F$11)+(G165*Settings!$I$11))+(I165*Settings!$F$12)),1))</f>
        <v>0</v>
      </c>
      <c r="R165" s="38">
        <f>IF((J165=""),0,((((J165*Settings!$I$11)+(ROUND((K165/5),0)*Settings!$F$11))+(L165*Settings!$F$12))+(M165*Settings!$F$15)))</f>
        <v>0</v>
      </c>
      <c r="S165" s="66">
        <f>ROUND((((P165*Settings!$B$21)+(Q165*Settings!$B$22))+(R165*Settings!$B$23)),1)</f>
        <v>0</v>
      </c>
      <c r="T165" s="66">
        <f>IF(ISERROR(VLOOKUP(RANK(S165,S$4:S$182),T$4:T164,1,0)),RANK(S165,S$4:S$182),IF(ISERROR(VLOOKUP((RANK(S165,S$4:S$182)+1),T$4:T164,1,0)),(RANK(S165,S$4:S$182)+1),IF(ISERROR(VLOOKUP((RANK(S165,S$4:S$182)+2),T$4:T164,1,0)),(RANK(S165,S$4:S$182)+2),(RANK(S165,S$4:S$182)+3))))</f>
        <v>87</v>
      </c>
      <c r="U165" t="str">
        <f t="shared" si="17"/>
        <v/>
      </c>
    </row>
    <row r="166" spans="1:21" ht="12.75" customHeight="1">
      <c r="A166" s="33">
        <f>ESPNData!AX303</f>
        <v>0</v>
      </c>
      <c r="B166" s="33" t="str">
        <f t="shared" si="15"/>
        <v/>
      </c>
      <c r="C166" s="64" t="e">
        <f t="shared" si="16"/>
        <v>#VALUE!</v>
      </c>
      <c r="D166" s="117" t="str">
        <f>IF(ISERROR(VLOOKUP($B166,FFTodayData!$AN:$AT,4,0)),"",VLOOKUP($B166,FFTodayData!$AN:$AT,4,0))</f>
        <v/>
      </c>
      <c r="E166" s="33" t="str">
        <f>IF(ISERROR(VLOOKUP($B166,FFTodayData!$AN:$AT,5,0)),"",VLOOKUP($B166,FFTodayData!$AN:$AT,5,0))</f>
        <v/>
      </c>
      <c r="F166" s="64" t="str">
        <f>IF(ISERROR(VLOOKUP($B166,FFTodayData!$AN:$AT,6,0)),"",VLOOKUP($B166,FFTodayData!$AN:$AT,6,0))</f>
        <v/>
      </c>
      <c r="G166" s="117" t="str">
        <f>IF(ISERROR(VLOOKUP($A166,ESPNData!$AX:$BK,11,0)),"",VLOOKUP($A166,ESPNData!$AX:$BK,11,0))</f>
        <v/>
      </c>
      <c r="H166" s="33" t="str">
        <f>IF(ISERROR(VLOOKUP($A166,ESPNData!$AX:$BK,12,0)),"",VLOOKUP($A166,ESPNData!$AX:$BK,12,0))</f>
        <v/>
      </c>
      <c r="I166" s="64" t="str">
        <f>IF(ISERROR(VLOOKUP($A166,ESPNData!$AX:$BK,13,0)),"",VLOOKUP($A166,ESPNData!$AX:$BK,13,0))</f>
        <v/>
      </c>
      <c r="J166" s="117" t="str">
        <f>IF(ISERROR(VLOOKUP($B166,SportslineData!$AM:$AT,3,0)),"",ROUND(VLOOKUP($B166,SportslineData!$AM:$AT,3,0),0))</f>
        <v/>
      </c>
      <c r="K166" s="33" t="str">
        <f>IF(ISERROR(VLOOKUP($B166,SportslineData!$AM:$AT,4,0)),"",VLOOKUP($B166,SportslineData!$AM:$AT,4,0))</f>
        <v/>
      </c>
      <c r="L166" s="33" t="str">
        <f>IF(ISERROR(VLOOKUP($B166,SportslineData!$AM:$AT,6,0)),"",ROUND(VLOOKUP($B166,SportslineData!$AM:$AT,6,0),0))</f>
        <v/>
      </c>
      <c r="M166" s="64" t="str">
        <f>IF(ISERROR(VLOOKUP($B166,SportslineData!$AM:$AT,7,0)),"",ROUND(VLOOKUP($B166,SportslineData!$AM:$AT,7,0),0))</f>
        <v/>
      </c>
      <c r="N166" s="117"/>
      <c r="O166" s="33"/>
      <c r="P166" s="38">
        <f>IF(ISERROR(ROUND((((ROUNDDOWN((E166/5),0)*Settings!$F$11)+(D166*Settings!$I$11))+(F166*Settings!$F$12)),1)),0,ROUND((((ROUNDDOWN((E166/5),0)*Settings!$F$11)+(D166*Settings!$I$11))+(F166*Settings!$F$12)),1))</f>
        <v>0</v>
      </c>
      <c r="Q166" s="38">
        <f>IF(ISERROR(ROUND((((ROUNDDOWN((H166/5),0)*Settings!$F$11)+(G166*Settings!$I$11))+(I166*Settings!$F$12)),1)),0,ROUND((((ROUNDDOWN((H166/5),0)*Settings!$F$11)+(G166*Settings!$I$11))+(I166*Settings!$F$12)),1))</f>
        <v>0</v>
      </c>
      <c r="R166" s="38">
        <f>IF((J166=""),0,((((J166*Settings!$I$11)+(ROUND((K166/5),0)*Settings!$F$11))+(L166*Settings!$F$12))+(M166*Settings!$F$15)))</f>
        <v>0</v>
      </c>
      <c r="S166" s="66">
        <f>ROUND((((P166*Settings!$B$21)+(Q166*Settings!$B$22))+(R166*Settings!$B$23)),1)</f>
        <v>0</v>
      </c>
      <c r="T166" s="66">
        <f>IF(ISERROR(VLOOKUP(RANK(S166,S$4:S$182),T$4:T165,1,0)),RANK(S166,S$4:S$182),IF(ISERROR(VLOOKUP((RANK(S166,S$4:S$182)+1),T$4:T165,1,0)),(RANK(S166,S$4:S$182)+1),IF(ISERROR(VLOOKUP((RANK(S166,S$4:S$182)+2),T$4:T165,1,0)),(RANK(S166,S$4:S$182)+2),(RANK(S166,S$4:S$182)+3))))</f>
        <v>87</v>
      </c>
      <c r="U166" t="str">
        <f t="shared" si="17"/>
        <v/>
      </c>
    </row>
    <row r="167" spans="1:21" ht="12.75" customHeight="1">
      <c r="A167" s="33">
        <f>ESPNData!AX304</f>
        <v>0</v>
      </c>
      <c r="B167" s="33" t="str">
        <f t="shared" si="15"/>
        <v/>
      </c>
      <c r="C167" s="64" t="e">
        <f t="shared" si="16"/>
        <v>#VALUE!</v>
      </c>
      <c r="D167" s="117" t="str">
        <f>IF(ISERROR(VLOOKUP($B167,FFTodayData!$AN:$AT,4,0)),"",VLOOKUP($B167,FFTodayData!$AN:$AT,4,0))</f>
        <v/>
      </c>
      <c r="E167" s="33" t="str">
        <f>IF(ISERROR(VLOOKUP($B167,FFTodayData!$AN:$AT,5,0)),"",VLOOKUP($B167,FFTodayData!$AN:$AT,5,0))</f>
        <v/>
      </c>
      <c r="F167" s="64" t="str">
        <f>IF(ISERROR(VLOOKUP($B167,FFTodayData!$AN:$AT,6,0)),"",VLOOKUP($B167,FFTodayData!$AN:$AT,6,0))</f>
        <v/>
      </c>
      <c r="G167" s="117" t="str">
        <f>IF(ISERROR(VLOOKUP($A167,ESPNData!$AX:$BK,11,0)),"",VLOOKUP($A167,ESPNData!$AX:$BK,11,0))</f>
        <v/>
      </c>
      <c r="H167" s="33" t="str">
        <f>IF(ISERROR(VLOOKUP($A167,ESPNData!$AX:$BK,12,0)),"",VLOOKUP($A167,ESPNData!$AX:$BK,12,0))</f>
        <v/>
      </c>
      <c r="I167" s="64" t="str">
        <f>IF(ISERROR(VLOOKUP($A167,ESPNData!$AX:$BK,13,0)),"",VLOOKUP($A167,ESPNData!$AX:$BK,13,0))</f>
        <v/>
      </c>
      <c r="J167" s="117" t="str">
        <f>IF(ISERROR(VLOOKUP($B167,SportslineData!$AM:$AT,3,0)),"",ROUND(VLOOKUP($B167,SportslineData!$AM:$AT,3,0),0))</f>
        <v/>
      </c>
      <c r="K167" s="33" t="str">
        <f>IF(ISERROR(VLOOKUP($B167,SportslineData!$AM:$AT,4,0)),"",VLOOKUP($B167,SportslineData!$AM:$AT,4,0))</f>
        <v/>
      </c>
      <c r="L167" s="33" t="str">
        <f>IF(ISERROR(VLOOKUP($B167,SportslineData!$AM:$AT,6,0)),"",ROUND(VLOOKUP($B167,SportslineData!$AM:$AT,6,0),0))</f>
        <v/>
      </c>
      <c r="M167" s="64" t="str">
        <f>IF(ISERROR(VLOOKUP($B167,SportslineData!$AM:$AT,7,0)),"",ROUND(VLOOKUP($B167,SportslineData!$AM:$AT,7,0),0))</f>
        <v/>
      </c>
      <c r="N167" s="117"/>
      <c r="O167" s="33"/>
      <c r="P167" s="38">
        <f>IF(ISERROR(ROUND((((ROUNDDOWN((E167/5),0)*Settings!$F$11)+(D167*Settings!$I$11))+(F167*Settings!$F$12)),1)),0,ROUND((((ROUNDDOWN((E167/5),0)*Settings!$F$11)+(D167*Settings!$I$11))+(F167*Settings!$F$12)),1))</f>
        <v>0</v>
      </c>
      <c r="Q167" s="38">
        <f>IF(ISERROR(ROUND((((ROUNDDOWN((H167/5),0)*Settings!$F$11)+(G167*Settings!$I$11))+(I167*Settings!$F$12)),1)),0,ROUND((((ROUNDDOWN((H167/5),0)*Settings!$F$11)+(G167*Settings!$I$11))+(I167*Settings!$F$12)),1))</f>
        <v>0</v>
      </c>
      <c r="R167" s="38">
        <f>IF((J167=""),0,((((J167*Settings!$I$11)+(ROUND((K167/5),0)*Settings!$F$11))+(L167*Settings!$F$12))+(M167*Settings!$F$15)))</f>
        <v>0</v>
      </c>
      <c r="S167" s="66">
        <f>ROUND((((P167*Settings!$B$21)+(Q167*Settings!$B$22))+(R167*Settings!$B$23)),1)</f>
        <v>0</v>
      </c>
      <c r="T167" s="66">
        <f>IF(ISERROR(VLOOKUP(RANK(S167,S$4:S$182),T$4:T166,1,0)),RANK(S167,S$4:S$182),IF(ISERROR(VLOOKUP((RANK(S167,S$4:S$182)+1),T$4:T166,1,0)),(RANK(S167,S$4:S$182)+1),IF(ISERROR(VLOOKUP((RANK(S167,S$4:S$182)+2),T$4:T166,1,0)),(RANK(S167,S$4:S$182)+2),(RANK(S167,S$4:S$182)+3))))</f>
        <v>87</v>
      </c>
      <c r="U167" t="str">
        <f t="shared" si="17"/>
        <v/>
      </c>
    </row>
    <row r="168" spans="1:21" ht="12.75" customHeight="1">
      <c r="A168" s="33">
        <f>ESPNData!AX305</f>
        <v>0</v>
      </c>
      <c r="B168" s="33" t="str">
        <f t="shared" si="15"/>
        <v/>
      </c>
      <c r="C168" s="64" t="e">
        <f t="shared" si="16"/>
        <v>#VALUE!</v>
      </c>
      <c r="D168" s="117" t="str">
        <f>IF(ISERROR(VLOOKUP($B168,FFTodayData!$AN:$AT,4,0)),"",VLOOKUP($B168,FFTodayData!$AN:$AT,4,0))</f>
        <v/>
      </c>
      <c r="E168" s="33" t="str">
        <f>IF(ISERROR(VLOOKUP($B168,FFTodayData!$AN:$AT,5,0)),"",VLOOKUP($B168,FFTodayData!$AN:$AT,5,0))</f>
        <v/>
      </c>
      <c r="F168" s="64" t="str">
        <f>IF(ISERROR(VLOOKUP($B168,FFTodayData!$AN:$AT,6,0)),"",VLOOKUP($B168,FFTodayData!$AN:$AT,6,0))</f>
        <v/>
      </c>
      <c r="G168" s="117" t="str">
        <f>IF(ISERROR(VLOOKUP($A168,ESPNData!$AX:$BK,11,0)),"",VLOOKUP($A168,ESPNData!$AX:$BK,11,0))</f>
        <v/>
      </c>
      <c r="H168" s="33" t="str">
        <f>IF(ISERROR(VLOOKUP($A168,ESPNData!$AX:$BK,12,0)),"",VLOOKUP($A168,ESPNData!$AX:$BK,12,0))</f>
        <v/>
      </c>
      <c r="I168" s="64" t="str">
        <f>IF(ISERROR(VLOOKUP($A168,ESPNData!$AX:$BK,13,0)),"",VLOOKUP($A168,ESPNData!$AX:$BK,13,0))</f>
        <v/>
      </c>
      <c r="J168" s="117" t="str">
        <f>IF(ISERROR(VLOOKUP($B168,SportslineData!$AM:$AT,3,0)),"",ROUND(VLOOKUP($B168,SportslineData!$AM:$AT,3,0),0))</f>
        <v/>
      </c>
      <c r="K168" s="33" t="str">
        <f>IF(ISERROR(VLOOKUP($B168,SportslineData!$AM:$AT,4,0)),"",VLOOKUP($B168,SportslineData!$AM:$AT,4,0))</f>
        <v/>
      </c>
      <c r="L168" s="33" t="str">
        <f>IF(ISERROR(VLOOKUP($B168,SportslineData!$AM:$AT,6,0)),"",ROUND(VLOOKUP($B168,SportslineData!$AM:$AT,6,0),0))</f>
        <v/>
      </c>
      <c r="M168" s="64" t="str">
        <f>IF(ISERROR(VLOOKUP($B168,SportslineData!$AM:$AT,7,0)),"",ROUND(VLOOKUP($B168,SportslineData!$AM:$AT,7,0),0))</f>
        <v/>
      </c>
      <c r="N168" s="117"/>
      <c r="O168" s="33"/>
      <c r="P168" s="38">
        <f>IF(ISERROR(ROUND((((ROUNDDOWN((E168/5),0)*Settings!$F$11)+(D168*Settings!$I$11))+(F168*Settings!$F$12)),1)),0,ROUND((((ROUNDDOWN((E168/5),0)*Settings!$F$11)+(D168*Settings!$I$11))+(F168*Settings!$F$12)),1))</f>
        <v>0</v>
      </c>
      <c r="Q168" s="38">
        <f>IF(ISERROR(ROUND((((ROUNDDOWN((H168/5),0)*Settings!$F$11)+(G168*Settings!$I$11))+(I168*Settings!$F$12)),1)),0,ROUND((((ROUNDDOWN((H168/5),0)*Settings!$F$11)+(G168*Settings!$I$11))+(I168*Settings!$F$12)),1))</f>
        <v>0</v>
      </c>
      <c r="R168" s="38">
        <f>IF((J168=""),0,((((J168*Settings!$I$11)+(ROUND((K168/5),0)*Settings!$F$11))+(L168*Settings!$F$12))+(M168*Settings!$F$15)))</f>
        <v>0</v>
      </c>
      <c r="S168" s="66">
        <f>ROUND((((P168*Settings!$B$21)+(Q168*Settings!$B$22))+(R168*Settings!$B$23)),1)</f>
        <v>0</v>
      </c>
      <c r="T168" s="66">
        <f>IF(ISERROR(VLOOKUP(RANK(S168,S$4:S$182),T$4:T167,1,0)),RANK(S168,S$4:S$182),IF(ISERROR(VLOOKUP((RANK(S168,S$4:S$182)+1),T$4:T167,1,0)),(RANK(S168,S$4:S$182)+1),IF(ISERROR(VLOOKUP((RANK(S168,S$4:S$182)+2),T$4:T167,1,0)),(RANK(S168,S$4:S$182)+2),(RANK(S168,S$4:S$182)+3))))</f>
        <v>87</v>
      </c>
      <c r="U168" t="str">
        <f t="shared" si="17"/>
        <v/>
      </c>
    </row>
    <row r="169" spans="1:21" ht="12.75" customHeight="1">
      <c r="A169" s="33">
        <f>ESPNData!AX306</f>
        <v>0</v>
      </c>
      <c r="B169" s="33" t="str">
        <f t="shared" si="15"/>
        <v/>
      </c>
      <c r="C169" s="64" t="e">
        <f t="shared" si="16"/>
        <v>#VALUE!</v>
      </c>
      <c r="D169" s="117" t="str">
        <f>IF(ISERROR(VLOOKUP($B169,FFTodayData!$AN:$AT,4,0)),"",VLOOKUP($B169,FFTodayData!$AN:$AT,4,0))</f>
        <v/>
      </c>
      <c r="E169" s="33" t="str">
        <f>IF(ISERROR(VLOOKUP($B169,FFTodayData!$AN:$AT,5,0)),"",VLOOKUP($B169,FFTodayData!$AN:$AT,5,0))</f>
        <v/>
      </c>
      <c r="F169" s="64" t="str">
        <f>IF(ISERROR(VLOOKUP($B169,FFTodayData!$AN:$AT,6,0)),"",VLOOKUP($B169,FFTodayData!$AN:$AT,6,0))</f>
        <v/>
      </c>
      <c r="G169" s="117" t="str">
        <f>IF(ISERROR(VLOOKUP($A169,ESPNData!$AX:$BK,11,0)),"",VLOOKUP($A169,ESPNData!$AX:$BK,11,0))</f>
        <v/>
      </c>
      <c r="H169" s="33" t="str">
        <f>IF(ISERROR(VLOOKUP($A169,ESPNData!$AX:$BK,12,0)),"",VLOOKUP($A169,ESPNData!$AX:$BK,12,0))</f>
        <v/>
      </c>
      <c r="I169" s="64" t="str">
        <f>IF(ISERROR(VLOOKUP($A169,ESPNData!$AX:$BK,13,0)),"",VLOOKUP($A169,ESPNData!$AX:$BK,13,0))</f>
        <v/>
      </c>
      <c r="J169" s="117" t="str">
        <f>IF(ISERROR(VLOOKUP($B169,SportslineData!$AM:$AT,3,0)),"",ROUND(VLOOKUP($B169,SportslineData!$AM:$AT,3,0),0))</f>
        <v/>
      </c>
      <c r="K169" s="33" t="str">
        <f>IF(ISERROR(VLOOKUP($B169,SportslineData!$AM:$AT,4,0)),"",VLOOKUP($B169,SportslineData!$AM:$AT,4,0))</f>
        <v/>
      </c>
      <c r="L169" s="33" t="str">
        <f>IF(ISERROR(VLOOKUP($B169,SportslineData!$AM:$AT,6,0)),"",ROUND(VLOOKUP($B169,SportslineData!$AM:$AT,6,0),0))</f>
        <v/>
      </c>
      <c r="M169" s="64" t="str">
        <f>IF(ISERROR(VLOOKUP($B169,SportslineData!$AM:$AT,7,0)),"",ROUND(VLOOKUP($B169,SportslineData!$AM:$AT,7,0),0))</f>
        <v/>
      </c>
      <c r="N169" s="117"/>
      <c r="O169" s="33"/>
      <c r="P169" s="38">
        <f>IF(ISERROR(ROUND((((ROUNDDOWN((E169/5),0)*Settings!$F$11)+(D169*Settings!$I$11))+(F169*Settings!$F$12)),1)),0,ROUND((((ROUNDDOWN((E169/5),0)*Settings!$F$11)+(D169*Settings!$I$11))+(F169*Settings!$F$12)),1))</f>
        <v>0</v>
      </c>
      <c r="Q169" s="38">
        <f>IF(ISERROR(ROUND((((ROUNDDOWN((H169/5),0)*Settings!$F$11)+(G169*Settings!$I$11))+(I169*Settings!$F$12)),1)),0,ROUND((((ROUNDDOWN((H169/5),0)*Settings!$F$11)+(G169*Settings!$I$11))+(I169*Settings!$F$12)),1))</f>
        <v>0</v>
      </c>
      <c r="R169" s="38">
        <f>IF((J169=""),0,((((J169*Settings!$I$11)+(ROUND((K169/5),0)*Settings!$F$11))+(L169*Settings!$F$12))+(M169*Settings!$F$15)))</f>
        <v>0</v>
      </c>
      <c r="S169" s="66">
        <f>ROUND((((P169*Settings!$B$21)+(Q169*Settings!$B$22))+(R169*Settings!$B$23)),1)</f>
        <v>0</v>
      </c>
      <c r="T169" s="66">
        <f>IF(ISERROR(VLOOKUP(RANK(S169,S$4:S$182),T$4:T168,1,0)),RANK(S169,S$4:S$182),IF(ISERROR(VLOOKUP((RANK(S169,S$4:S$182)+1),T$4:T168,1,0)),(RANK(S169,S$4:S$182)+1),IF(ISERROR(VLOOKUP((RANK(S169,S$4:S$182)+2),T$4:T168,1,0)),(RANK(S169,S$4:S$182)+2),(RANK(S169,S$4:S$182)+3))))</f>
        <v>87</v>
      </c>
      <c r="U169" t="str">
        <f t="shared" si="17"/>
        <v/>
      </c>
    </row>
    <row r="170" spans="1:21" ht="12.75" customHeight="1">
      <c r="A170" s="33">
        <f>ESPNData!AX307</f>
        <v>0</v>
      </c>
      <c r="B170" s="33" t="str">
        <f t="shared" si="15"/>
        <v/>
      </c>
      <c r="C170" s="64" t="e">
        <f t="shared" si="16"/>
        <v>#VALUE!</v>
      </c>
      <c r="D170" s="117" t="str">
        <f>IF(ISERROR(VLOOKUP($B170,FFTodayData!$AN:$AT,4,0)),"",VLOOKUP($B170,FFTodayData!$AN:$AT,4,0))</f>
        <v/>
      </c>
      <c r="E170" s="33" t="str">
        <f>IF(ISERROR(VLOOKUP($B170,FFTodayData!$AN:$AT,5,0)),"",VLOOKUP($B170,FFTodayData!$AN:$AT,5,0))</f>
        <v/>
      </c>
      <c r="F170" s="64" t="str">
        <f>IF(ISERROR(VLOOKUP($B170,FFTodayData!$AN:$AT,6,0)),"",VLOOKUP($B170,FFTodayData!$AN:$AT,6,0))</f>
        <v/>
      </c>
      <c r="G170" s="117" t="str">
        <f>IF(ISERROR(VLOOKUP($A170,ESPNData!$AX:$BK,11,0)),"",VLOOKUP($A170,ESPNData!$AX:$BK,11,0))</f>
        <v/>
      </c>
      <c r="H170" s="33" t="str">
        <f>IF(ISERROR(VLOOKUP($A170,ESPNData!$AX:$BK,12,0)),"",VLOOKUP($A170,ESPNData!$AX:$BK,12,0))</f>
        <v/>
      </c>
      <c r="I170" s="64" t="str">
        <f>IF(ISERROR(VLOOKUP($A170,ESPNData!$AX:$BK,13,0)),"",VLOOKUP($A170,ESPNData!$AX:$BK,13,0))</f>
        <v/>
      </c>
      <c r="J170" s="117" t="str">
        <f>IF(ISERROR(VLOOKUP($B170,SportslineData!$AM:$AT,3,0)),"",ROUND(VLOOKUP($B170,SportslineData!$AM:$AT,3,0),0))</f>
        <v/>
      </c>
      <c r="K170" s="33" t="str">
        <f>IF(ISERROR(VLOOKUP($B170,SportslineData!$AM:$AT,4,0)),"",VLOOKUP($B170,SportslineData!$AM:$AT,4,0))</f>
        <v/>
      </c>
      <c r="L170" s="33" t="str">
        <f>IF(ISERROR(VLOOKUP($B170,SportslineData!$AM:$AT,6,0)),"",ROUND(VLOOKUP($B170,SportslineData!$AM:$AT,6,0),0))</f>
        <v/>
      </c>
      <c r="M170" s="64" t="str">
        <f>IF(ISERROR(VLOOKUP($B170,SportslineData!$AM:$AT,7,0)),"",ROUND(VLOOKUP($B170,SportslineData!$AM:$AT,7,0),0))</f>
        <v/>
      </c>
      <c r="N170" s="117"/>
      <c r="O170" s="33"/>
      <c r="P170" s="38">
        <f>IF(ISERROR(ROUND((((ROUNDDOWN((E170/5),0)*Settings!$F$11)+(D170*Settings!$I$11))+(F170*Settings!$F$12)),1)),0,ROUND((((ROUNDDOWN((E170/5),0)*Settings!$F$11)+(D170*Settings!$I$11))+(F170*Settings!$F$12)),1))</f>
        <v>0</v>
      </c>
      <c r="Q170" s="38">
        <f>IF(ISERROR(ROUND((((ROUNDDOWN((H170/5),0)*Settings!$F$11)+(G170*Settings!$I$11))+(I170*Settings!$F$12)),1)),0,ROUND((((ROUNDDOWN((H170/5),0)*Settings!$F$11)+(G170*Settings!$I$11))+(I170*Settings!$F$12)),1))</f>
        <v>0</v>
      </c>
      <c r="R170" s="38">
        <f>IF((J170=""),0,((((J170*Settings!$I$11)+(ROUND((K170/5),0)*Settings!$F$11))+(L170*Settings!$F$12))+(M170*Settings!$F$15)))</f>
        <v>0</v>
      </c>
      <c r="S170" s="66">
        <f>ROUND((((P170*Settings!$B$21)+(Q170*Settings!$B$22))+(R170*Settings!$B$23)),1)</f>
        <v>0</v>
      </c>
      <c r="T170" s="66">
        <f>IF(ISERROR(VLOOKUP(RANK(S170,S$4:S$182),T$4:T169,1,0)),RANK(S170,S$4:S$182),IF(ISERROR(VLOOKUP((RANK(S170,S$4:S$182)+1),T$4:T169,1,0)),(RANK(S170,S$4:S$182)+1),IF(ISERROR(VLOOKUP((RANK(S170,S$4:S$182)+2),T$4:T169,1,0)),(RANK(S170,S$4:S$182)+2),(RANK(S170,S$4:S$182)+3))))</f>
        <v>87</v>
      </c>
      <c r="U170" t="str">
        <f t="shared" si="17"/>
        <v/>
      </c>
    </row>
    <row r="171" spans="1:21" ht="12.75" customHeight="1">
      <c r="A171" s="33">
        <f>ESPNData!AX308</f>
        <v>0</v>
      </c>
      <c r="B171" s="33" t="str">
        <f t="shared" si="15"/>
        <v/>
      </c>
      <c r="C171" s="64" t="e">
        <f t="shared" si="16"/>
        <v>#VALUE!</v>
      </c>
      <c r="D171" s="117" t="str">
        <f>IF(ISERROR(VLOOKUP($B171,FFTodayData!$AN:$AT,4,0)),"",VLOOKUP($B171,FFTodayData!$AN:$AT,4,0))</f>
        <v/>
      </c>
      <c r="E171" s="33" t="str">
        <f>IF(ISERROR(VLOOKUP($B171,FFTodayData!$AN:$AT,5,0)),"",VLOOKUP($B171,FFTodayData!$AN:$AT,5,0))</f>
        <v/>
      </c>
      <c r="F171" s="64" t="str">
        <f>IF(ISERROR(VLOOKUP($B171,FFTodayData!$AN:$AT,6,0)),"",VLOOKUP($B171,FFTodayData!$AN:$AT,6,0))</f>
        <v/>
      </c>
      <c r="G171" s="117" t="str">
        <f>IF(ISERROR(VLOOKUP($A171,ESPNData!$AX:$BK,11,0)),"",VLOOKUP($A171,ESPNData!$AX:$BK,11,0))</f>
        <v/>
      </c>
      <c r="H171" s="33" t="str">
        <f>IF(ISERROR(VLOOKUP($A171,ESPNData!$AX:$BK,12,0)),"",VLOOKUP($A171,ESPNData!$AX:$BK,12,0))</f>
        <v/>
      </c>
      <c r="I171" s="64" t="str">
        <f>IF(ISERROR(VLOOKUP($A171,ESPNData!$AX:$BK,13,0)),"",VLOOKUP($A171,ESPNData!$AX:$BK,13,0))</f>
        <v/>
      </c>
      <c r="J171" s="117" t="str">
        <f>IF(ISERROR(VLOOKUP($B171,SportslineData!$AM:$AT,3,0)),"",ROUND(VLOOKUP($B171,SportslineData!$AM:$AT,3,0),0))</f>
        <v/>
      </c>
      <c r="K171" s="33" t="str">
        <f>IF(ISERROR(VLOOKUP($B171,SportslineData!$AM:$AT,4,0)),"",VLOOKUP($B171,SportslineData!$AM:$AT,4,0))</f>
        <v/>
      </c>
      <c r="L171" s="33" t="str">
        <f>IF(ISERROR(VLOOKUP($B171,SportslineData!$AM:$AT,6,0)),"",ROUND(VLOOKUP($B171,SportslineData!$AM:$AT,6,0),0))</f>
        <v/>
      </c>
      <c r="M171" s="64" t="str">
        <f>IF(ISERROR(VLOOKUP($B171,SportslineData!$AM:$AT,7,0)),"",ROUND(VLOOKUP($B171,SportslineData!$AM:$AT,7,0),0))</f>
        <v/>
      </c>
      <c r="N171" s="117"/>
      <c r="O171" s="33"/>
      <c r="P171" s="38">
        <f>IF(ISERROR(ROUND((((ROUNDDOWN((E171/5),0)*Settings!$F$11)+(D171*Settings!$I$11))+(F171*Settings!$F$12)),1)),0,ROUND((((ROUNDDOWN((E171/5),0)*Settings!$F$11)+(D171*Settings!$I$11))+(F171*Settings!$F$12)),1))</f>
        <v>0</v>
      </c>
      <c r="Q171" s="38">
        <f>IF(ISERROR(ROUND((((ROUNDDOWN((H171/5),0)*Settings!$F$11)+(G171*Settings!$I$11))+(I171*Settings!$F$12)),1)),0,ROUND((((ROUNDDOWN((H171/5),0)*Settings!$F$11)+(G171*Settings!$I$11))+(I171*Settings!$F$12)),1))</f>
        <v>0</v>
      </c>
      <c r="R171" s="38">
        <f>IF((J171=""),0,((((J171*Settings!$I$11)+(ROUND((K171/5),0)*Settings!$F$11))+(L171*Settings!$F$12))+(M171*Settings!$F$15)))</f>
        <v>0</v>
      </c>
      <c r="S171" s="66">
        <f>ROUND((((P171*Settings!$B$21)+(Q171*Settings!$B$22))+(R171*Settings!$B$23)),1)</f>
        <v>0</v>
      </c>
      <c r="T171" s="66">
        <f>IF(ISERROR(VLOOKUP(RANK(S171,S$4:S$182),T$4:T170,1,0)),RANK(S171,S$4:S$182),IF(ISERROR(VLOOKUP((RANK(S171,S$4:S$182)+1),T$4:T170,1,0)),(RANK(S171,S$4:S$182)+1),IF(ISERROR(VLOOKUP((RANK(S171,S$4:S$182)+2),T$4:T170,1,0)),(RANK(S171,S$4:S$182)+2),(RANK(S171,S$4:S$182)+3))))</f>
        <v>87</v>
      </c>
      <c r="U171" t="str">
        <f t="shared" si="17"/>
        <v/>
      </c>
    </row>
    <row r="172" spans="1:21" ht="12.75" customHeight="1">
      <c r="A172" s="33">
        <f>ESPNData!AX309</f>
        <v>0</v>
      </c>
      <c r="B172" s="33" t="str">
        <f t="shared" si="15"/>
        <v/>
      </c>
      <c r="C172" s="64" t="e">
        <f t="shared" si="16"/>
        <v>#VALUE!</v>
      </c>
      <c r="D172" s="117" t="str">
        <f>IF(ISERROR(VLOOKUP($B172,FFTodayData!$AN:$AT,4,0)),"",VLOOKUP($B172,FFTodayData!$AN:$AT,4,0))</f>
        <v/>
      </c>
      <c r="E172" s="33" t="str">
        <f>IF(ISERROR(VLOOKUP($B172,FFTodayData!$AN:$AT,5,0)),"",VLOOKUP($B172,FFTodayData!$AN:$AT,5,0))</f>
        <v/>
      </c>
      <c r="F172" s="64" t="str">
        <f>IF(ISERROR(VLOOKUP($B172,FFTodayData!$AN:$AT,6,0)),"",VLOOKUP($B172,FFTodayData!$AN:$AT,6,0))</f>
        <v/>
      </c>
      <c r="G172" s="117" t="str">
        <f>IF(ISERROR(VLOOKUP($A172,ESPNData!$AX:$BK,11,0)),"",VLOOKUP($A172,ESPNData!$AX:$BK,11,0))</f>
        <v/>
      </c>
      <c r="H172" s="33" t="str">
        <f>IF(ISERROR(VLOOKUP($A172,ESPNData!$AX:$BK,12,0)),"",VLOOKUP($A172,ESPNData!$AX:$BK,12,0))</f>
        <v/>
      </c>
      <c r="I172" s="64" t="str">
        <f>IF(ISERROR(VLOOKUP($A172,ESPNData!$AX:$BK,13,0)),"",VLOOKUP($A172,ESPNData!$AX:$BK,13,0))</f>
        <v/>
      </c>
      <c r="J172" s="117" t="str">
        <f>IF(ISERROR(VLOOKUP($B172,SportslineData!$AM:$AT,3,0)),"",ROUND(VLOOKUP($B172,SportslineData!$AM:$AT,3,0),0))</f>
        <v/>
      </c>
      <c r="K172" s="33" t="str">
        <f>IF(ISERROR(VLOOKUP($B172,SportslineData!$AM:$AT,4,0)),"",VLOOKUP($B172,SportslineData!$AM:$AT,4,0))</f>
        <v/>
      </c>
      <c r="L172" s="33" t="str">
        <f>IF(ISERROR(VLOOKUP($B172,SportslineData!$AM:$AT,6,0)),"",ROUND(VLOOKUP($B172,SportslineData!$AM:$AT,6,0),0))</f>
        <v/>
      </c>
      <c r="M172" s="64" t="str">
        <f>IF(ISERROR(VLOOKUP($B172,SportslineData!$AM:$AT,7,0)),"",ROUND(VLOOKUP($B172,SportslineData!$AM:$AT,7,0),0))</f>
        <v/>
      </c>
      <c r="N172" s="117"/>
      <c r="O172" s="33"/>
      <c r="P172" s="38">
        <f>IF(ISERROR(ROUND((((ROUNDDOWN((E172/5),0)*Settings!$F$11)+(D172*Settings!$I$11))+(F172*Settings!$F$12)),1)),0,ROUND((((ROUNDDOWN((E172/5),0)*Settings!$F$11)+(D172*Settings!$I$11))+(F172*Settings!$F$12)),1))</f>
        <v>0</v>
      </c>
      <c r="Q172" s="38">
        <f>IF(ISERROR(ROUND((((ROUNDDOWN((H172/5),0)*Settings!$F$11)+(G172*Settings!$I$11))+(I172*Settings!$F$12)),1)),0,ROUND((((ROUNDDOWN((H172/5),0)*Settings!$F$11)+(G172*Settings!$I$11))+(I172*Settings!$F$12)),1))</f>
        <v>0</v>
      </c>
      <c r="R172" s="38">
        <f>IF((J172=""),0,((((J172*Settings!$I$11)+(ROUND((K172/5),0)*Settings!$F$11))+(L172*Settings!$F$12))+(M172*Settings!$F$15)))</f>
        <v>0</v>
      </c>
      <c r="S172" s="66">
        <f>ROUND((((P172*Settings!$B$21)+(Q172*Settings!$B$22))+(R172*Settings!$B$23)),1)</f>
        <v>0</v>
      </c>
      <c r="T172" s="66">
        <f>IF(ISERROR(VLOOKUP(RANK(S172,S$4:S$182),T$4:T171,1,0)),RANK(S172,S$4:S$182),IF(ISERROR(VLOOKUP((RANK(S172,S$4:S$182)+1),T$4:T171,1,0)),(RANK(S172,S$4:S$182)+1),IF(ISERROR(VLOOKUP((RANK(S172,S$4:S$182)+2),T$4:T171,1,0)),(RANK(S172,S$4:S$182)+2),(RANK(S172,S$4:S$182)+3))))</f>
        <v>87</v>
      </c>
      <c r="U172" t="str">
        <f t="shared" si="17"/>
        <v/>
      </c>
    </row>
    <row r="173" spans="1:21" ht="12.75" customHeight="1">
      <c r="A173" s="33">
        <f>ESPNData!AX310</f>
        <v>0</v>
      </c>
      <c r="B173" s="33" t="str">
        <f t="shared" si="15"/>
        <v/>
      </c>
      <c r="C173" s="64" t="e">
        <f t="shared" si="16"/>
        <v>#VALUE!</v>
      </c>
      <c r="D173" s="117" t="str">
        <f>IF(ISERROR(VLOOKUP($B173,FFTodayData!$AN:$AT,4,0)),"",VLOOKUP($B173,FFTodayData!$AN:$AT,4,0))</f>
        <v/>
      </c>
      <c r="E173" s="33" t="str">
        <f>IF(ISERROR(VLOOKUP($B173,FFTodayData!$AN:$AT,5,0)),"",VLOOKUP($B173,FFTodayData!$AN:$AT,5,0))</f>
        <v/>
      </c>
      <c r="F173" s="64" t="str">
        <f>IF(ISERROR(VLOOKUP($B173,FFTodayData!$AN:$AT,6,0)),"",VLOOKUP($B173,FFTodayData!$AN:$AT,6,0))</f>
        <v/>
      </c>
      <c r="G173" s="117" t="str">
        <f>IF(ISERROR(VLOOKUP($A173,ESPNData!$AX:$BK,11,0)),"",VLOOKUP($A173,ESPNData!$AX:$BK,11,0))</f>
        <v/>
      </c>
      <c r="H173" s="33" t="str">
        <f>IF(ISERROR(VLOOKUP($A173,ESPNData!$AX:$BK,12,0)),"",VLOOKUP($A173,ESPNData!$AX:$BK,12,0))</f>
        <v/>
      </c>
      <c r="I173" s="64" t="str">
        <f>IF(ISERROR(VLOOKUP($A173,ESPNData!$AX:$BK,13,0)),"",VLOOKUP($A173,ESPNData!$AX:$BK,13,0))</f>
        <v/>
      </c>
      <c r="J173" s="117" t="str">
        <f>IF(ISERROR(VLOOKUP($B173,SportslineData!$AM:$AT,3,0)),"",ROUND(VLOOKUP($B173,SportslineData!$AM:$AT,3,0),0))</f>
        <v/>
      </c>
      <c r="K173" s="33" t="str">
        <f>IF(ISERROR(VLOOKUP($B173,SportslineData!$AM:$AT,4,0)),"",VLOOKUP($B173,SportslineData!$AM:$AT,4,0))</f>
        <v/>
      </c>
      <c r="L173" s="33" t="str">
        <f>IF(ISERROR(VLOOKUP($B173,SportslineData!$AM:$AT,6,0)),"",ROUND(VLOOKUP($B173,SportslineData!$AM:$AT,6,0),0))</f>
        <v/>
      </c>
      <c r="M173" s="64" t="str">
        <f>IF(ISERROR(VLOOKUP($B173,SportslineData!$AM:$AT,7,0)),"",ROUND(VLOOKUP($B173,SportslineData!$AM:$AT,7,0),0))</f>
        <v/>
      </c>
      <c r="N173" s="117"/>
      <c r="O173" s="33"/>
      <c r="P173" s="38">
        <f>IF(ISERROR(ROUND((((ROUNDDOWN((E173/5),0)*Settings!$F$11)+(D173*Settings!$I$11))+(F173*Settings!$F$12)),1)),0,ROUND((((ROUNDDOWN((E173/5),0)*Settings!$F$11)+(D173*Settings!$I$11))+(F173*Settings!$F$12)),1))</f>
        <v>0</v>
      </c>
      <c r="Q173" s="38">
        <f>IF(ISERROR(ROUND((((ROUNDDOWN((H173/5),0)*Settings!$F$11)+(G173*Settings!$I$11))+(I173*Settings!$F$12)),1)),0,ROUND((((ROUNDDOWN((H173/5),0)*Settings!$F$11)+(G173*Settings!$I$11))+(I173*Settings!$F$12)),1))</f>
        <v>0</v>
      </c>
      <c r="R173" s="38">
        <f>IF((J173=""),0,((((J173*Settings!$I$11)+(ROUND((K173/5),0)*Settings!$F$11))+(L173*Settings!$F$12))+(M173*Settings!$F$15)))</f>
        <v>0</v>
      </c>
      <c r="S173" s="66">
        <f>ROUND((((P173*Settings!$B$21)+(Q173*Settings!$B$22))+(R173*Settings!$B$23)),1)</f>
        <v>0</v>
      </c>
      <c r="T173" s="66">
        <f>IF(ISERROR(VLOOKUP(RANK(S173,S$4:S$182),T$4:T172,1,0)),RANK(S173,S$4:S$182),IF(ISERROR(VLOOKUP((RANK(S173,S$4:S$182)+1),T$4:T172,1,0)),(RANK(S173,S$4:S$182)+1),IF(ISERROR(VLOOKUP((RANK(S173,S$4:S$182)+2),T$4:T172,1,0)),(RANK(S173,S$4:S$182)+2),(RANK(S173,S$4:S$182)+3))))</f>
        <v>87</v>
      </c>
      <c r="U173" t="str">
        <f t="shared" si="17"/>
        <v/>
      </c>
    </row>
    <row r="174" spans="1:21" ht="12.75" customHeight="1">
      <c r="A174" s="33">
        <f>ESPNData!AX311</f>
        <v>0</v>
      </c>
      <c r="B174" s="33" t="str">
        <f t="shared" si="15"/>
        <v/>
      </c>
      <c r="C174" s="64" t="e">
        <f t="shared" si="16"/>
        <v>#VALUE!</v>
      </c>
      <c r="D174" s="117" t="str">
        <f>IF(ISERROR(VLOOKUP($B174,FFTodayData!$AN:$AT,4,0)),"",VLOOKUP($B174,FFTodayData!$AN:$AT,4,0))</f>
        <v/>
      </c>
      <c r="E174" s="33" t="str">
        <f>IF(ISERROR(VLOOKUP($B174,FFTodayData!$AN:$AT,5,0)),"",VLOOKUP($B174,FFTodayData!$AN:$AT,5,0))</f>
        <v/>
      </c>
      <c r="F174" s="64" t="str">
        <f>IF(ISERROR(VLOOKUP($B174,FFTodayData!$AN:$AT,6,0)),"",VLOOKUP($B174,FFTodayData!$AN:$AT,6,0))</f>
        <v/>
      </c>
      <c r="G174" s="117" t="str">
        <f>IF(ISERROR(VLOOKUP($A174,ESPNData!$AX:$BK,11,0)),"",VLOOKUP($A174,ESPNData!$AX:$BK,11,0))</f>
        <v/>
      </c>
      <c r="H174" s="33" t="str">
        <f>IF(ISERROR(VLOOKUP($A174,ESPNData!$AX:$BK,12,0)),"",VLOOKUP($A174,ESPNData!$AX:$BK,12,0))</f>
        <v/>
      </c>
      <c r="I174" s="64" t="str">
        <f>IF(ISERROR(VLOOKUP($A174,ESPNData!$AX:$BK,13,0)),"",VLOOKUP($A174,ESPNData!$AX:$BK,13,0))</f>
        <v/>
      </c>
      <c r="J174" s="117" t="str">
        <f>IF(ISERROR(VLOOKUP($B174,SportslineData!$AM:$AT,3,0)),"",ROUND(VLOOKUP($B174,SportslineData!$AM:$AT,3,0),0))</f>
        <v/>
      </c>
      <c r="K174" s="33" t="str">
        <f>IF(ISERROR(VLOOKUP($B174,SportslineData!$AM:$AT,4,0)),"",VLOOKUP($B174,SportslineData!$AM:$AT,4,0))</f>
        <v/>
      </c>
      <c r="L174" s="33" t="str">
        <f>IF(ISERROR(VLOOKUP($B174,SportslineData!$AM:$AT,6,0)),"",ROUND(VLOOKUP($B174,SportslineData!$AM:$AT,6,0),0))</f>
        <v/>
      </c>
      <c r="M174" s="64" t="str">
        <f>IF(ISERROR(VLOOKUP($B174,SportslineData!$AM:$AT,7,0)),"",ROUND(VLOOKUP($B174,SportslineData!$AM:$AT,7,0),0))</f>
        <v/>
      </c>
      <c r="N174" s="117"/>
      <c r="O174" s="33"/>
      <c r="P174" s="38">
        <f>IF(ISERROR(ROUND((((ROUNDDOWN((E174/5),0)*Settings!$F$11)+(D174*Settings!$I$11))+(F174*Settings!$F$12)),1)),0,ROUND((((ROUNDDOWN((E174/5),0)*Settings!$F$11)+(D174*Settings!$I$11))+(F174*Settings!$F$12)),1))</f>
        <v>0</v>
      </c>
      <c r="Q174" s="38">
        <f>IF(ISERROR(ROUND((((ROUNDDOWN((H174/5),0)*Settings!$F$11)+(G174*Settings!$I$11))+(I174*Settings!$F$12)),1)),0,ROUND((((ROUNDDOWN((H174/5),0)*Settings!$F$11)+(G174*Settings!$I$11))+(I174*Settings!$F$12)),1))</f>
        <v>0</v>
      </c>
      <c r="R174" s="38">
        <f>IF((J174=""),0,((((J174*Settings!$I$11)+(ROUND((K174/5),0)*Settings!$F$11))+(L174*Settings!$F$12))+(M174*Settings!$F$15)))</f>
        <v>0</v>
      </c>
      <c r="S174" s="66">
        <f>ROUND((((P174*Settings!$B$21)+(Q174*Settings!$B$22))+(R174*Settings!$B$23)),1)</f>
        <v>0</v>
      </c>
      <c r="T174" s="66">
        <f>IF(ISERROR(VLOOKUP(RANK(S174,S$4:S$182),T$4:T173,1,0)),RANK(S174,S$4:S$182),IF(ISERROR(VLOOKUP((RANK(S174,S$4:S$182)+1),T$4:T173,1,0)),(RANK(S174,S$4:S$182)+1),IF(ISERROR(VLOOKUP((RANK(S174,S$4:S$182)+2),T$4:T173,1,0)),(RANK(S174,S$4:S$182)+2),(RANK(S174,S$4:S$182)+3))))</f>
        <v>87</v>
      </c>
      <c r="U174" t="str">
        <f t="shared" si="17"/>
        <v/>
      </c>
    </row>
    <row r="175" spans="1:21" ht="12.75" customHeight="1">
      <c r="A175" s="33">
        <f>ESPNData!AX312</f>
        <v>0</v>
      </c>
      <c r="B175" s="33" t="str">
        <f t="shared" si="15"/>
        <v/>
      </c>
      <c r="C175" s="64" t="e">
        <f t="shared" si="16"/>
        <v>#VALUE!</v>
      </c>
      <c r="D175" s="117" t="str">
        <f>IF(ISERROR(VLOOKUP($B175,FFTodayData!$AN:$AT,4,0)),"",VLOOKUP($B175,FFTodayData!$AN:$AT,4,0))</f>
        <v/>
      </c>
      <c r="E175" s="33" t="str">
        <f>IF(ISERROR(VLOOKUP($B175,FFTodayData!$AN:$AT,5,0)),"",VLOOKUP($B175,FFTodayData!$AN:$AT,5,0))</f>
        <v/>
      </c>
      <c r="F175" s="64" t="str">
        <f>IF(ISERROR(VLOOKUP($B175,FFTodayData!$AN:$AT,6,0)),"",VLOOKUP($B175,FFTodayData!$AN:$AT,6,0))</f>
        <v/>
      </c>
      <c r="G175" s="117" t="str">
        <f>IF(ISERROR(VLOOKUP($A175,ESPNData!$AX:$BK,11,0)),"",VLOOKUP($A175,ESPNData!$AX:$BK,11,0))</f>
        <v/>
      </c>
      <c r="H175" s="33" t="str">
        <f>IF(ISERROR(VLOOKUP($A175,ESPNData!$AX:$BK,12,0)),"",VLOOKUP($A175,ESPNData!$AX:$BK,12,0))</f>
        <v/>
      </c>
      <c r="I175" s="64" t="str">
        <f>IF(ISERROR(VLOOKUP($A175,ESPNData!$AX:$BK,13,0)),"",VLOOKUP($A175,ESPNData!$AX:$BK,13,0))</f>
        <v/>
      </c>
      <c r="J175" s="117" t="str">
        <f>IF(ISERROR(VLOOKUP($B175,SportslineData!$AM:$AT,3,0)),"",ROUND(VLOOKUP($B175,SportslineData!$AM:$AT,3,0),0))</f>
        <v/>
      </c>
      <c r="K175" s="33" t="str">
        <f>IF(ISERROR(VLOOKUP($B175,SportslineData!$AM:$AT,4,0)),"",VLOOKUP($B175,SportslineData!$AM:$AT,4,0))</f>
        <v/>
      </c>
      <c r="L175" s="33" t="str">
        <f>IF(ISERROR(VLOOKUP($B175,SportslineData!$AM:$AT,6,0)),"",ROUND(VLOOKUP($B175,SportslineData!$AM:$AT,6,0),0))</f>
        <v/>
      </c>
      <c r="M175" s="64" t="str">
        <f>IF(ISERROR(VLOOKUP($B175,SportslineData!$AM:$AT,7,0)),"",ROUND(VLOOKUP($B175,SportslineData!$AM:$AT,7,0),0))</f>
        <v/>
      </c>
      <c r="N175" s="117"/>
      <c r="O175" s="33"/>
      <c r="P175" s="38">
        <f>IF(ISERROR(ROUND((((ROUNDDOWN((E175/5),0)*Settings!$F$11)+(D175*Settings!$I$11))+(F175*Settings!$F$12)),1)),0,ROUND((((ROUNDDOWN((E175/5),0)*Settings!$F$11)+(D175*Settings!$I$11))+(F175*Settings!$F$12)),1))</f>
        <v>0</v>
      </c>
      <c r="Q175" s="38">
        <f>IF(ISERROR(ROUND((((ROUNDDOWN((H175/5),0)*Settings!$F$11)+(G175*Settings!$I$11))+(I175*Settings!$F$12)),1)),0,ROUND((((ROUNDDOWN((H175/5),0)*Settings!$F$11)+(G175*Settings!$I$11))+(I175*Settings!$F$12)),1))</f>
        <v>0</v>
      </c>
      <c r="R175" s="38">
        <f>IF((J175=""),0,((((J175*Settings!$I$11)+(ROUND((K175/5),0)*Settings!$F$11))+(L175*Settings!$F$12))+(M175*Settings!$F$15)))</f>
        <v>0</v>
      </c>
      <c r="S175" s="66">
        <f>ROUND((((P175*Settings!$B$21)+(Q175*Settings!$B$22))+(R175*Settings!$B$23)),1)</f>
        <v>0</v>
      </c>
      <c r="T175" s="66">
        <f>IF(ISERROR(VLOOKUP(RANK(S175,S$4:S$182),T$4:T174,1,0)),RANK(S175,S$4:S$182),IF(ISERROR(VLOOKUP((RANK(S175,S$4:S$182)+1),T$4:T174,1,0)),(RANK(S175,S$4:S$182)+1),IF(ISERROR(VLOOKUP((RANK(S175,S$4:S$182)+2),T$4:T174,1,0)),(RANK(S175,S$4:S$182)+2),(RANK(S175,S$4:S$182)+3))))</f>
        <v>87</v>
      </c>
      <c r="U175" t="str">
        <f t="shared" si="17"/>
        <v/>
      </c>
    </row>
    <row r="176" spans="1:21" ht="12.75" customHeight="1">
      <c r="A176" s="33">
        <f>ESPNData!AX313</f>
        <v>0</v>
      </c>
      <c r="B176" s="33" t="str">
        <f t="shared" si="15"/>
        <v/>
      </c>
      <c r="C176" s="64" t="e">
        <f t="shared" si="16"/>
        <v>#VALUE!</v>
      </c>
      <c r="D176" s="117" t="str">
        <f>IF(ISERROR(VLOOKUP($B176,FFTodayData!$AN:$AT,4,0)),"",VLOOKUP($B176,FFTodayData!$AN:$AT,4,0))</f>
        <v/>
      </c>
      <c r="E176" s="33" t="str">
        <f>IF(ISERROR(VLOOKUP($B176,FFTodayData!$AN:$AT,5,0)),"",VLOOKUP($B176,FFTodayData!$AN:$AT,5,0))</f>
        <v/>
      </c>
      <c r="F176" s="64" t="str">
        <f>IF(ISERROR(VLOOKUP($B176,FFTodayData!$AN:$AT,6,0)),"",VLOOKUP($B176,FFTodayData!$AN:$AT,6,0))</f>
        <v/>
      </c>
      <c r="G176" s="117" t="str">
        <f>IF(ISERROR(VLOOKUP($A176,ESPNData!$AX:$BK,11,0)),"",VLOOKUP($A176,ESPNData!$AX:$BK,11,0))</f>
        <v/>
      </c>
      <c r="H176" s="33" t="str">
        <f>IF(ISERROR(VLOOKUP($A176,ESPNData!$AX:$BK,12,0)),"",VLOOKUP($A176,ESPNData!$AX:$BK,12,0))</f>
        <v/>
      </c>
      <c r="I176" s="64" t="str">
        <f>IF(ISERROR(VLOOKUP($A176,ESPNData!$AX:$BK,13,0)),"",VLOOKUP($A176,ESPNData!$AX:$BK,13,0))</f>
        <v/>
      </c>
      <c r="J176" s="117" t="str">
        <f>IF(ISERROR(VLOOKUP($B176,SportslineData!$AM:$AT,3,0)),"",ROUND(VLOOKUP($B176,SportslineData!$AM:$AT,3,0),0))</f>
        <v/>
      </c>
      <c r="K176" s="33" t="str">
        <f>IF(ISERROR(VLOOKUP($B176,SportslineData!$AM:$AT,4,0)),"",VLOOKUP($B176,SportslineData!$AM:$AT,4,0))</f>
        <v/>
      </c>
      <c r="L176" s="33" t="str">
        <f>IF(ISERROR(VLOOKUP($B176,SportslineData!$AM:$AT,6,0)),"",ROUND(VLOOKUP($B176,SportslineData!$AM:$AT,6,0),0))</f>
        <v/>
      </c>
      <c r="M176" s="64" t="str">
        <f>IF(ISERROR(VLOOKUP($B176,SportslineData!$AM:$AT,7,0)),"",ROUND(VLOOKUP($B176,SportslineData!$AM:$AT,7,0),0))</f>
        <v/>
      </c>
      <c r="N176" s="117"/>
      <c r="O176" s="33"/>
      <c r="P176" s="38">
        <f>IF(ISERROR(ROUND((((ROUNDDOWN((E176/5),0)*Settings!$F$11)+(D176*Settings!$I$11))+(F176*Settings!$F$12)),1)),0,ROUND((((ROUNDDOWN((E176/5),0)*Settings!$F$11)+(D176*Settings!$I$11))+(F176*Settings!$F$12)),1))</f>
        <v>0</v>
      </c>
      <c r="Q176" s="38">
        <f>IF(ISERROR(ROUND((((ROUNDDOWN((H176/5),0)*Settings!$F$11)+(G176*Settings!$I$11))+(I176*Settings!$F$12)),1)),0,ROUND((((ROUNDDOWN((H176/5),0)*Settings!$F$11)+(G176*Settings!$I$11))+(I176*Settings!$F$12)),1))</f>
        <v>0</v>
      </c>
      <c r="R176" s="38">
        <f>IF((J176=""),0,((((J176*Settings!$I$11)+(ROUND((K176/5),0)*Settings!$F$11))+(L176*Settings!$F$12))+(M176*Settings!$F$15)))</f>
        <v>0</v>
      </c>
      <c r="S176" s="66">
        <f>ROUND((((P176*Settings!$B$21)+(Q176*Settings!$B$22))+(R176*Settings!$B$23)),1)</f>
        <v>0</v>
      </c>
      <c r="T176" s="66">
        <f>IF(ISERROR(VLOOKUP(RANK(S176,S$4:S$182),T$4:T175,1,0)),RANK(S176,S$4:S$182),IF(ISERROR(VLOOKUP((RANK(S176,S$4:S$182)+1),T$4:T175,1,0)),(RANK(S176,S$4:S$182)+1),IF(ISERROR(VLOOKUP((RANK(S176,S$4:S$182)+2),T$4:T175,1,0)),(RANK(S176,S$4:S$182)+2),(RANK(S176,S$4:S$182)+3))))</f>
        <v>87</v>
      </c>
      <c r="U176" t="str">
        <f t="shared" si="17"/>
        <v/>
      </c>
    </row>
    <row r="177" spans="1:21" ht="12.75" customHeight="1">
      <c r="A177" s="33">
        <f>ESPNData!AX314</f>
        <v>0</v>
      </c>
      <c r="B177" s="33" t="str">
        <f t="shared" si="15"/>
        <v/>
      </c>
      <c r="C177" s="64" t="e">
        <f t="shared" si="16"/>
        <v>#VALUE!</v>
      </c>
      <c r="D177" s="117" t="str">
        <f>IF(ISERROR(VLOOKUP($B177,FFTodayData!$AN:$AT,4,0)),"",VLOOKUP($B177,FFTodayData!$AN:$AT,4,0))</f>
        <v/>
      </c>
      <c r="E177" s="33" t="str">
        <f>IF(ISERROR(VLOOKUP($B177,FFTodayData!$AN:$AT,5,0)),"",VLOOKUP($B177,FFTodayData!$AN:$AT,5,0))</f>
        <v/>
      </c>
      <c r="F177" s="64" t="str">
        <f>IF(ISERROR(VLOOKUP($B177,FFTodayData!$AN:$AT,6,0)),"",VLOOKUP($B177,FFTodayData!$AN:$AT,6,0))</f>
        <v/>
      </c>
      <c r="G177" s="117" t="str">
        <f>IF(ISERROR(VLOOKUP($A177,ESPNData!$AX:$BK,11,0)),"",VLOOKUP($A177,ESPNData!$AX:$BK,11,0))</f>
        <v/>
      </c>
      <c r="H177" s="33" t="str">
        <f>IF(ISERROR(VLOOKUP($A177,ESPNData!$AX:$BK,12,0)),"",VLOOKUP($A177,ESPNData!$AX:$BK,12,0))</f>
        <v/>
      </c>
      <c r="I177" s="64" t="str">
        <f>IF(ISERROR(VLOOKUP($A177,ESPNData!$AX:$BK,13,0)),"",VLOOKUP($A177,ESPNData!$AX:$BK,13,0))</f>
        <v/>
      </c>
      <c r="J177" s="117" t="str">
        <f>IF(ISERROR(VLOOKUP($B177,SportslineData!$AM:$AT,3,0)),"",ROUND(VLOOKUP($B177,SportslineData!$AM:$AT,3,0),0))</f>
        <v/>
      </c>
      <c r="K177" s="33" t="str">
        <f>IF(ISERROR(VLOOKUP($B177,SportslineData!$AM:$AT,4,0)),"",VLOOKUP($B177,SportslineData!$AM:$AT,4,0))</f>
        <v/>
      </c>
      <c r="L177" s="33" t="str">
        <f>IF(ISERROR(VLOOKUP($B177,SportslineData!$AM:$AT,6,0)),"",ROUND(VLOOKUP($B177,SportslineData!$AM:$AT,6,0),0))</f>
        <v/>
      </c>
      <c r="M177" s="64" t="str">
        <f>IF(ISERROR(VLOOKUP($B177,SportslineData!$AM:$AT,7,0)),"",ROUND(VLOOKUP($B177,SportslineData!$AM:$AT,7,0),0))</f>
        <v/>
      </c>
      <c r="N177" s="117"/>
      <c r="O177" s="33"/>
      <c r="P177" s="38">
        <f>IF(ISERROR(ROUND((((ROUNDDOWN((E177/5),0)*Settings!$F$11)+(D177*Settings!$I$11))+(F177*Settings!$F$12)),1)),0,ROUND((((ROUNDDOWN((E177/5),0)*Settings!$F$11)+(D177*Settings!$I$11))+(F177*Settings!$F$12)),1))</f>
        <v>0</v>
      </c>
      <c r="Q177" s="38">
        <f>IF(ISERROR(ROUND((((ROUNDDOWN((H177/5),0)*Settings!$F$11)+(G177*Settings!$I$11))+(I177*Settings!$F$12)),1)),0,ROUND((((ROUNDDOWN((H177/5),0)*Settings!$F$11)+(G177*Settings!$I$11))+(I177*Settings!$F$12)),1))</f>
        <v>0</v>
      </c>
      <c r="R177" s="38">
        <f>IF((J177=""),0,((((J177*Settings!$I$11)+(ROUND((K177/5),0)*Settings!$F$11))+(L177*Settings!$F$12))+(M177*Settings!$F$15)))</f>
        <v>0</v>
      </c>
      <c r="S177" s="66">
        <f>ROUND((((P177*Settings!$B$21)+(Q177*Settings!$B$22))+(R177*Settings!$B$23)),1)</f>
        <v>0</v>
      </c>
      <c r="T177" s="66">
        <f>IF(ISERROR(VLOOKUP(RANK(S177,S$4:S$182),T$4:T176,1,0)),RANK(S177,S$4:S$182),IF(ISERROR(VLOOKUP((RANK(S177,S$4:S$182)+1),T$4:T176,1,0)),(RANK(S177,S$4:S$182)+1),IF(ISERROR(VLOOKUP((RANK(S177,S$4:S$182)+2),T$4:T176,1,0)),(RANK(S177,S$4:S$182)+2),(RANK(S177,S$4:S$182)+3))))</f>
        <v>87</v>
      </c>
      <c r="U177" t="str">
        <f t="shared" si="17"/>
        <v/>
      </c>
    </row>
    <row r="178" spans="1:21" ht="12.75" customHeight="1">
      <c r="A178" s="33">
        <f>ESPNData!AX315</f>
        <v>0</v>
      </c>
      <c r="B178" s="33" t="str">
        <f t="shared" si="15"/>
        <v/>
      </c>
      <c r="C178" s="64" t="e">
        <f t="shared" si="16"/>
        <v>#VALUE!</v>
      </c>
      <c r="D178" s="117" t="str">
        <f>IF(ISERROR(VLOOKUP($B178,FFTodayData!$AN:$AT,4,0)),"",VLOOKUP($B178,FFTodayData!$AN:$AT,4,0))</f>
        <v/>
      </c>
      <c r="E178" s="33" t="str">
        <f>IF(ISERROR(VLOOKUP($B178,FFTodayData!$AN:$AT,5,0)),"",VLOOKUP($B178,FFTodayData!$AN:$AT,5,0))</f>
        <v/>
      </c>
      <c r="F178" s="64" t="str">
        <f>IF(ISERROR(VLOOKUP($B178,FFTodayData!$AN:$AT,6,0)),"",VLOOKUP($B178,FFTodayData!$AN:$AT,6,0))</f>
        <v/>
      </c>
      <c r="G178" s="117" t="str">
        <f>IF(ISERROR(VLOOKUP($A178,ESPNData!$AX:$BK,11,0)),"",VLOOKUP($A178,ESPNData!$AX:$BK,11,0))</f>
        <v/>
      </c>
      <c r="H178" s="33" t="str">
        <f>IF(ISERROR(VLOOKUP($A178,ESPNData!$AX:$BK,12,0)),"",VLOOKUP($A178,ESPNData!$AX:$BK,12,0))</f>
        <v/>
      </c>
      <c r="I178" s="64" t="str">
        <f>IF(ISERROR(VLOOKUP($A178,ESPNData!$AX:$BK,13,0)),"",VLOOKUP($A178,ESPNData!$AX:$BK,13,0))</f>
        <v/>
      </c>
      <c r="J178" s="117" t="str">
        <f>IF(ISERROR(VLOOKUP($B178,SportslineData!$AM:$AT,3,0)),"",ROUND(VLOOKUP($B178,SportslineData!$AM:$AT,3,0),0))</f>
        <v/>
      </c>
      <c r="K178" s="33" t="str">
        <f>IF(ISERROR(VLOOKUP($B178,SportslineData!$AM:$AT,4,0)),"",VLOOKUP($B178,SportslineData!$AM:$AT,4,0))</f>
        <v/>
      </c>
      <c r="L178" s="33" t="str">
        <f>IF(ISERROR(VLOOKUP($B178,SportslineData!$AM:$AT,6,0)),"",ROUND(VLOOKUP($B178,SportslineData!$AM:$AT,6,0),0))</f>
        <v/>
      </c>
      <c r="M178" s="64" t="str">
        <f>IF(ISERROR(VLOOKUP($B178,SportslineData!$AM:$AT,7,0)),"",ROUND(VLOOKUP($B178,SportslineData!$AM:$AT,7,0),0))</f>
        <v/>
      </c>
      <c r="N178" s="117"/>
      <c r="O178" s="33"/>
      <c r="P178" s="38">
        <f>IF(ISERROR(ROUND((((ROUNDDOWN((E178/5),0)*Settings!$F$11)+(D178*Settings!$I$11))+(F178*Settings!$F$12)),1)),0,ROUND((((ROUNDDOWN((E178/5),0)*Settings!$F$11)+(D178*Settings!$I$11))+(F178*Settings!$F$12)),1))</f>
        <v>0</v>
      </c>
      <c r="Q178" s="38">
        <f>IF(ISERROR(ROUND((((ROUNDDOWN((H178/5),0)*Settings!$F$11)+(G178*Settings!$I$11))+(I178*Settings!$F$12)),1)),0,ROUND((((ROUNDDOWN((H178/5),0)*Settings!$F$11)+(G178*Settings!$I$11))+(I178*Settings!$F$12)),1))</f>
        <v>0</v>
      </c>
      <c r="R178" s="38">
        <f>IF((J178=""),0,((((J178*Settings!$I$11)+(ROUND((K178/5),0)*Settings!$F$11))+(L178*Settings!$F$12))+(M178*Settings!$F$15)))</f>
        <v>0</v>
      </c>
      <c r="S178" s="66">
        <f>ROUND((((P178*Settings!$B$21)+(Q178*Settings!$B$22))+(R178*Settings!$B$23)),1)</f>
        <v>0</v>
      </c>
      <c r="T178" s="66">
        <f>IF(ISERROR(VLOOKUP(RANK(S178,S$4:S$182),T$4:T177,1,0)),RANK(S178,S$4:S$182),IF(ISERROR(VLOOKUP((RANK(S178,S$4:S$182)+1),T$4:T177,1,0)),(RANK(S178,S$4:S$182)+1),IF(ISERROR(VLOOKUP((RANK(S178,S$4:S$182)+2),T$4:T177,1,0)),(RANK(S178,S$4:S$182)+2),(RANK(S178,S$4:S$182)+3))))</f>
        <v>87</v>
      </c>
      <c r="U178" t="str">
        <f t="shared" si="17"/>
        <v/>
      </c>
    </row>
    <row r="179" spans="1:21" ht="12.75" customHeight="1">
      <c r="A179" s="33">
        <f>ESPNData!AX316</f>
        <v>0</v>
      </c>
      <c r="B179" s="33" t="str">
        <f t="shared" si="15"/>
        <v/>
      </c>
      <c r="C179" s="64" t="e">
        <f t="shared" si="16"/>
        <v>#VALUE!</v>
      </c>
      <c r="D179" s="117" t="str">
        <f>IF(ISERROR(VLOOKUP($B179,FFTodayData!$AN:$AT,4,0)),"",VLOOKUP($B179,FFTodayData!$AN:$AT,4,0))</f>
        <v/>
      </c>
      <c r="E179" s="33" t="str">
        <f>IF(ISERROR(VLOOKUP($B179,FFTodayData!$AN:$AT,5,0)),"",VLOOKUP($B179,FFTodayData!$AN:$AT,5,0))</f>
        <v/>
      </c>
      <c r="F179" s="64" t="str">
        <f>IF(ISERROR(VLOOKUP($B179,FFTodayData!$AN:$AT,6,0)),"",VLOOKUP($B179,FFTodayData!$AN:$AT,6,0))</f>
        <v/>
      </c>
      <c r="G179" s="117" t="str">
        <f>IF(ISERROR(VLOOKUP($A179,ESPNData!$AX:$BK,11,0)),"",VLOOKUP($A179,ESPNData!$AX:$BK,11,0))</f>
        <v/>
      </c>
      <c r="H179" s="33" t="str">
        <f>IF(ISERROR(VLOOKUP($A179,ESPNData!$AX:$BK,12,0)),"",VLOOKUP($A179,ESPNData!$AX:$BK,12,0))</f>
        <v/>
      </c>
      <c r="I179" s="64" t="str">
        <f>IF(ISERROR(VLOOKUP($A179,ESPNData!$AX:$BK,13,0)),"",VLOOKUP($A179,ESPNData!$AX:$BK,13,0))</f>
        <v/>
      </c>
      <c r="J179" s="117" t="str">
        <f>IF(ISERROR(VLOOKUP($B179,SportslineData!$AM:$AT,3,0)),"",ROUND(VLOOKUP($B179,SportslineData!$AM:$AT,3,0),0))</f>
        <v/>
      </c>
      <c r="K179" s="33" t="str">
        <f>IF(ISERROR(VLOOKUP($B179,SportslineData!$AM:$AT,4,0)),"",VLOOKUP($B179,SportslineData!$AM:$AT,4,0))</f>
        <v/>
      </c>
      <c r="L179" s="33" t="str">
        <f>IF(ISERROR(VLOOKUP($B179,SportslineData!$AM:$AT,6,0)),"",ROUND(VLOOKUP($B179,SportslineData!$AM:$AT,6,0),0))</f>
        <v/>
      </c>
      <c r="M179" s="64" t="str">
        <f>IF(ISERROR(VLOOKUP($B179,SportslineData!$AM:$AT,7,0)),"",ROUND(VLOOKUP($B179,SportslineData!$AM:$AT,7,0),0))</f>
        <v/>
      </c>
      <c r="N179" s="117"/>
      <c r="O179" s="33"/>
      <c r="P179" s="38">
        <f>IF(ISERROR(ROUND((((ROUNDDOWN((E179/5),0)*Settings!$F$11)+(D179*Settings!$I$11))+(F179*Settings!$F$12)),1)),0,ROUND((((ROUNDDOWN((E179/5),0)*Settings!$F$11)+(D179*Settings!$I$11))+(F179*Settings!$F$12)),1))</f>
        <v>0</v>
      </c>
      <c r="Q179" s="38">
        <f>IF(ISERROR(ROUND((((ROUNDDOWN((H179/5),0)*Settings!$F$11)+(G179*Settings!$I$11))+(I179*Settings!$F$12)),1)),0,ROUND((((ROUNDDOWN((H179/5),0)*Settings!$F$11)+(G179*Settings!$I$11))+(I179*Settings!$F$12)),1))</f>
        <v>0</v>
      </c>
      <c r="R179" s="38">
        <f>IF((J179=""),0,((((J179*Settings!$I$11)+(ROUND((K179/5),0)*Settings!$F$11))+(L179*Settings!$F$12))+(M179*Settings!$F$15)))</f>
        <v>0</v>
      </c>
      <c r="S179" s="66">
        <f>ROUND((((P179*Settings!$B$21)+(Q179*Settings!$B$22))+(R179*Settings!$B$23)),1)</f>
        <v>0</v>
      </c>
      <c r="T179" s="66">
        <f>IF(ISERROR(VLOOKUP(RANK(S179,S$4:S$182),T$4:T178,1,0)),RANK(S179,S$4:S$182),IF(ISERROR(VLOOKUP((RANK(S179,S$4:S$182)+1),T$4:T178,1,0)),(RANK(S179,S$4:S$182)+1),IF(ISERROR(VLOOKUP((RANK(S179,S$4:S$182)+2),T$4:T178,1,0)),(RANK(S179,S$4:S$182)+2),(RANK(S179,S$4:S$182)+3))))</f>
        <v>87</v>
      </c>
      <c r="U179" t="str">
        <f t="shared" si="17"/>
        <v/>
      </c>
    </row>
    <row r="180" spans="1:21" ht="12.75" customHeight="1">
      <c r="A180" s="33">
        <f>ESPNData!AX317</f>
        <v>0</v>
      </c>
      <c r="B180" s="33" t="str">
        <f t="shared" si="15"/>
        <v/>
      </c>
      <c r="C180" s="64" t="e">
        <f t="shared" si="16"/>
        <v>#VALUE!</v>
      </c>
      <c r="D180" s="117" t="str">
        <f>IF(ISERROR(VLOOKUP($B180,FFTodayData!$AN:$AT,4,0)),"",VLOOKUP($B180,FFTodayData!$AN:$AT,4,0))</f>
        <v/>
      </c>
      <c r="E180" s="33" t="str">
        <f>IF(ISERROR(VLOOKUP($B180,FFTodayData!$AN:$AT,5,0)),"",VLOOKUP($B180,FFTodayData!$AN:$AT,5,0))</f>
        <v/>
      </c>
      <c r="F180" s="64" t="str">
        <f>IF(ISERROR(VLOOKUP($B180,FFTodayData!$AN:$AT,6,0)),"",VLOOKUP($B180,FFTodayData!$AN:$AT,6,0))</f>
        <v/>
      </c>
      <c r="G180" s="117" t="str">
        <f>IF(ISERROR(VLOOKUP($A180,ESPNData!$AX:$BK,11,0)),"",VLOOKUP($A180,ESPNData!$AX:$BK,11,0))</f>
        <v/>
      </c>
      <c r="H180" s="33" t="str">
        <f>IF(ISERROR(VLOOKUP($A180,ESPNData!$AX:$BK,12,0)),"",VLOOKUP($A180,ESPNData!$AX:$BK,12,0))</f>
        <v/>
      </c>
      <c r="I180" s="64" t="str">
        <f>IF(ISERROR(VLOOKUP($A180,ESPNData!$AX:$BK,13,0)),"",VLOOKUP($A180,ESPNData!$AX:$BK,13,0))</f>
        <v/>
      </c>
      <c r="J180" s="117" t="str">
        <f>IF(ISERROR(VLOOKUP($B180,SportslineData!$AM:$AT,3,0)),"",ROUND(VLOOKUP($B180,SportslineData!$AM:$AT,3,0),0))</f>
        <v/>
      </c>
      <c r="K180" s="33" t="str">
        <f>IF(ISERROR(VLOOKUP($B180,SportslineData!$AM:$AT,4,0)),"",VLOOKUP($B180,SportslineData!$AM:$AT,4,0))</f>
        <v/>
      </c>
      <c r="L180" s="33" t="str">
        <f>IF(ISERROR(VLOOKUP($B180,SportslineData!$AM:$AT,6,0)),"",ROUND(VLOOKUP($B180,SportslineData!$AM:$AT,6,0),0))</f>
        <v/>
      </c>
      <c r="M180" s="64" t="str">
        <f>IF(ISERROR(VLOOKUP($B180,SportslineData!$AM:$AT,7,0)),"",ROUND(VLOOKUP($B180,SportslineData!$AM:$AT,7,0),0))</f>
        <v/>
      </c>
      <c r="N180" s="117"/>
      <c r="O180" s="33"/>
      <c r="P180" s="38">
        <f>IF(ISERROR(ROUND((((ROUNDDOWN((E180/5),0)*Settings!$F$11)+(D180*Settings!$I$11))+(F180*Settings!$F$12)),1)),0,ROUND((((ROUNDDOWN((E180/5),0)*Settings!$F$11)+(D180*Settings!$I$11))+(F180*Settings!$F$12)),1))</f>
        <v>0</v>
      </c>
      <c r="Q180" s="38">
        <f>IF(ISERROR(ROUND((((ROUNDDOWN((H180/5),0)*Settings!$F$11)+(G180*Settings!$I$11))+(I180*Settings!$F$12)),1)),0,ROUND((((ROUNDDOWN((H180/5),0)*Settings!$F$11)+(G180*Settings!$I$11))+(I180*Settings!$F$12)),1))</f>
        <v>0</v>
      </c>
      <c r="R180" s="38">
        <f>IF((J180=""),0,((((J180*Settings!$I$11)+(ROUND((K180/5),0)*Settings!$F$11))+(L180*Settings!$F$12))+(M180*Settings!$F$15)))</f>
        <v>0</v>
      </c>
      <c r="S180" s="66">
        <f>ROUND((((P180*Settings!$B$21)+(Q180*Settings!$B$22))+(R180*Settings!$B$23)),1)</f>
        <v>0</v>
      </c>
      <c r="T180" s="66">
        <f>IF(ISERROR(VLOOKUP(RANK(S180,S$4:S$182),T$4:T179,1,0)),RANK(S180,S$4:S$182),IF(ISERROR(VLOOKUP((RANK(S180,S$4:S$182)+1),T$4:T179,1,0)),(RANK(S180,S$4:S$182)+1),IF(ISERROR(VLOOKUP((RANK(S180,S$4:S$182)+2),T$4:T179,1,0)),(RANK(S180,S$4:S$182)+2),(RANK(S180,S$4:S$182)+3))))</f>
        <v>87</v>
      </c>
      <c r="U180" t="str">
        <f t="shared" si="17"/>
        <v/>
      </c>
    </row>
    <row r="181" spans="1:21" ht="12.75" customHeight="1">
      <c r="A181" s="33">
        <f>ESPNData!AX318</f>
        <v>0</v>
      </c>
      <c r="B181" s="33" t="str">
        <f t="shared" si="15"/>
        <v/>
      </c>
      <c r="C181" s="64" t="e">
        <f t="shared" si="16"/>
        <v>#VALUE!</v>
      </c>
      <c r="D181" s="117" t="str">
        <f>IF(ISERROR(VLOOKUP($B181,FFTodayData!$AN:$AT,4,0)),"",VLOOKUP($B181,FFTodayData!$AN:$AT,4,0))</f>
        <v/>
      </c>
      <c r="E181" s="33" t="str">
        <f>IF(ISERROR(VLOOKUP($B181,FFTodayData!$AN:$AT,5,0)),"",VLOOKUP($B181,FFTodayData!$AN:$AT,5,0))</f>
        <v/>
      </c>
      <c r="F181" s="64" t="str">
        <f>IF(ISERROR(VLOOKUP($B181,FFTodayData!$AN:$AT,6,0)),"",VLOOKUP($B181,FFTodayData!$AN:$AT,6,0))</f>
        <v/>
      </c>
      <c r="G181" s="117" t="str">
        <f>IF(ISERROR(VLOOKUP($A181,ESPNData!$AX:$BK,11,0)),"",VLOOKUP($A181,ESPNData!$AX:$BK,11,0))</f>
        <v/>
      </c>
      <c r="H181" s="33" t="str">
        <f>IF(ISERROR(VLOOKUP($A181,ESPNData!$AX:$BK,12,0)),"",VLOOKUP($A181,ESPNData!$AX:$BK,12,0))</f>
        <v/>
      </c>
      <c r="I181" s="64" t="str">
        <f>IF(ISERROR(VLOOKUP($A181,ESPNData!$AX:$BK,13,0)),"",VLOOKUP($A181,ESPNData!$AX:$BK,13,0))</f>
        <v/>
      </c>
      <c r="J181" s="117" t="str">
        <f>IF(ISERROR(VLOOKUP($B181,SportslineData!$AM:$AT,3,0)),"",ROUND(VLOOKUP($B181,SportslineData!$AM:$AT,3,0),0))</f>
        <v/>
      </c>
      <c r="K181" s="33" t="str">
        <f>IF(ISERROR(VLOOKUP($B181,SportslineData!$AM:$AT,4,0)),"",VLOOKUP($B181,SportslineData!$AM:$AT,4,0))</f>
        <v/>
      </c>
      <c r="L181" s="33" t="str">
        <f>IF(ISERROR(VLOOKUP($B181,SportslineData!$AM:$AT,6,0)),"",ROUND(VLOOKUP($B181,SportslineData!$AM:$AT,6,0),0))</f>
        <v/>
      </c>
      <c r="M181" s="64" t="str">
        <f>IF(ISERROR(VLOOKUP($B181,SportslineData!$AM:$AT,7,0)),"",ROUND(VLOOKUP($B181,SportslineData!$AM:$AT,7,0),0))</f>
        <v/>
      </c>
      <c r="N181" s="117"/>
      <c r="O181" s="33"/>
      <c r="P181" s="38">
        <f>IF(ISERROR(ROUND((((ROUNDDOWN((E181/5),0)*Settings!$F$11)+(D181*Settings!$I$11))+(F181*Settings!$F$12)),1)),0,ROUND((((ROUNDDOWN((E181/5),0)*Settings!$F$11)+(D181*Settings!$I$11))+(F181*Settings!$F$12)),1))</f>
        <v>0</v>
      </c>
      <c r="Q181" s="38">
        <f>IF(ISERROR(ROUND((((ROUNDDOWN((H181/5),0)*Settings!$F$11)+(G181*Settings!$I$11))+(I181*Settings!$F$12)),1)),0,ROUND((((ROUNDDOWN((H181/5),0)*Settings!$F$11)+(G181*Settings!$I$11))+(I181*Settings!$F$12)),1))</f>
        <v>0</v>
      </c>
      <c r="R181" s="38">
        <f>IF((J181=""),0,((((J181*Settings!$I$11)+(ROUND((K181/5),0)*Settings!$F$11))+(L181*Settings!$F$12))+(M181*Settings!$F$15)))</f>
        <v>0</v>
      </c>
      <c r="S181" s="66">
        <f>ROUND((((P181*Settings!$B$21)+(Q181*Settings!$B$22))+(R181*Settings!$B$23)),1)</f>
        <v>0</v>
      </c>
      <c r="T181" s="66">
        <f>IF(ISERROR(VLOOKUP(RANK(S181,S$4:S$182),T$4:T180,1,0)),RANK(S181,S$4:S$182),IF(ISERROR(VLOOKUP((RANK(S181,S$4:S$182)+1),T$4:T180,1,0)),(RANK(S181,S$4:S$182)+1),IF(ISERROR(VLOOKUP((RANK(S181,S$4:S$182)+2),T$4:T180,1,0)),(RANK(S181,S$4:S$182)+2),(RANK(S181,S$4:S$182)+3))))</f>
        <v>87</v>
      </c>
      <c r="U181" t="str">
        <f t="shared" si="17"/>
        <v/>
      </c>
    </row>
    <row r="182" spans="1:21" ht="12.75" customHeight="1">
      <c r="A182" s="33">
        <f>ESPNData!AX319</f>
        <v>0</v>
      </c>
      <c r="B182" s="33" t="str">
        <f t="shared" si="15"/>
        <v/>
      </c>
      <c r="C182" s="64" t="e">
        <f t="shared" si="16"/>
        <v>#VALUE!</v>
      </c>
      <c r="D182" s="117" t="str">
        <f>IF(ISERROR(VLOOKUP($B182,FFTodayData!$AN:$AT,4,0)),"",VLOOKUP($B182,FFTodayData!$AN:$AT,4,0))</f>
        <v/>
      </c>
      <c r="E182" s="33" t="str">
        <f>IF(ISERROR(VLOOKUP($B182,FFTodayData!$AN:$AT,5,0)),"",VLOOKUP($B182,FFTodayData!$AN:$AT,5,0))</f>
        <v/>
      </c>
      <c r="F182" s="64" t="str">
        <f>IF(ISERROR(VLOOKUP($B182,FFTodayData!$AN:$AT,6,0)),"",VLOOKUP($B182,FFTodayData!$AN:$AT,6,0))</f>
        <v/>
      </c>
      <c r="G182" s="117" t="str">
        <f>IF(ISERROR(VLOOKUP($A182,ESPNData!$AX:$BK,11,0)),"",VLOOKUP($A182,ESPNData!$AX:$BK,11,0))</f>
        <v/>
      </c>
      <c r="H182" s="33" t="str">
        <f>IF(ISERROR(VLOOKUP($A182,ESPNData!$AX:$BK,12,0)),"",VLOOKUP($A182,ESPNData!$AX:$BK,12,0))</f>
        <v/>
      </c>
      <c r="I182" s="64" t="str">
        <f>IF(ISERROR(VLOOKUP($A182,ESPNData!$AX:$BK,13,0)),"",VLOOKUP($A182,ESPNData!$AX:$BK,13,0))</f>
        <v/>
      </c>
      <c r="J182" s="117" t="str">
        <f>IF(ISERROR(VLOOKUP($B182,SportslineData!$AM:$AT,3,0)),"",ROUND(VLOOKUP($B182,SportslineData!$AM:$AT,3,0),0))</f>
        <v/>
      </c>
      <c r="K182" s="33" t="str">
        <f>IF(ISERROR(VLOOKUP($B182,SportslineData!$AM:$AT,4,0)),"",VLOOKUP($B182,SportslineData!$AM:$AT,4,0))</f>
        <v/>
      </c>
      <c r="L182" s="33" t="str">
        <f>IF(ISERROR(VLOOKUP($B182,SportslineData!$AM:$AT,6,0)),"",ROUND(VLOOKUP($B182,SportslineData!$AM:$AT,6,0),0))</f>
        <v/>
      </c>
      <c r="M182" s="64" t="str">
        <f>IF(ISERROR(VLOOKUP($B182,SportslineData!$AM:$AT,7,0)),"",ROUND(VLOOKUP($B182,SportslineData!$AM:$AT,7,0),0))</f>
        <v/>
      </c>
      <c r="N182" s="117"/>
      <c r="O182" s="33"/>
      <c r="P182" s="38">
        <f>IF(ISERROR(ROUND((((ROUNDDOWN((E182/5),0)*Settings!$F$11)+(D182*Settings!$I$11))+(F182*Settings!$F$12)),1)),0,ROUND((((ROUNDDOWN((E182/5),0)*Settings!$F$11)+(D182*Settings!$I$11))+(F182*Settings!$F$12)),1))</f>
        <v>0</v>
      </c>
      <c r="Q182" s="38">
        <f>IF(ISERROR(ROUND((((ROUNDDOWN((H182/5),0)*Settings!$F$11)+(G182*Settings!$I$11))+(I182*Settings!$F$12)),1)),0,ROUND((((ROUNDDOWN((H182/5),0)*Settings!$F$11)+(G182*Settings!$I$11))+(I182*Settings!$F$12)),1))</f>
        <v>0</v>
      </c>
      <c r="R182" s="38">
        <f>IF((J182=""),0,((((J182*Settings!$I$11)+(ROUND((K182/5),0)*Settings!$F$11))+(L182*Settings!$F$12))+(M182*Settings!$F$15)))</f>
        <v>0</v>
      </c>
      <c r="S182" s="66">
        <f>ROUND((((P182*Settings!$B$21)+(Q182*Settings!$B$22))+(R182*Settings!$B$23)),1)</f>
        <v>0</v>
      </c>
      <c r="T182" s="66">
        <f>IF(ISERROR(VLOOKUP(RANK(S182,S$4:S$182),T$4:T181,1,0)),RANK(S182,S$4:S$182),IF(ISERROR(VLOOKUP((RANK(S182,S$4:S$182)+1),T$4:T181,1,0)),(RANK(S182,S$4:S$182)+1),IF(ISERROR(VLOOKUP((RANK(S182,S$4:S$182)+2),T$4:T181,1,0)),(RANK(S182,S$4:S$182)+2),(RANK(S182,S$4:S$182)+3))))</f>
        <v>87</v>
      </c>
      <c r="U182" t="str">
        <f t="shared" si="17"/>
        <v/>
      </c>
    </row>
  </sheetData>
  <mergeCells count="6">
    <mergeCell ref="D1:F1"/>
    <mergeCell ref="G1:I1"/>
    <mergeCell ref="J1:M1"/>
    <mergeCell ref="D2:F2"/>
    <mergeCell ref="G2:I2"/>
    <mergeCell ref="J2:L2"/>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7.1640625" defaultRowHeight="12.75" customHeight="1" x14ac:dyDescent="0"/>
  <cols>
    <col min="1" max="1" width="30.5" hidden="1" customWidth="1"/>
    <col min="2" max="2" width="18.6640625" customWidth="1"/>
    <col min="3" max="3" width="5" customWidth="1"/>
    <col min="4" max="4" width="7.83203125" customWidth="1"/>
    <col min="5" max="5" width="3.6640625" customWidth="1"/>
    <col min="6" max="6" width="3.83203125" customWidth="1"/>
    <col min="7" max="7" width="3.6640625" customWidth="1"/>
    <col min="8" max="8" width="9.1640625" customWidth="1"/>
    <col min="9" max="9" width="3.6640625" customWidth="1"/>
    <col min="10" max="10" width="3.83203125" customWidth="1"/>
    <col min="11" max="12" width="4.1640625" customWidth="1"/>
    <col min="13" max="13" width="7.83203125" customWidth="1"/>
    <col min="14" max="14" width="4.6640625" customWidth="1"/>
    <col min="15" max="15" width="9.1640625" customWidth="1"/>
    <col min="16" max="16" width="7.5" customWidth="1"/>
    <col min="17" max="17" width="2.83203125" customWidth="1"/>
    <col min="18" max="18" width="18.5" customWidth="1"/>
  </cols>
  <sheetData>
    <row r="1" spans="1:18" ht="12.75" customHeight="1">
      <c r="A1" s="181"/>
      <c r="B1" s="181"/>
      <c r="C1" s="31"/>
      <c r="D1" s="221" t="s">
        <v>155</v>
      </c>
      <c r="E1" s="222"/>
      <c r="F1" s="222"/>
      <c r="G1" s="223"/>
      <c r="H1" s="221" t="s">
        <v>162</v>
      </c>
      <c r="I1" s="222"/>
      <c r="J1" s="223"/>
      <c r="K1" s="114"/>
      <c r="L1" s="181"/>
      <c r="M1" s="37"/>
      <c r="N1" s="37"/>
      <c r="O1" s="37"/>
      <c r="P1" s="66"/>
      <c r="Q1" s="189"/>
    </row>
    <row r="2" spans="1:18" ht="12.75" customHeight="1">
      <c r="A2" s="181"/>
      <c r="B2" s="181"/>
      <c r="C2" s="31"/>
      <c r="D2" s="228"/>
      <c r="E2" s="226"/>
      <c r="F2" s="226"/>
      <c r="G2" s="227"/>
      <c r="H2" s="113"/>
      <c r="I2" s="133"/>
      <c r="J2" s="47"/>
      <c r="K2" s="114"/>
      <c r="L2" s="181"/>
      <c r="M2" s="37"/>
      <c r="N2" s="37"/>
      <c r="O2" s="37"/>
      <c r="P2" s="66"/>
      <c r="Q2" s="189"/>
    </row>
    <row r="3" spans="1:18" ht="12.75" customHeight="1">
      <c r="A3" s="181"/>
      <c r="B3" s="181" t="s">
        <v>6</v>
      </c>
      <c r="C3" s="31" t="s">
        <v>7</v>
      </c>
      <c r="D3" s="113" t="s">
        <v>790</v>
      </c>
      <c r="E3" s="133" t="s">
        <v>791</v>
      </c>
      <c r="F3" s="133" t="s">
        <v>792</v>
      </c>
      <c r="G3" s="47" t="s">
        <v>793</v>
      </c>
      <c r="H3" s="113" t="s">
        <v>790</v>
      </c>
      <c r="I3" s="133" t="s">
        <v>791</v>
      </c>
      <c r="J3" s="47" t="s">
        <v>792</v>
      </c>
      <c r="K3" s="114"/>
      <c r="L3" s="181"/>
      <c r="M3" s="37" t="s">
        <v>155</v>
      </c>
      <c r="N3" s="37" t="s">
        <v>1</v>
      </c>
      <c r="O3" s="37" t="s">
        <v>162</v>
      </c>
      <c r="P3" s="66" t="s">
        <v>788</v>
      </c>
      <c r="Q3" s="189" t="s">
        <v>5</v>
      </c>
    </row>
    <row r="4" spans="1:18" ht="12.75" customHeight="1">
      <c r="A4" s="33" t="str">
        <f>ESPNData!CD3</f>
        <v>Matt Prater, Den K</v>
      </c>
      <c r="B4" s="33" t="str">
        <f t="shared" ref="B4:B50" si="0">IF(OR((A4=""),(A4=0)),"",IF(ISERROR(FIND("*",A4)),LEFT(A4,(FIND(",",A4)-1)),LEFT(A4,(FIND("*",A4)-1))))</f>
        <v>Matt Prater</v>
      </c>
      <c r="C4" s="64" t="str">
        <f t="shared" ref="C4:C50" si="1">IF((A4=""),"",UPPER(LEFT(RIGHT(A4,((LEN(A4)-FIND(",",A4))-1)),(FIND(" ",RIGHT(A4,((LEN(A4)-FIND(",",A4))-1)))-1))))</f>
        <v>DEN</v>
      </c>
      <c r="D4" s="117">
        <f>IF(ISERROR(VLOOKUP($B4,FFTodayData!$AW:$BE,4,0)),"",VLOOKUP($B4,FFTodayData!$AW:$BE,4,0))</f>
        <v>24</v>
      </c>
      <c r="E4" s="33">
        <f>IF(ISERROR(VLOOKUP($B4,FFTodayData!$AW:$BE,5,0)),"",VLOOKUP($B4,FFTodayData!$AW:$BE,5,0))</f>
        <v>27</v>
      </c>
      <c r="F4" s="33">
        <f>IF(ISERROR(VLOOKUP($B4,FFTodayData!$AW:$BE,7,0)),"",VLOOKUP($B4,FFTodayData!$AW:$BE,7,0))</f>
        <v>67</v>
      </c>
      <c r="G4" s="64">
        <f>IF(ISERROR(VLOOKUP($B4,FFTodayData!$AW:$BE,8,0)),"",VLOOKUP($B4,FFTodayData!$AW:$BE,8,0))</f>
        <v>67</v>
      </c>
      <c r="H4" s="117">
        <f>IF(ISERROR(VLOOKUP($B4,SportslineData!$AV:$BA,3,0)),"",ROUND(VLOOKUP($B4,SportslineData!$AV:$BA,3,0),0))</f>
        <v>25</v>
      </c>
      <c r="I4" s="33">
        <f>IF(ISERROR(VLOOKUP($B4,SportslineData!$AV:$BA,4,0)),"",ROUND(VLOOKUP($B4,SportslineData!$AV:$BA,4,0),0))</f>
        <v>29</v>
      </c>
      <c r="J4" s="64">
        <f>IF(ISERROR(VLOOKUP($B4,SportslineData!$AV:$BA,5,0)),"",ROUND(VLOOKUP($B4,SportslineData!$AV:$BA,5,0),0))</f>
        <v>58</v>
      </c>
      <c r="K4" s="117"/>
      <c r="L4" s="33"/>
      <c r="M4" s="38">
        <f>IF(AND((E4=""),(G4="")),0,((D4*Settings!$I$17)+(F4*Settings!$F$17)))</f>
        <v>139</v>
      </c>
      <c r="N4" s="38">
        <f>IF(OR(ISERROR(ROUND(VLOOKUP(A4,ESPNData!$CD:$CQ,14,0),1)),(A4="")),0,ROUND(VLOOKUP(A4,ESPNData!$CD:$CQ,14,0),1))</f>
        <v>164</v>
      </c>
      <c r="O4" s="38">
        <f>IF(AND((I4=""),(J4="")),0,((H4*Settings!$I$17)+(J4*Settings!$F$17)))</f>
        <v>133</v>
      </c>
      <c r="P4" s="66">
        <f>ROUND((((M4*Settings!$B$21)+(N4*Settings!$B$22))+(O4*Settings!$B$23)),1)</f>
        <v>145.19999999999999</v>
      </c>
      <c r="Q4" s="189">
        <f>RANK(P4,$P$4:$P$50)</f>
        <v>2</v>
      </c>
      <c r="R4" t="str">
        <f t="shared" ref="R4:R50" si="2">B4</f>
        <v>Matt Prater</v>
      </c>
    </row>
    <row r="5" spans="1:18" ht="12.75" customHeight="1">
      <c r="A5" s="33" t="str">
        <f>ESPNData!CD4</f>
        <v>Stephen Gostkowski, NE K</v>
      </c>
      <c r="B5" s="33" t="str">
        <f t="shared" si="0"/>
        <v>Stephen Gostkowski</v>
      </c>
      <c r="C5" s="64" t="str">
        <f t="shared" si="1"/>
        <v>NE</v>
      </c>
      <c r="D5" s="117">
        <f>IF(ISERROR(VLOOKUP($B5,FFTodayData!$AW:$BE,4,0)),"",VLOOKUP($B5,FFTodayData!$AW:$BE,4,0))</f>
        <v>33</v>
      </c>
      <c r="E5" s="33">
        <f>IF(ISERROR(VLOOKUP($B5,FFTodayData!$AW:$BE,5,0)),"",VLOOKUP($B5,FFTodayData!$AW:$BE,5,0))</f>
        <v>38</v>
      </c>
      <c r="F5" s="33">
        <f>IF(ISERROR(VLOOKUP($B5,FFTodayData!$AW:$BE,7,0)),"",VLOOKUP($B5,FFTodayData!$AW:$BE,7,0))</f>
        <v>48</v>
      </c>
      <c r="G5" s="64">
        <f>IF(ISERROR(VLOOKUP($B5,FFTodayData!$AW:$BE,8,0)),"",VLOOKUP($B5,FFTodayData!$AW:$BE,8,0))</f>
        <v>48</v>
      </c>
      <c r="H5" s="117">
        <f>IF(ISERROR(VLOOKUP($B5,SportslineData!$AV:$BA,3,0)),"",ROUND(VLOOKUP($B5,SportslineData!$AV:$BA,3,0),0))</f>
        <v>33</v>
      </c>
      <c r="I5" s="33">
        <f>IF(ISERROR(VLOOKUP($B5,SportslineData!$AV:$BA,4,0)),"",ROUND(VLOOKUP($B5,SportslineData!$AV:$BA,4,0),0))</f>
        <v>36</v>
      </c>
      <c r="J5" s="64">
        <f>IF(ISERROR(VLOOKUP($B5,SportslineData!$AV:$BA,5,0)),"",ROUND(VLOOKUP($B5,SportslineData!$AV:$BA,5,0),0))</f>
        <v>51</v>
      </c>
      <c r="K5" s="117"/>
      <c r="L5" s="33"/>
      <c r="M5" s="38">
        <f>IF(AND((E5=""),(G5="")),0,((D5*Settings!$I$17)+(F5*Settings!$F$17)))</f>
        <v>147</v>
      </c>
      <c r="N5" s="38">
        <f>IF(OR(ISERROR(ROUND(VLOOKUP(A5,ESPNData!$CD:$CQ,14,0),1)),(A5="")),0,ROUND(VLOOKUP(A5,ESPNData!$CD:$CQ,14,0),1))</f>
        <v>157</v>
      </c>
      <c r="O5" s="38">
        <f>IF(AND((I5=""),(J5="")),0,((H5*Settings!$I$17)+(J5*Settings!$F$17)))</f>
        <v>150</v>
      </c>
      <c r="P5" s="66">
        <f>ROUND((((M5*Settings!$B$21)+(N5*Settings!$B$22))+(O5*Settings!$B$23)),1)</f>
        <v>151.30000000000001</v>
      </c>
      <c r="Q5" s="66">
        <f>IF(ISERROR(VLOOKUP(RANK(P5,P$4:P$182),Q$4:Q4,1,0)),RANK(P5,P$4:P$182),IF(ISERROR(VLOOKUP((RANK(P5,P$4:P$182)+1),Q$4:Q4,1,0)),(RANK(P5,P$4:P$182)+1),IF(ISERROR(VLOOKUP((RANK(P5,P$4:P$182)+2),Q$4:Q4,1,0)),(RANK(P5,P$4:P$182)+2),(RANK(P5,P$4:P$182)+3))))</f>
        <v>1</v>
      </c>
      <c r="R5" t="str">
        <f t="shared" si="2"/>
        <v>Stephen Gostkowski</v>
      </c>
    </row>
    <row r="6" spans="1:18" ht="12.75" customHeight="1">
      <c r="A6" s="33" t="str">
        <f>ESPNData!CD5</f>
        <v>Justin Tucker, Bal K</v>
      </c>
      <c r="B6" s="33" t="str">
        <f t="shared" si="0"/>
        <v>Justin Tucker</v>
      </c>
      <c r="C6" s="64" t="str">
        <f t="shared" si="1"/>
        <v>BAL</v>
      </c>
      <c r="D6" s="117">
        <f>IF(ISERROR(VLOOKUP($B6,FFTodayData!$AW:$BE,4,0)),"",VLOOKUP($B6,FFTodayData!$AW:$BE,4,0))</f>
        <v>35</v>
      </c>
      <c r="E6" s="33">
        <f>IF(ISERROR(VLOOKUP($B6,FFTodayData!$AW:$BE,5,0)),"",VLOOKUP($B6,FFTodayData!$AW:$BE,5,0))</f>
        <v>38</v>
      </c>
      <c r="F6" s="33">
        <f>IF(ISERROR(VLOOKUP($B6,FFTodayData!$AW:$BE,7,0)),"",VLOOKUP($B6,FFTodayData!$AW:$BE,7,0))</f>
        <v>36</v>
      </c>
      <c r="G6" s="64">
        <f>IF(ISERROR(VLOOKUP($B6,FFTodayData!$AW:$BE,8,0)),"",VLOOKUP($B6,FFTodayData!$AW:$BE,8,0))</f>
        <v>36</v>
      </c>
      <c r="H6" s="117">
        <f>IF(ISERROR(VLOOKUP($B6,SportslineData!$AV:$BA,3,0)),"",ROUND(VLOOKUP($B6,SportslineData!$AV:$BA,3,0),0))</f>
        <v>33</v>
      </c>
      <c r="I6" s="33">
        <f>IF(ISERROR(VLOOKUP($B6,SportslineData!$AV:$BA,4,0)),"",ROUND(VLOOKUP($B6,SportslineData!$AV:$BA,4,0),0))</f>
        <v>37</v>
      </c>
      <c r="J6" s="64">
        <f>IF(ISERROR(VLOOKUP($B6,SportslineData!$AV:$BA,5,0)),"",ROUND(VLOOKUP($B6,SportslineData!$AV:$BA,5,0),0))</f>
        <v>33</v>
      </c>
      <c r="K6" s="117"/>
      <c r="L6" s="33"/>
      <c r="M6" s="38">
        <f>IF(AND((E6=""),(G6="")),0,((D6*Settings!$I$17)+(F6*Settings!$F$17)))</f>
        <v>141</v>
      </c>
      <c r="N6" s="38">
        <f>IF(OR(ISERROR(ROUND(VLOOKUP(A6,ESPNData!$CD:$CQ,14,0),1)),(A6="")),0,ROUND(VLOOKUP(A6,ESPNData!$CD:$CQ,14,0),1))</f>
        <v>149</v>
      </c>
      <c r="O6" s="38">
        <f>IF(AND((I6=""),(J6="")),0,((H6*Settings!$I$17)+(J6*Settings!$F$17)))</f>
        <v>132</v>
      </c>
      <c r="P6" s="66">
        <f>ROUND((((M6*Settings!$B$21)+(N6*Settings!$B$22))+(O6*Settings!$B$23)),1)</f>
        <v>140.6</v>
      </c>
      <c r="Q6" s="66">
        <f>IF(ISERROR(VLOOKUP(RANK(P6,P$4:P$182),Q$4:Q5,1,0)),RANK(P6,P$4:P$182),IF(ISERROR(VLOOKUP((RANK(P6,P$4:P$182)+1),Q$4:Q5,1,0)),(RANK(P6,P$4:P$182)+1),IF(ISERROR(VLOOKUP((RANK(P6,P$4:P$182)+2),Q$4:Q5,1,0)),(RANK(P6,P$4:P$182)+2),(RANK(P6,P$4:P$182)+3))))</f>
        <v>4</v>
      </c>
      <c r="R6" t="str">
        <f t="shared" si="2"/>
        <v>Justin Tucker</v>
      </c>
    </row>
    <row r="7" spans="1:18" ht="12.75" customHeight="1">
      <c r="A7" s="33" t="str">
        <f>ESPNData!CD6</f>
        <v>Mason Crosby, GB K</v>
      </c>
      <c r="B7" s="33" t="str">
        <f t="shared" si="0"/>
        <v>Mason Crosby</v>
      </c>
      <c r="C7" s="64" t="str">
        <f t="shared" si="1"/>
        <v>GB</v>
      </c>
      <c r="D7" s="117">
        <f>IF(ISERROR(VLOOKUP($B7,FFTodayData!$AW:$BE,4,0)),"",VLOOKUP($B7,FFTodayData!$AW:$BE,4,0))</f>
        <v>30</v>
      </c>
      <c r="E7" s="33">
        <f>IF(ISERROR(VLOOKUP($B7,FFTodayData!$AW:$BE,5,0)),"",VLOOKUP($B7,FFTodayData!$AW:$BE,5,0))</f>
        <v>35</v>
      </c>
      <c r="F7" s="33">
        <f>IF(ISERROR(VLOOKUP($B7,FFTodayData!$AW:$BE,7,0)),"",VLOOKUP($B7,FFTodayData!$AW:$BE,7,0))</f>
        <v>53</v>
      </c>
      <c r="G7" s="64">
        <f>IF(ISERROR(VLOOKUP($B7,FFTodayData!$AW:$BE,8,0)),"",VLOOKUP($B7,FFTodayData!$AW:$BE,8,0))</f>
        <v>53</v>
      </c>
      <c r="H7" s="117">
        <f>IF(ISERROR(VLOOKUP($B7,SportslineData!$AV:$BA,3,0)),"",ROUND(VLOOKUP($B7,SportslineData!$AV:$BA,3,0),0))</f>
        <v>27</v>
      </c>
      <c r="I7" s="33">
        <f>IF(ISERROR(VLOOKUP($B7,SportslineData!$AV:$BA,4,0)),"",ROUND(VLOOKUP($B7,SportslineData!$AV:$BA,4,0),0))</f>
        <v>32</v>
      </c>
      <c r="J7" s="64">
        <f>IF(ISERROR(VLOOKUP($B7,SportslineData!$AV:$BA,5,0)),"",ROUND(VLOOKUP($B7,SportslineData!$AV:$BA,5,0),0))</f>
        <v>50</v>
      </c>
      <c r="K7" s="117"/>
      <c r="L7" s="33"/>
      <c r="M7" s="38">
        <f>IF(AND((E7=""),(G7="")),0,((D7*Settings!$I$17)+(F7*Settings!$F$17)))</f>
        <v>143</v>
      </c>
      <c r="N7" s="38">
        <f>IF(OR(ISERROR(ROUND(VLOOKUP(A7,ESPNData!$CD:$CQ,14,0),1)),(A7="")),0,ROUND(VLOOKUP(A7,ESPNData!$CD:$CQ,14,0),1))</f>
        <v>147</v>
      </c>
      <c r="O7" s="38">
        <f>IF(AND((I7=""),(J7="")),0,((H7*Settings!$I$17)+(J7*Settings!$F$17)))</f>
        <v>131</v>
      </c>
      <c r="P7" s="66">
        <f>ROUND((((M7*Settings!$B$21)+(N7*Settings!$B$22))+(O7*Settings!$B$23)),1)</f>
        <v>140.19999999999999</v>
      </c>
      <c r="Q7" s="66">
        <f>IF(ISERROR(VLOOKUP(RANK(P7,P$4:P$182),Q$4:Q6,1,0)),RANK(P7,P$4:P$182),IF(ISERROR(VLOOKUP((RANK(P7,P$4:P$182)+1),Q$4:Q6,1,0)),(RANK(P7,P$4:P$182)+1),IF(ISERROR(VLOOKUP((RANK(P7,P$4:P$182)+2),Q$4:Q6,1,0)),(RANK(P7,P$4:P$182)+2),(RANK(P7,P$4:P$182)+3))))</f>
        <v>5</v>
      </c>
      <c r="R7" t="str">
        <f t="shared" si="2"/>
        <v>Mason Crosby</v>
      </c>
    </row>
    <row r="8" spans="1:18" ht="12.75" customHeight="1">
      <c r="A8" s="33" t="str">
        <f>ESPNData!CD7</f>
        <v>Steven Hauschka, Sea K</v>
      </c>
      <c r="B8" s="33" t="str">
        <f t="shared" si="0"/>
        <v>Steven Hauschka</v>
      </c>
      <c r="C8" s="64" t="str">
        <f t="shared" si="1"/>
        <v>SEA</v>
      </c>
      <c r="D8" s="117" t="str">
        <f>IF(ISERROR(VLOOKUP($B8,FFTodayData!$AW:$BE,4,0)),"",VLOOKUP($B8,FFTodayData!$AW:$BE,4,0))</f>
        <v/>
      </c>
      <c r="E8" s="33" t="str">
        <f>IF(ISERROR(VLOOKUP($B8,FFTodayData!$AW:$BE,5,0)),"",VLOOKUP($B8,FFTodayData!$AW:$BE,5,0))</f>
        <v/>
      </c>
      <c r="F8" s="33" t="str">
        <f>IF(ISERROR(VLOOKUP($B8,FFTodayData!$AW:$BE,7,0)),"",VLOOKUP($B8,FFTodayData!$AW:$BE,7,0))</f>
        <v/>
      </c>
      <c r="G8" s="64" t="str">
        <f>IF(ISERROR(VLOOKUP($B8,FFTodayData!$AW:$BE,8,0)),"",VLOOKUP($B8,FFTodayData!$AW:$BE,8,0))</f>
        <v/>
      </c>
      <c r="H8" s="117">
        <f>IF(ISERROR(VLOOKUP($B8,SportslineData!$AV:$BA,3,0)),"",ROUND(VLOOKUP($B8,SportslineData!$AV:$BA,3,0),0))</f>
        <v>30</v>
      </c>
      <c r="I8" s="33">
        <f>IF(ISERROR(VLOOKUP($B8,SportslineData!$AV:$BA,4,0)),"",ROUND(VLOOKUP($B8,SportslineData!$AV:$BA,4,0),0))</f>
        <v>33</v>
      </c>
      <c r="J8" s="64">
        <f>IF(ISERROR(VLOOKUP($B8,SportslineData!$AV:$BA,5,0)),"",ROUND(VLOOKUP($B8,SportslineData!$AV:$BA,5,0),0))</f>
        <v>44</v>
      </c>
      <c r="K8" s="117"/>
      <c r="L8" s="33"/>
      <c r="M8" s="38">
        <f>IF(AND((E8=""),(G8="")),0,((D8*Settings!$I$17)+(F8*Settings!$F$17)))</f>
        <v>0</v>
      </c>
      <c r="N8" s="38">
        <f>IF(OR(ISERROR(ROUND(VLOOKUP(A8,ESPNData!$CD:$CQ,14,0),1)),(A8="")),0,ROUND(VLOOKUP(A8,ESPNData!$CD:$CQ,14,0),1))</f>
        <v>144</v>
      </c>
      <c r="O8" s="38">
        <f>IF(AND((I8=""),(J8="")),0,((H8*Settings!$I$17)+(J8*Settings!$F$17)))</f>
        <v>134</v>
      </c>
      <c r="P8" s="66">
        <f>ROUND((((M8*Settings!$B$21)+(N8*Settings!$B$22))+(O8*Settings!$B$23)),1)</f>
        <v>93.1</v>
      </c>
      <c r="Q8" s="66">
        <f>IF(ISERROR(VLOOKUP(RANK(P8,P$4:P$182),Q$4:Q7,1,0)),RANK(P8,P$4:P$182),IF(ISERROR(VLOOKUP((RANK(P8,P$4:P$182)+1),Q$4:Q7,1,0)),(RANK(P8,P$4:P$182)+1),IF(ISERROR(VLOOKUP((RANK(P8,P$4:P$182)+2),Q$4:Q7,1,0)),(RANK(P8,P$4:P$182)+2),(RANK(P8,P$4:P$182)+3))))</f>
        <v>31</v>
      </c>
      <c r="R8" t="str">
        <f t="shared" si="2"/>
        <v>Steven Hauschka</v>
      </c>
    </row>
    <row r="9" spans="1:18" ht="12.75" customHeight="1">
      <c r="A9" s="33" t="str">
        <f>ESPNData!CD8</f>
        <v>Phil Dawson, SF K</v>
      </c>
      <c r="B9" s="33" t="str">
        <f t="shared" si="0"/>
        <v>Phil Dawson</v>
      </c>
      <c r="C9" s="64" t="str">
        <f t="shared" si="1"/>
        <v>SF</v>
      </c>
      <c r="D9" s="117">
        <f>IF(ISERROR(VLOOKUP($B9,FFTodayData!$AW:$BE,4,0)),"",VLOOKUP($B9,FFTodayData!$AW:$BE,4,0))</f>
        <v>33</v>
      </c>
      <c r="E9" s="33">
        <f>IF(ISERROR(VLOOKUP($B9,FFTodayData!$AW:$BE,5,0)),"",VLOOKUP($B9,FFTodayData!$AW:$BE,5,0))</f>
        <v>36</v>
      </c>
      <c r="F9" s="33">
        <f>IF(ISERROR(VLOOKUP($B9,FFTodayData!$AW:$BE,7,0)),"",VLOOKUP($B9,FFTodayData!$AW:$BE,7,0))</f>
        <v>43</v>
      </c>
      <c r="G9" s="64">
        <f>IF(ISERROR(VLOOKUP($B9,FFTodayData!$AW:$BE,8,0)),"",VLOOKUP($B9,FFTodayData!$AW:$BE,8,0))</f>
        <v>43</v>
      </c>
      <c r="H9" s="117">
        <f>IF(ISERROR(VLOOKUP($B9,SportslineData!$AV:$BA,3,0)),"",ROUND(VLOOKUP($B9,SportslineData!$AV:$BA,3,0),0))</f>
        <v>31</v>
      </c>
      <c r="I9" s="33">
        <f>IF(ISERROR(VLOOKUP($B9,SportslineData!$AV:$BA,4,0)),"",ROUND(VLOOKUP($B9,SportslineData!$AV:$BA,4,0),0))</f>
        <v>34</v>
      </c>
      <c r="J9" s="64">
        <f>IF(ISERROR(VLOOKUP($B9,SportslineData!$AV:$BA,5,0)),"",ROUND(VLOOKUP($B9,SportslineData!$AV:$BA,5,0),0))</f>
        <v>46</v>
      </c>
      <c r="K9" s="117"/>
      <c r="L9" s="33"/>
      <c r="M9" s="38">
        <f>IF(AND((E9=""),(G9="")),0,((D9*Settings!$I$17)+(F9*Settings!$F$17)))</f>
        <v>142</v>
      </c>
      <c r="N9" s="38">
        <f>IF(OR(ISERROR(ROUND(VLOOKUP(A9,ESPNData!$CD:$CQ,14,0),1)),(A9="")),0,ROUND(VLOOKUP(A9,ESPNData!$CD:$CQ,14,0),1))</f>
        <v>143</v>
      </c>
      <c r="O9" s="38">
        <f>IF(AND((I9=""),(J9="")),0,((H9*Settings!$I$17)+(J9*Settings!$F$17)))</f>
        <v>139</v>
      </c>
      <c r="P9" s="66">
        <f>ROUND((((M9*Settings!$B$21)+(N9*Settings!$B$22))+(O9*Settings!$B$23)),1)</f>
        <v>141.30000000000001</v>
      </c>
      <c r="Q9" s="66">
        <f>IF(ISERROR(VLOOKUP(RANK(P9,P$4:P$182),Q$4:Q8,1,0)),RANK(P9,P$4:P$182),IF(ISERROR(VLOOKUP((RANK(P9,P$4:P$182)+1),Q$4:Q8,1,0)),(RANK(P9,P$4:P$182)+1),IF(ISERROR(VLOOKUP((RANK(P9,P$4:P$182)+2),Q$4:Q8,1,0)),(RANK(P9,P$4:P$182)+2),(RANK(P9,P$4:P$182)+3))))</f>
        <v>3</v>
      </c>
      <c r="R9" t="str">
        <f t="shared" si="2"/>
        <v>Phil Dawson</v>
      </c>
    </row>
    <row r="10" spans="1:18" ht="12.75" customHeight="1">
      <c r="A10" s="33" t="str">
        <f>ESPNData!CD9</f>
        <v>Nick Novak, SD K</v>
      </c>
      <c r="B10" s="33" t="str">
        <f t="shared" si="0"/>
        <v>Nick Novak</v>
      </c>
      <c r="C10" s="64" t="str">
        <f t="shared" si="1"/>
        <v>SD</v>
      </c>
      <c r="D10" s="117">
        <f>IF(ISERROR(VLOOKUP($B10,FFTodayData!$AW:$BE,4,0)),"",VLOOKUP($B10,FFTodayData!$AW:$BE,4,0))</f>
        <v>31</v>
      </c>
      <c r="E10" s="33">
        <f>IF(ISERROR(VLOOKUP($B10,FFTodayData!$AW:$BE,5,0)),"",VLOOKUP($B10,FFTodayData!$AW:$BE,5,0))</f>
        <v>33</v>
      </c>
      <c r="F10" s="33">
        <f>IF(ISERROR(VLOOKUP($B10,FFTodayData!$AW:$BE,7,0)),"",VLOOKUP($B10,FFTodayData!$AW:$BE,7,0))</f>
        <v>39</v>
      </c>
      <c r="G10" s="64">
        <f>IF(ISERROR(VLOOKUP($B10,FFTodayData!$AW:$BE,8,0)),"",VLOOKUP($B10,FFTodayData!$AW:$BE,8,0))</f>
        <v>39</v>
      </c>
      <c r="H10" s="117">
        <f>IF(ISERROR(VLOOKUP($B10,SportslineData!$AV:$BA,3,0)),"",ROUND(VLOOKUP($B10,SportslineData!$AV:$BA,3,0),0))</f>
        <v>29</v>
      </c>
      <c r="I10" s="33">
        <f>IF(ISERROR(VLOOKUP($B10,SportslineData!$AV:$BA,4,0)),"",ROUND(VLOOKUP($B10,SportslineData!$AV:$BA,4,0),0))</f>
        <v>34</v>
      </c>
      <c r="J10" s="64">
        <f>IF(ISERROR(VLOOKUP($B10,SportslineData!$AV:$BA,5,0)),"",ROUND(VLOOKUP($B10,SportslineData!$AV:$BA,5,0),0))</f>
        <v>41</v>
      </c>
      <c r="K10" s="117"/>
      <c r="L10" s="33"/>
      <c r="M10" s="38">
        <f>IF(AND((E10=""),(G10="")),0,((D10*Settings!$I$17)+(F10*Settings!$F$17)))</f>
        <v>132</v>
      </c>
      <c r="N10" s="38">
        <f>IF(OR(ISERROR(ROUND(VLOOKUP(A10,ESPNData!$CD:$CQ,14,0),1)),(A10="")),0,ROUND(VLOOKUP(A10,ESPNData!$CD:$CQ,14,0),1))</f>
        <v>143</v>
      </c>
      <c r="O10" s="38">
        <f>IF(AND((I10=""),(J10="")),0,((H10*Settings!$I$17)+(J10*Settings!$F$17)))</f>
        <v>128</v>
      </c>
      <c r="P10" s="66">
        <f>ROUND((((M10*Settings!$B$21)+(N10*Settings!$B$22))+(O10*Settings!$B$23)),1)</f>
        <v>134.30000000000001</v>
      </c>
      <c r="Q10" s="66">
        <f>IF(ISERROR(VLOOKUP(RANK(P10,P$4:P$182),Q$4:Q9,1,0)),RANK(P10,P$4:P$182),IF(ISERROR(VLOOKUP((RANK(P10,P$4:P$182)+1),Q$4:Q9,1,0)),(RANK(P10,P$4:P$182)+1),IF(ISERROR(VLOOKUP((RANK(P10,P$4:P$182)+2),Q$4:Q9,1,0)),(RANK(P10,P$4:P$182)+2),(RANK(P10,P$4:P$182)+3))))</f>
        <v>7</v>
      </c>
      <c r="R10" t="str">
        <f t="shared" si="2"/>
        <v>Nick Novak</v>
      </c>
    </row>
    <row r="11" spans="1:18" ht="12.75" customHeight="1">
      <c r="A11" s="33" t="str">
        <f>ESPNData!CD10</f>
        <v>Adam Vinatieri, Ind K</v>
      </c>
      <c r="B11" s="33" t="str">
        <f t="shared" si="0"/>
        <v>Adam Vinatieri</v>
      </c>
      <c r="C11" s="64" t="str">
        <f t="shared" si="1"/>
        <v>IND</v>
      </c>
      <c r="D11" s="117">
        <f>IF(ISERROR(VLOOKUP($B11,FFTodayData!$AW:$BE,4,0)),"",VLOOKUP($B11,FFTodayData!$AW:$BE,4,0))</f>
        <v>33</v>
      </c>
      <c r="E11" s="33">
        <f>IF(ISERROR(VLOOKUP($B11,FFTodayData!$AW:$BE,5,0)),"",VLOOKUP($B11,FFTodayData!$AW:$BE,5,0))</f>
        <v>38</v>
      </c>
      <c r="F11" s="33">
        <f>IF(ISERROR(VLOOKUP($B11,FFTodayData!$AW:$BE,7,0)),"",VLOOKUP($B11,FFTodayData!$AW:$BE,7,0))</f>
        <v>41</v>
      </c>
      <c r="G11" s="64">
        <f>IF(ISERROR(VLOOKUP($B11,FFTodayData!$AW:$BE,8,0)),"",VLOOKUP($B11,FFTodayData!$AW:$BE,8,0))</f>
        <v>41</v>
      </c>
      <c r="H11" s="117">
        <f>IF(ISERROR(VLOOKUP($B11,SportslineData!$AV:$BA,3,0)),"",ROUND(VLOOKUP($B11,SportslineData!$AV:$BA,3,0),0))</f>
        <v>31</v>
      </c>
      <c r="I11" s="33">
        <f>IF(ISERROR(VLOOKUP($B11,SportslineData!$AV:$BA,4,0)),"",ROUND(VLOOKUP($B11,SportslineData!$AV:$BA,4,0),0))</f>
        <v>34</v>
      </c>
      <c r="J11" s="64">
        <f>IF(ISERROR(VLOOKUP($B11,SportslineData!$AV:$BA,5,0)),"",ROUND(VLOOKUP($B11,SportslineData!$AV:$BA,5,0),0))</f>
        <v>39</v>
      </c>
      <c r="K11" s="117"/>
      <c r="L11" s="33"/>
      <c r="M11" s="38">
        <f>IF(AND((E11=""),(G11="")),0,((D11*Settings!$I$17)+(F11*Settings!$F$17)))</f>
        <v>140</v>
      </c>
      <c r="N11" s="38">
        <f>IF(OR(ISERROR(ROUND(VLOOKUP(A11,ESPNData!$CD:$CQ,14,0),1)),(A11="")),0,ROUND(VLOOKUP(A11,ESPNData!$CD:$CQ,14,0),1))</f>
        <v>140</v>
      </c>
      <c r="O11" s="38">
        <f>IF(AND((I11=""),(J11="")),0,((H11*Settings!$I$17)+(J11*Settings!$F$17)))</f>
        <v>132</v>
      </c>
      <c r="P11" s="66">
        <f>ROUND((((M11*Settings!$B$21)+(N11*Settings!$B$22))+(O11*Settings!$B$23)),1)</f>
        <v>137.30000000000001</v>
      </c>
      <c r="Q11" s="66">
        <f>IF(ISERROR(VLOOKUP(RANK(P11,P$4:P$182),Q$4:Q10,1,0)),RANK(P11,P$4:P$182),IF(ISERROR(VLOOKUP((RANK(P11,P$4:P$182)+1),Q$4:Q10,1,0)),(RANK(P11,P$4:P$182)+1),IF(ISERROR(VLOOKUP((RANK(P11,P$4:P$182)+2),Q$4:Q10,1,0)),(RANK(P11,P$4:P$182)+2),(RANK(P11,P$4:P$182)+3))))</f>
        <v>6</v>
      </c>
      <c r="R11" t="str">
        <f t="shared" si="2"/>
        <v>Adam Vinatieri</v>
      </c>
    </row>
    <row r="12" spans="1:18" ht="12.75" customHeight="1">
      <c r="A12" s="33" t="str">
        <f>ESPNData!CD11</f>
        <v>Blair Walsh, Min K</v>
      </c>
      <c r="B12" s="33" t="str">
        <f t="shared" si="0"/>
        <v>Blair Walsh</v>
      </c>
      <c r="C12" s="64" t="str">
        <f t="shared" si="1"/>
        <v>MIN</v>
      </c>
      <c r="D12" s="117">
        <f>IF(ISERROR(VLOOKUP($B12,FFTodayData!$AW:$BE,4,0)),"",VLOOKUP($B12,FFTodayData!$AW:$BE,4,0))</f>
        <v>32</v>
      </c>
      <c r="E12" s="33">
        <f>IF(ISERROR(VLOOKUP($B12,FFTodayData!$AW:$BE,5,0)),"",VLOOKUP($B12,FFTodayData!$AW:$BE,5,0))</f>
        <v>35</v>
      </c>
      <c r="F12" s="33">
        <f>IF(ISERROR(VLOOKUP($B12,FFTodayData!$AW:$BE,7,0)),"",VLOOKUP($B12,FFTodayData!$AW:$BE,7,0))</f>
        <v>39</v>
      </c>
      <c r="G12" s="64">
        <f>IF(ISERROR(VLOOKUP($B12,FFTodayData!$AW:$BE,8,0)),"",VLOOKUP($B12,FFTodayData!$AW:$BE,8,0))</f>
        <v>39</v>
      </c>
      <c r="H12" s="117">
        <f>IF(ISERROR(VLOOKUP($B12,SportslineData!$AV:$BA,3,0)),"",ROUND(VLOOKUP($B12,SportslineData!$AV:$BA,3,0),0))</f>
        <v>26</v>
      </c>
      <c r="I12" s="33">
        <f>IF(ISERROR(VLOOKUP($B12,SportslineData!$AV:$BA,4,0)),"",ROUND(VLOOKUP($B12,SportslineData!$AV:$BA,4,0),0))</f>
        <v>32</v>
      </c>
      <c r="J12" s="64">
        <f>IF(ISERROR(VLOOKUP($B12,SportslineData!$AV:$BA,5,0)),"",ROUND(VLOOKUP($B12,SportslineData!$AV:$BA,5,0),0))</f>
        <v>36</v>
      </c>
      <c r="K12" s="117"/>
      <c r="L12" s="33"/>
      <c r="M12" s="38">
        <f>IF(AND((E12=""),(G12="")),0,((D12*Settings!$I$17)+(F12*Settings!$F$17)))</f>
        <v>135</v>
      </c>
      <c r="N12" s="38">
        <f>IF(OR(ISERROR(ROUND(VLOOKUP(A12,ESPNData!$CD:$CQ,14,0),1)),(A12="")),0,ROUND(VLOOKUP(A12,ESPNData!$CD:$CQ,14,0),1))</f>
        <v>142</v>
      </c>
      <c r="O12" s="38">
        <f>IF(AND((I12=""),(J12="")),0,((H12*Settings!$I$17)+(J12*Settings!$F$17)))</f>
        <v>114</v>
      </c>
      <c r="P12" s="66">
        <f>ROUND((((M12*Settings!$B$21)+(N12*Settings!$B$22))+(O12*Settings!$B$23)),1)</f>
        <v>130.19999999999999</v>
      </c>
      <c r="Q12" s="66">
        <f>IF(ISERROR(VLOOKUP(RANK(P12,P$4:P$182),Q$4:Q11,1,0)),RANK(P12,P$4:P$182),IF(ISERROR(VLOOKUP((RANK(P12,P$4:P$182)+1),Q$4:Q11,1,0)),(RANK(P12,P$4:P$182)+1),IF(ISERROR(VLOOKUP((RANK(P12,P$4:P$182)+2),Q$4:Q11,1,0)),(RANK(P12,P$4:P$182)+2),(RANK(P12,P$4:P$182)+3))))</f>
        <v>10</v>
      </c>
      <c r="R12" t="str">
        <f t="shared" si="2"/>
        <v>Blair Walsh</v>
      </c>
    </row>
    <row r="13" spans="1:18" ht="12.75" customHeight="1">
      <c r="A13" s="33" t="str">
        <f>ESPNData!CD12</f>
        <v>Dan Bailey, Dal K</v>
      </c>
      <c r="B13" s="33" t="str">
        <f t="shared" si="0"/>
        <v>Dan Bailey</v>
      </c>
      <c r="C13" s="64" t="str">
        <f t="shared" si="1"/>
        <v>DAL</v>
      </c>
      <c r="D13" s="117">
        <f>IF(ISERROR(VLOOKUP($B13,FFTodayData!$AW:$BE,4,0)),"",VLOOKUP($B13,FFTodayData!$AW:$BE,4,0))</f>
        <v>29</v>
      </c>
      <c r="E13" s="33">
        <f>IF(ISERROR(VLOOKUP($B13,FFTodayData!$AW:$BE,5,0)),"",VLOOKUP($B13,FFTodayData!$AW:$BE,5,0))</f>
        <v>31</v>
      </c>
      <c r="F13" s="33">
        <f>IF(ISERROR(VLOOKUP($B13,FFTodayData!$AW:$BE,7,0)),"",VLOOKUP($B13,FFTodayData!$AW:$BE,7,0))</f>
        <v>46</v>
      </c>
      <c r="G13" s="64">
        <f>IF(ISERROR(VLOOKUP($B13,FFTodayData!$AW:$BE,8,0)),"",VLOOKUP($B13,FFTodayData!$AW:$BE,8,0))</f>
        <v>46</v>
      </c>
      <c r="H13" s="117">
        <f>IF(ISERROR(VLOOKUP($B13,SportslineData!$AV:$BA,3,0)),"",ROUND(VLOOKUP($B13,SportslineData!$AV:$BA,3,0),0))</f>
        <v>29</v>
      </c>
      <c r="I13" s="33">
        <f>IF(ISERROR(VLOOKUP($B13,SportslineData!$AV:$BA,4,0)),"",ROUND(VLOOKUP($B13,SportslineData!$AV:$BA,4,0),0))</f>
        <v>32</v>
      </c>
      <c r="J13" s="64">
        <f>IF(ISERROR(VLOOKUP($B13,SportslineData!$AV:$BA,5,0)),"",ROUND(VLOOKUP($B13,SportslineData!$AV:$BA,5,0),0))</f>
        <v>43</v>
      </c>
      <c r="K13" s="117"/>
      <c r="L13" s="33"/>
      <c r="M13" s="38">
        <f>IF(AND((E13=""),(G13="")),0,((D13*Settings!$I$17)+(F13*Settings!$F$17)))</f>
        <v>133</v>
      </c>
      <c r="N13" s="38">
        <f>IF(OR(ISERROR(ROUND(VLOOKUP(A13,ESPNData!$CD:$CQ,14,0),1)),(A13="")),0,ROUND(VLOOKUP(A13,ESPNData!$CD:$CQ,14,0),1))</f>
        <v>138</v>
      </c>
      <c r="O13" s="38">
        <f>IF(AND((I13=""),(J13="")),0,((H13*Settings!$I$17)+(J13*Settings!$F$17)))</f>
        <v>130</v>
      </c>
      <c r="P13" s="66">
        <f>ROUND((((M13*Settings!$B$21)+(N13*Settings!$B$22))+(O13*Settings!$B$23)),1)</f>
        <v>133.6</v>
      </c>
      <c r="Q13" s="66">
        <f>IF(ISERROR(VLOOKUP(RANK(P13,P$4:P$182),Q$4:Q12,1,0)),RANK(P13,P$4:P$182),IF(ISERROR(VLOOKUP((RANK(P13,P$4:P$182)+1),Q$4:Q12,1,0)),(RANK(P13,P$4:P$182)+1),IF(ISERROR(VLOOKUP((RANK(P13,P$4:P$182)+2),Q$4:Q12,1,0)),(RANK(P13,P$4:P$182)+2),(RANK(P13,P$4:P$182)+3))))</f>
        <v>8</v>
      </c>
      <c r="R13" t="str">
        <f t="shared" si="2"/>
        <v>Dan Bailey</v>
      </c>
    </row>
    <row r="14" spans="1:18" ht="12.75" customHeight="1">
      <c r="A14" s="33" t="str">
        <f>ESPNData!CD13</f>
        <v>Nick Folk, NYJ K</v>
      </c>
      <c r="B14" s="33" t="str">
        <f t="shared" si="0"/>
        <v>Nick Folk</v>
      </c>
      <c r="C14" s="64" t="str">
        <f t="shared" si="1"/>
        <v>NYJ</v>
      </c>
      <c r="D14" s="117">
        <f>IF(ISERROR(VLOOKUP($B14,FFTodayData!$AW:$BE,4,0)),"",VLOOKUP($B14,FFTodayData!$AW:$BE,4,0))</f>
        <v>28</v>
      </c>
      <c r="E14" s="33">
        <f>IF(ISERROR(VLOOKUP($B14,FFTodayData!$AW:$BE,5,0)),"",VLOOKUP($B14,FFTodayData!$AW:$BE,5,0))</f>
        <v>33</v>
      </c>
      <c r="F14" s="33">
        <f>IF(ISERROR(VLOOKUP($B14,FFTodayData!$AW:$BE,7,0)),"",VLOOKUP($B14,FFTodayData!$AW:$BE,7,0))</f>
        <v>35</v>
      </c>
      <c r="G14" s="64">
        <f>IF(ISERROR(VLOOKUP($B14,FFTodayData!$AW:$BE,8,0)),"",VLOOKUP($B14,FFTodayData!$AW:$BE,8,0))</f>
        <v>35</v>
      </c>
      <c r="H14" s="117">
        <f>IF(ISERROR(VLOOKUP($B14,SportslineData!$AV:$BA,3,0)),"",ROUND(VLOOKUP($B14,SportslineData!$AV:$BA,3,0),0))</f>
        <v>25</v>
      </c>
      <c r="I14" s="33">
        <f>IF(ISERROR(VLOOKUP($B14,SportslineData!$AV:$BA,4,0)),"",ROUND(VLOOKUP($B14,SportslineData!$AV:$BA,4,0),0))</f>
        <v>32</v>
      </c>
      <c r="J14" s="64">
        <f>IF(ISERROR(VLOOKUP($B14,SportslineData!$AV:$BA,5,0)),"",ROUND(VLOOKUP($B14,SportslineData!$AV:$BA,5,0),0))</f>
        <v>34</v>
      </c>
      <c r="K14" s="117"/>
      <c r="L14" s="33"/>
      <c r="M14" s="38">
        <f>IF(AND((E14=""),(G14="")),0,((D14*Settings!$I$17)+(F14*Settings!$F$17)))</f>
        <v>119</v>
      </c>
      <c r="N14" s="38">
        <f>IF(OR(ISERROR(ROUND(VLOOKUP(A14,ESPNData!$CD:$CQ,14,0),1)),(A14="")),0,ROUND(VLOOKUP(A14,ESPNData!$CD:$CQ,14,0),1))</f>
        <v>136</v>
      </c>
      <c r="O14" s="38">
        <f>IF(AND((I14=""),(J14="")),0,((H14*Settings!$I$17)+(J14*Settings!$F$17)))</f>
        <v>109</v>
      </c>
      <c r="P14" s="66">
        <f>ROUND((((M14*Settings!$B$21)+(N14*Settings!$B$22))+(O14*Settings!$B$23)),1)</f>
        <v>121.2</v>
      </c>
      <c r="Q14" s="66">
        <f>IF(ISERROR(VLOOKUP(RANK(P14,P$4:P$182),Q$4:Q13,1,0)),RANK(P14,P$4:P$182),IF(ISERROR(VLOOKUP((RANK(P14,P$4:P$182)+1),Q$4:Q13,1,0)),(RANK(P14,P$4:P$182)+1),IF(ISERROR(VLOOKUP((RANK(P14,P$4:P$182)+2),Q$4:Q13,1,0)),(RANK(P14,P$4:P$182)+2),(RANK(P14,P$4:P$182)+3))))</f>
        <v>15</v>
      </c>
      <c r="R14" t="str">
        <f t="shared" si="2"/>
        <v>Nick Folk</v>
      </c>
    </row>
    <row r="15" spans="1:18" ht="12.75" customHeight="1">
      <c r="A15" s="33" t="str">
        <f>ESPNData!CD14</f>
        <v>Robbie Gould, Chi K</v>
      </c>
      <c r="B15" s="33" t="str">
        <f t="shared" si="0"/>
        <v>Robbie Gould</v>
      </c>
      <c r="C15" s="64" t="str">
        <f t="shared" si="1"/>
        <v>CHI</v>
      </c>
      <c r="D15" s="117">
        <f>IF(ISERROR(VLOOKUP($B15,FFTodayData!$AW:$BE,4,0)),"",VLOOKUP($B15,FFTodayData!$AW:$BE,4,0))</f>
        <v>27</v>
      </c>
      <c r="E15" s="33">
        <f>IF(ISERROR(VLOOKUP($B15,FFTodayData!$AW:$BE,5,0)),"",VLOOKUP($B15,FFTodayData!$AW:$BE,5,0))</f>
        <v>31</v>
      </c>
      <c r="F15" s="33">
        <f>IF(ISERROR(VLOOKUP($B15,FFTodayData!$AW:$BE,7,0)),"",VLOOKUP($B15,FFTodayData!$AW:$BE,7,0))</f>
        <v>43</v>
      </c>
      <c r="G15" s="64">
        <f>IF(ISERROR(VLOOKUP($B15,FFTodayData!$AW:$BE,8,0)),"",VLOOKUP($B15,FFTodayData!$AW:$BE,8,0))</f>
        <v>43</v>
      </c>
      <c r="H15" s="117">
        <f>IF(ISERROR(VLOOKUP($B15,SportslineData!$AV:$BA,3,0)),"",ROUND(VLOOKUP($B15,SportslineData!$AV:$BA,3,0),0))</f>
        <v>27</v>
      </c>
      <c r="I15" s="33">
        <f>IF(ISERROR(VLOOKUP($B15,SportslineData!$AV:$BA,4,0)),"",ROUND(VLOOKUP($B15,SportslineData!$AV:$BA,4,0),0))</f>
        <v>31</v>
      </c>
      <c r="J15" s="64">
        <f>IF(ISERROR(VLOOKUP($B15,SportslineData!$AV:$BA,5,0)),"",ROUND(VLOOKUP($B15,SportslineData!$AV:$BA,5,0),0))</f>
        <v>43</v>
      </c>
      <c r="K15" s="117"/>
      <c r="L15" s="33"/>
      <c r="M15" s="38">
        <f>IF(AND((E15=""),(G15="")),0,((D15*Settings!$I$17)+(F15*Settings!$F$17)))</f>
        <v>124</v>
      </c>
      <c r="N15" s="38">
        <f>IF(OR(ISERROR(ROUND(VLOOKUP(A15,ESPNData!$CD:$CQ,14,0),1)),(A15="")),0,ROUND(VLOOKUP(A15,ESPNData!$CD:$CQ,14,0),1))</f>
        <v>134</v>
      </c>
      <c r="O15" s="38">
        <f>IF(AND((I15=""),(J15="")),0,((H15*Settings!$I$17)+(J15*Settings!$F$17)))</f>
        <v>124</v>
      </c>
      <c r="P15" s="66">
        <f>ROUND((((M15*Settings!$B$21)+(N15*Settings!$B$22))+(O15*Settings!$B$23)),1)</f>
        <v>127.3</v>
      </c>
      <c r="Q15" s="66">
        <f>IF(ISERROR(VLOOKUP(RANK(P15,P$4:P$182),Q$4:Q14,1,0)),RANK(P15,P$4:P$182),IF(ISERROR(VLOOKUP((RANK(P15,P$4:P$182)+1),Q$4:Q14,1,0)),(RANK(P15,P$4:P$182)+1),IF(ISERROR(VLOOKUP((RANK(P15,P$4:P$182)+2),Q$4:Q14,1,0)),(RANK(P15,P$4:P$182)+2),(RANK(P15,P$4:P$182)+3))))</f>
        <v>12</v>
      </c>
      <c r="R15" t="str">
        <f t="shared" si="2"/>
        <v>Robbie Gould</v>
      </c>
    </row>
    <row r="16" spans="1:18" ht="12.75" customHeight="1">
      <c r="A16" s="33" t="str">
        <f>ESPNData!CD15</f>
        <v>Shayne Graham, NO K</v>
      </c>
      <c r="B16" s="33" t="str">
        <f t="shared" si="0"/>
        <v>Shayne Graham</v>
      </c>
      <c r="C16" s="64" t="str">
        <f t="shared" si="1"/>
        <v>NO</v>
      </c>
      <c r="D16" s="117">
        <f>IF(ISERROR(VLOOKUP($B16,FFTodayData!$AW:$BE,4,0)),"",VLOOKUP($B16,FFTodayData!$AW:$BE,4,0))</f>
        <v>25</v>
      </c>
      <c r="E16" s="33">
        <f>IF(ISERROR(VLOOKUP($B16,FFTodayData!$AW:$BE,5,0)),"",VLOOKUP($B16,FFTodayData!$AW:$BE,5,0))</f>
        <v>29</v>
      </c>
      <c r="F16" s="33">
        <f>IF(ISERROR(VLOOKUP($B16,FFTodayData!$AW:$BE,7,0)),"",VLOOKUP($B16,FFTodayData!$AW:$BE,7,0))</f>
        <v>55</v>
      </c>
      <c r="G16" s="64">
        <f>IF(ISERROR(VLOOKUP($B16,FFTodayData!$AW:$BE,8,0)),"",VLOOKUP($B16,FFTodayData!$AW:$BE,8,0))</f>
        <v>55</v>
      </c>
      <c r="H16" s="117">
        <f>IF(ISERROR(VLOOKUP($B16,SportslineData!$AV:$BA,3,0)),"",ROUND(VLOOKUP($B16,SportslineData!$AV:$BA,3,0),0))</f>
        <v>27</v>
      </c>
      <c r="I16" s="33">
        <f>IF(ISERROR(VLOOKUP($B16,SportslineData!$AV:$BA,4,0)),"",ROUND(VLOOKUP($B16,SportslineData!$AV:$BA,4,0),0))</f>
        <v>31</v>
      </c>
      <c r="J16" s="64">
        <f>IF(ISERROR(VLOOKUP($B16,SportslineData!$AV:$BA,5,0)),"",ROUND(VLOOKUP($B16,SportslineData!$AV:$BA,5,0),0))</f>
        <v>51</v>
      </c>
      <c r="K16" s="117"/>
      <c r="L16" s="33"/>
      <c r="M16" s="38">
        <f>IF(AND((E16=""),(G16="")),0,((D16*Settings!$I$17)+(F16*Settings!$F$17)))</f>
        <v>130</v>
      </c>
      <c r="N16" s="38">
        <f>IF(OR(ISERROR(ROUND(VLOOKUP(A16,ESPNData!$CD:$CQ,14,0),1)),(A16="")),0,ROUND(VLOOKUP(A16,ESPNData!$CD:$CQ,14,0),1))</f>
        <v>133</v>
      </c>
      <c r="O16" s="38">
        <f>IF(AND((I16=""),(J16="")),0,((H16*Settings!$I$17)+(J16*Settings!$F$17)))</f>
        <v>132</v>
      </c>
      <c r="P16" s="66">
        <f>ROUND((((M16*Settings!$B$21)+(N16*Settings!$B$22))+(O16*Settings!$B$23)),1)</f>
        <v>131.69999999999999</v>
      </c>
      <c r="Q16" s="66">
        <f>IF(ISERROR(VLOOKUP(RANK(P16,P$4:P$182),Q$4:Q15,1,0)),RANK(P16,P$4:P$182),IF(ISERROR(VLOOKUP((RANK(P16,P$4:P$182)+1),Q$4:Q15,1,0)),(RANK(P16,P$4:P$182)+1),IF(ISERROR(VLOOKUP((RANK(P16,P$4:P$182)+2),Q$4:Q15,1,0)),(RANK(P16,P$4:P$182)+2),(RANK(P16,P$4:P$182)+3))))</f>
        <v>9</v>
      </c>
      <c r="R16" t="str">
        <f t="shared" si="2"/>
        <v>Shayne Graham</v>
      </c>
    </row>
    <row r="17" spans="1:18" ht="12.75" customHeight="1">
      <c r="A17" s="33" t="str">
        <f>ESPNData!CD16</f>
        <v>Matt Bryant, Atl K</v>
      </c>
      <c r="B17" s="33" t="str">
        <f t="shared" si="0"/>
        <v>Matt Bryant</v>
      </c>
      <c r="C17" s="64" t="str">
        <f t="shared" si="1"/>
        <v>ATL</v>
      </c>
      <c r="D17" s="117">
        <f>IF(ISERROR(VLOOKUP($B17,FFTodayData!$AW:$BE,4,0)),"",VLOOKUP($B17,FFTodayData!$AW:$BE,4,0))</f>
        <v>26</v>
      </c>
      <c r="E17" s="33">
        <f>IF(ISERROR(VLOOKUP($B17,FFTodayData!$AW:$BE,5,0)),"",VLOOKUP($B17,FFTodayData!$AW:$BE,5,0))</f>
        <v>29</v>
      </c>
      <c r="F17" s="33">
        <f>IF(ISERROR(VLOOKUP($B17,FFTodayData!$AW:$BE,7,0)),"",VLOOKUP($B17,FFTodayData!$AW:$BE,7,0))</f>
        <v>40</v>
      </c>
      <c r="G17" s="64">
        <f>IF(ISERROR(VLOOKUP($B17,FFTodayData!$AW:$BE,8,0)),"",VLOOKUP($B17,FFTodayData!$AW:$BE,8,0))</f>
        <v>40</v>
      </c>
      <c r="H17" s="117">
        <f>IF(ISERROR(VLOOKUP($B17,SportslineData!$AV:$BA,3,0)),"",ROUND(VLOOKUP($B17,SportslineData!$AV:$BA,3,0),0))</f>
        <v>30</v>
      </c>
      <c r="I17" s="33">
        <f>IF(ISERROR(VLOOKUP($B17,SportslineData!$AV:$BA,4,0)),"",ROUND(VLOOKUP($B17,SportslineData!$AV:$BA,4,0),0))</f>
        <v>35</v>
      </c>
      <c r="J17" s="64">
        <f>IF(ISERROR(VLOOKUP($B17,SportslineData!$AV:$BA,5,0)),"",ROUND(VLOOKUP($B17,SportslineData!$AV:$BA,5,0),0))</f>
        <v>42</v>
      </c>
      <c r="K17" s="117"/>
      <c r="L17" s="33"/>
      <c r="M17" s="38">
        <f>IF(AND((E17=""),(G17="")),0,((D17*Settings!$I$17)+(F17*Settings!$F$17)))</f>
        <v>118</v>
      </c>
      <c r="N17" s="38">
        <f>IF(OR(ISERROR(ROUND(VLOOKUP(A17,ESPNData!$CD:$CQ,14,0),1)),(A17="")),0,ROUND(VLOOKUP(A17,ESPNData!$CD:$CQ,14,0),1))</f>
        <v>132</v>
      </c>
      <c r="O17" s="38">
        <f>IF(AND((I17=""),(J17="")),0,((H17*Settings!$I$17)+(J17*Settings!$F$17)))</f>
        <v>132</v>
      </c>
      <c r="P17" s="66">
        <f>ROUND((((M17*Settings!$B$21)+(N17*Settings!$B$22))+(O17*Settings!$B$23)),1)</f>
        <v>127.4</v>
      </c>
      <c r="Q17" s="66">
        <f>IF(ISERROR(VLOOKUP(RANK(P17,P$4:P$182),Q$4:Q16,1,0)),RANK(P17,P$4:P$182),IF(ISERROR(VLOOKUP((RANK(P17,P$4:P$182)+1),Q$4:Q16,1,0)),(RANK(P17,P$4:P$182)+1),IF(ISERROR(VLOOKUP((RANK(P17,P$4:P$182)+2),Q$4:Q16,1,0)),(RANK(P17,P$4:P$182)+2),(RANK(P17,P$4:P$182)+3))))</f>
        <v>11</v>
      </c>
      <c r="R17" t="str">
        <f t="shared" si="2"/>
        <v>Matt Bryant</v>
      </c>
    </row>
    <row r="18" spans="1:18" ht="12.75" customHeight="1">
      <c r="A18" s="33" t="str">
        <f>ESPNData!CD17</f>
        <v>Alex Henery, Phi K</v>
      </c>
      <c r="B18" s="33" t="str">
        <f t="shared" si="0"/>
        <v>Alex Henery</v>
      </c>
      <c r="C18" s="64" t="str">
        <f t="shared" si="1"/>
        <v>PHI</v>
      </c>
      <c r="D18" s="117">
        <f>IF(ISERROR(VLOOKUP($B18,FFTodayData!$AW:$BE,4,0)),"",VLOOKUP($B18,FFTodayData!$AW:$BE,4,0))</f>
        <v>24</v>
      </c>
      <c r="E18" s="33">
        <f>IF(ISERROR(VLOOKUP($B18,FFTodayData!$AW:$BE,5,0)),"",VLOOKUP($B18,FFTodayData!$AW:$BE,5,0))</f>
        <v>29</v>
      </c>
      <c r="F18" s="33">
        <f>IF(ISERROR(VLOOKUP($B18,FFTodayData!$AW:$BE,7,0)),"",VLOOKUP($B18,FFTodayData!$AW:$BE,7,0))</f>
        <v>46</v>
      </c>
      <c r="G18" s="64">
        <f>IF(ISERROR(VLOOKUP($B18,FFTodayData!$AW:$BE,8,0)),"",VLOOKUP($B18,FFTodayData!$AW:$BE,8,0))</f>
        <v>46</v>
      </c>
      <c r="H18" s="117">
        <f>IF(ISERROR(VLOOKUP($B18,SportslineData!$AV:$BA,3,0)),"",ROUND(VLOOKUP($B18,SportslineData!$AV:$BA,3,0),0))</f>
        <v>25</v>
      </c>
      <c r="I18" s="33">
        <f>IF(ISERROR(VLOOKUP($B18,SportslineData!$AV:$BA,4,0)),"",ROUND(VLOOKUP($B18,SportslineData!$AV:$BA,4,0),0))</f>
        <v>31</v>
      </c>
      <c r="J18" s="64">
        <f>IF(ISERROR(VLOOKUP($B18,SportslineData!$AV:$BA,5,0)),"",ROUND(VLOOKUP($B18,SportslineData!$AV:$BA,5,0),0))</f>
        <v>46</v>
      </c>
      <c r="K18" s="117"/>
      <c r="L18" s="33"/>
      <c r="M18" s="38">
        <f>IF(AND((E18=""),(G18="")),0,((D18*Settings!$I$17)+(F18*Settings!$F$17)))</f>
        <v>118</v>
      </c>
      <c r="N18" s="38">
        <f>IF(OR(ISERROR(ROUND(VLOOKUP(A18,ESPNData!$CD:$CQ,14,0),1)),(A18="")),0,ROUND(VLOOKUP(A18,ESPNData!$CD:$CQ,14,0),1))</f>
        <v>130</v>
      </c>
      <c r="O18" s="38">
        <f>IF(AND((I18=""),(J18="")),0,((H18*Settings!$I$17)+(J18*Settings!$F$17)))</f>
        <v>121</v>
      </c>
      <c r="P18" s="66">
        <f>ROUND((((M18*Settings!$B$21)+(N18*Settings!$B$22))+(O18*Settings!$B$23)),1)</f>
        <v>123</v>
      </c>
      <c r="Q18" s="66">
        <f>IF(ISERROR(VLOOKUP(RANK(P18,P$4:P$182),Q$4:Q17,1,0)),RANK(P18,P$4:P$182),IF(ISERROR(VLOOKUP((RANK(P18,P$4:P$182)+1),Q$4:Q17,1,0)),(RANK(P18,P$4:P$182)+1),IF(ISERROR(VLOOKUP((RANK(P18,P$4:P$182)+2),Q$4:Q17,1,0)),(RANK(P18,P$4:P$182)+2),(RANK(P18,P$4:P$182)+3))))</f>
        <v>13</v>
      </c>
      <c r="R18" t="str">
        <f t="shared" si="2"/>
        <v>Alex Henery</v>
      </c>
    </row>
    <row r="19" spans="1:18" ht="12.75" customHeight="1">
      <c r="A19" s="33" t="str">
        <f>ESPNData!CD18</f>
        <v>Ryan Succop, KC K</v>
      </c>
      <c r="B19" s="33" t="str">
        <f t="shared" si="0"/>
        <v>Ryan Succop</v>
      </c>
      <c r="C19" s="64" t="str">
        <f t="shared" si="1"/>
        <v>KC</v>
      </c>
      <c r="D19" s="117">
        <f>IF(ISERROR(VLOOKUP($B19,FFTodayData!$AW:$BE,4,0)),"",VLOOKUP($B19,FFTodayData!$AW:$BE,4,0))</f>
        <v>24</v>
      </c>
      <c r="E19" s="33">
        <f>IF(ISERROR(VLOOKUP($B19,FFTodayData!$AW:$BE,5,0)),"",VLOOKUP($B19,FFTodayData!$AW:$BE,5,0))</f>
        <v>29</v>
      </c>
      <c r="F19" s="33">
        <f>IF(ISERROR(VLOOKUP($B19,FFTodayData!$AW:$BE,7,0)),"",VLOOKUP($B19,FFTodayData!$AW:$BE,7,0))</f>
        <v>47</v>
      </c>
      <c r="G19" s="64">
        <f>IF(ISERROR(VLOOKUP($B19,FFTodayData!$AW:$BE,8,0)),"",VLOOKUP($B19,FFTodayData!$AW:$BE,8,0))</f>
        <v>47</v>
      </c>
      <c r="H19" s="117">
        <f>IF(ISERROR(VLOOKUP($B19,SportslineData!$AV:$BA,3,0)),"",ROUND(VLOOKUP($B19,SportslineData!$AV:$BA,3,0),0))</f>
        <v>25</v>
      </c>
      <c r="I19" s="33">
        <f>IF(ISERROR(VLOOKUP($B19,SportslineData!$AV:$BA,4,0)),"",ROUND(VLOOKUP($B19,SportslineData!$AV:$BA,4,0),0))</f>
        <v>30</v>
      </c>
      <c r="J19" s="64">
        <f>IF(ISERROR(VLOOKUP($B19,SportslineData!$AV:$BA,5,0)),"",ROUND(VLOOKUP($B19,SportslineData!$AV:$BA,5,0),0))</f>
        <v>39</v>
      </c>
      <c r="K19" s="117"/>
      <c r="L19" s="33"/>
      <c r="M19" s="38">
        <f>IF(AND((E19=""),(G19="")),0,((D19*Settings!$I$17)+(F19*Settings!$F$17)))</f>
        <v>119</v>
      </c>
      <c r="N19" s="38">
        <f>IF(OR(ISERROR(ROUND(VLOOKUP(A19,ESPNData!$CD:$CQ,14,0),1)),(A19="")),0,ROUND(VLOOKUP(A19,ESPNData!$CD:$CQ,14,0),1))</f>
        <v>126</v>
      </c>
      <c r="O19" s="38">
        <f>IF(AND((I19=""),(J19="")),0,((H19*Settings!$I$17)+(J19*Settings!$F$17)))</f>
        <v>114</v>
      </c>
      <c r="P19" s="66">
        <f>ROUND((((M19*Settings!$B$21)+(N19*Settings!$B$22))+(O19*Settings!$B$23)),1)</f>
        <v>119.6</v>
      </c>
      <c r="Q19" s="66">
        <f>IF(ISERROR(VLOOKUP(RANK(P19,P$4:P$182),Q$4:Q18,1,0)),RANK(P19,P$4:P$182),IF(ISERROR(VLOOKUP((RANK(P19,P$4:P$182)+1),Q$4:Q18,1,0)),(RANK(P19,P$4:P$182)+1),IF(ISERROR(VLOOKUP((RANK(P19,P$4:P$182)+2),Q$4:Q18,1,0)),(RANK(P19,P$4:P$182)+2),(RANK(P19,P$4:P$182)+3))))</f>
        <v>17</v>
      </c>
      <c r="R19" t="str">
        <f t="shared" si="2"/>
        <v>Ryan Succop</v>
      </c>
    </row>
    <row r="20" spans="1:18" ht="12.75" customHeight="1">
      <c r="A20" s="33" t="str">
        <f>ESPNData!CD19</f>
        <v>Graham Gano, Car K</v>
      </c>
      <c r="B20" s="33" t="str">
        <f t="shared" si="0"/>
        <v>Graham Gano</v>
      </c>
      <c r="C20" s="64" t="str">
        <f t="shared" si="1"/>
        <v>CAR</v>
      </c>
      <c r="D20" s="117">
        <f>IF(ISERROR(VLOOKUP($B20,FFTodayData!$AW:$BE,4,0)),"",VLOOKUP($B20,FFTodayData!$AW:$BE,4,0))</f>
        <v>26</v>
      </c>
      <c r="E20" s="33">
        <f>IF(ISERROR(VLOOKUP($B20,FFTodayData!$AW:$BE,5,0)),"",VLOOKUP($B20,FFTodayData!$AW:$BE,5,0))</f>
        <v>30</v>
      </c>
      <c r="F20" s="33">
        <f>IF(ISERROR(VLOOKUP($B20,FFTodayData!$AW:$BE,7,0)),"",VLOOKUP($B20,FFTodayData!$AW:$BE,7,0))</f>
        <v>43</v>
      </c>
      <c r="G20" s="64">
        <f>IF(ISERROR(VLOOKUP($B20,FFTodayData!$AW:$BE,8,0)),"",VLOOKUP($B20,FFTodayData!$AW:$BE,8,0))</f>
        <v>43</v>
      </c>
      <c r="H20" s="117">
        <f>IF(ISERROR(VLOOKUP($B20,SportslineData!$AV:$BA,3,0)),"",ROUND(VLOOKUP($B20,SportslineData!$AV:$BA,3,0),0))</f>
        <v>25</v>
      </c>
      <c r="I20" s="33">
        <f>IF(ISERROR(VLOOKUP($B20,SportslineData!$AV:$BA,4,0)),"",ROUND(VLOOKUP($B20,SportslineData!$AV:$BA,4,0),0))</f>
        <v>29</v>
      </c>
      <c r="J20" s="64">
        <f>IF(ISERROR(VLOOKUP($B20,SportslineData!$AV:$BA,5,0)),"",ROUND(VLOOKUP($B20,SportslineData!$AV:$BA,5,0),0))</f>
        <v>35</v>
      </c>
      <c r="K20" s="117"/>
      <c r="L20" s="33"/>
      <c r="M20" s="38">
        <f>IF(AND((E20=""),(G20="")),0,((D20*Settings!$I$17)+(F20*Settings!$F$17)))</f>
        <v>121</v>
      </c>
      <c r="N20" s="38">
        <f>IF(OR(ISERROR(ROUND(VLOOKUP(A20,ESPNData!$CD:$CQ,14,0),1)),(A20="")),0,ROUND(VLOOKUP(A20,ESPNData!$CD:$CQ,14,0),1))</f>
        <v>116</v>
      </c>
      <c r="O20" s="38">
        <f>IF(AND((I20=""),(J20="")),0,((H20*Settings!$I$17)+(J20*Settings!$F$17)))</f>
        <v>110</v>
      </c>
      <c r="P20" s="66">
        <f>ROUND((((M20*Settings!$B$21)+(N20*Settings!$B$22))+(O20*Settings!$B$23)),1)</f>
        <v>115.6</v>
      </c>
      <c r="Q20" s="66">
        <f>IF(ISERROR(VLOOKUP(RANK(P20,P$4:P$182),Q$4:Q19,1,0)),RANK(P20,P$4:P$182),IF(ISERROR(VLOOKUP((RANK(P20,P$4:P$182)+1),Q$4:Q19,1,0)),(RANK(P20,P$4:P$182)+1),IF(ISERROR(VLOOKUP((RANK(P20,P$4:P$182)+2),Q$4:Q19,1,0)),(RANK(P20,P$4:P$182)+2),(RANK(P20,P$4:P$182)+3))))</f>
        <v>20</v>
      </c>
      <c r="R20" t="str">
        <f t="shared" si="2"/>
        <v>Graham Gano</v>
      </c>
    </row>
    <row r="21" spans="1:18" ht="12.75" customHeight="1">
      <c r="A21" s="33" t="str">
        <f>ESPNData!CD20</f>
        <v>Mike Nugent, Cin K</v>
      </c>
      <c r="B21" s="33" t="str">
        <f t="shared" si="0"/>
        <v>Mike Nugent</v>
      </c>
      <c r="C21" s="64" t="str">
        <f t="shared" si="1"/>
        <v>CIN</v>
      </c>
      <c r="D21" s="117">
        <f>IF(ISERROR(VLOOKUP($B21,FFTodayData!$AW:$BE,4,0)),"",VLOOKUP($B21,FFTodayData!$AW:$BE,4,0))</f>
        <v>21</v>
      </c>
      <c r="E21" s="33">
        <f>IF(ISERROR(VLOOKUP($B21,FFTodayData!$AW:$BE,5,0)),"",VLOOKUP($B21,FFTodayData!$AW:$BE,5,0))</f>
        <v>26</v>
      </c>
      <c r="F21" s="33">
        <f>IF(ISERROR(VLOOKUP($B21,FFTodayData!$AW:$BE,7,0)),"",VLOOKUP($B21,FFTodayData!$AW:$BE,7,0))</f>
        <v>48</v>
      </c>
      <c r="G21" s="64">
        <f>IF(ISERROR(VLOOKUP($B21,FFTodayData!$AW:$BE,8,0)),"",VLOOKUP($B21,FFTodayData!$AW:$BE,8,0))</f>
        <v>48</v>
      </c>
      <c r="H21" s="117">
        <f>IF(ISERROR(VLOOKUP($B21,SportslineData!$AV:$BA,3,0)),"",ROUND(VLOOKUP($B21,SportslineData!$AV:$BA,3,0),0))</f>
        <v>23</v>
      </c>
      <c r="I21" s="33">
        <f>IF(ISERROR(VLOOKUP($B21,SportslineData!$AV:$BA,4,0)),"",ROUND(VLOOKUP($B21,SportslineData!$AV:$BA,4,0),0))</f>
        <v>27</v>
      </c>
      <c r="J21" s="64">
        <f>IF(ISERROR(VLOOKUP($B21,SportslineData!$AV:$BA,5,0)),"",ROUND(VLOOKUP($B21,SportslineData!$AV:$BA,5,0),0))</f>
        <v>40</v>
      </c>
      <c r="K21" s="117"/>
      <c r="L21" s="33"/>
      <c r="M21" s="38">
        <f>IF(AND((E21=""),(G21="")),0,((D21*Settings!$I$17)+(F21*Settings!$F$17)))</f>
        <v>111</v>
      </c>
      <c r="N21" s="38">
        <f>IF(OR(ISERROR(ROUND(VLOOKUP(A21,ESPNData!$CD:$CQ,14,0),1)),(A21="")),0,ROUND(VLOOKUP(A21,ESPNData!$CD:$CQ,14,0),1))</f>
        <v>115</v>
      </c>
      <c r="O21" s="38">
        <f>IF(AND((I21=""),(J21="")),0,((H21*Settings!$I$17)+(J21*Settings!$F$17)))</f>
        <v>109</v>
      </c>
      <c r="P21" s="66">
        <f>ROUND((((M21*Settings!$B$21)+(N21*Settings!$B$22))+(O21*Settings!$B$23)),1)</f>
        <v>111.6</v>
      </c>
      <c r="Q21" s="66">
        <f>IF(ISERROR(VLOOKUP(RANK(P21,P$4:P$182),Q$4:Q20,1,0)),RANK(P21,P$4:P$182),IF(ISERROR(VLOOKUP((RANK(P21,P$4:P$182)+1),Q$4:Q20,1,0)),(RANK(P21,P$4:P$182)+1),IF(ISERROR(VLOOKUP((RANK(P21,P$4:P$182)+2),Q$4:Q20,1,0)),(RANK(P21,P$4:P$182)+2),(RANK(P21,P$4:P$182)+3))))</f>
        <v>22</v>
      </c>
      <c r="R21" t="str">
        <f t="shared" si="2"/>
        <v>Mike Nugent</v>
      </c>
    </row>
    <row r="22" spans="1:18" ht="12.75" customHeight="1">
      <c r="A22" s="33" t="str">
        <f>ESPNData!CD21</f>
        <v>Shaun Suisham, Pit K</v>
      </c>
      <c r="B22" s="33" t="str">
        <f t="shared" si="0"/>
        <v>Shaun Suisham</v>
      </c>
      <c r="C22" s="64" t="str">
        <f t="shared" si="1"/>
        <v>PIT</v>
      </c>
      <c r="D22" s="117">
        <f>IF(ISERROR(VLOOKUP($B22,FFTodayData!$AW:$BE,4,0)),"",VLOOKUP($B22,FFTodayData!$AW:$BE,4,0))</f>
        <v>29</v>
      </c>
      <c r="E22" s="33">
        <f>IF(ISERROR(VLOOKUP($B22,FFTodayData!$AW:$BE,5,0)),"",VLOOKUP($B22,FFTodayData!$AW:$BE,5,0))</f>
        <v>32</v>
      </c>
      <c r="F22" s="33">
        <f>IF(ISERROR(VLOOKUP($B22,FFTodayData!$AW:$BE,7,0)),"",VLOOKUP($B22,FFTodayData!$AW:$BE,7,0))</f>
        <v>42</v>
      </c>
      <c r="G22" s="64">
        <f>IF(ISERROR(VLOOKUP($B22,FFTodayData!$AW:$BE,8,0)),"",VLOOKUP($B22,FFTodayData!$AW:$BE,8,0))</f>
        <v>42</v>
      </c>
      <c r="H22" s="117">
        <f>IF(ISERROR(VLOOKUP($B22,SportslineData!$AV:$BA,3,0)),"",ROUND(VLOOKUP($B22,SportslineData!$AV:$BA,3,0),0))</f>
        <v>25</v>
      </c>
      <c r="I22" s="33">
        <f>IF(ISERROR(VLOOKUP($B22,SportslineData!$AV:$BA,4,0)),"",ROUND(VLOOKUP($B22,SportslineData!$AV:$BA,4,0),0))</f>
        <v>29</v>
      </c>
      <c r="J22" s="64">
        <f>IF(ISERROR(VLOOKUP($B22,SportslineData!$AV:$BA,5,0)),"",ROUND(VLOOKUP($B22,SportslineData!$AV:$BA,5,0),0))</f>
        <v>40</v>
      </c>
      <c r="K22" s="117"/>
      <c r="L22" s="33"/>
      <c r="M22" s="38">
        <f>IF(AND((E22=""),(G22="")),0,((D22*Settings!$I$17)+(F22*Settings!$F$17)))</f>
        <v>129</v>
      </c>
      <c r="N22" s="38">
        <f>IF(OR(ISERROR(ROUND(VLOOKUP(A22,ESPNData!$CD:$CQ,14,0),1)),(A22="")),0,ROUND(VLOOKUP(A22,ESPNData!$CD:$CQ,14,0),1))</f>
        <v>121</v>
      </c>
      <c r="O22" s="38">
        <f>IF(AND((I22=""),(J22="")),0,((H22*Settings!$I$17)+(J22*Settings!$F$17)))</f>
        <v>115</v>
      </c>
      <c r="P22" s="66">
        <f>ROUND((((M22*Settings!$B$21)+(N22*Settings!$B$22))+(O22*Settings!$B$23)),1)</f>
        <v>121.6</v>
      </c>
      <c r="Q22" s="66">
        <f>IF(ISERROR(VLOOKUP(RANK(P22,P$4:P$182),Q$4:Q21,1,0)),RANK(P22,P$4:P$182),IF(ISERROR(VLOOKUP((RANK(P22,P$4:P$182)+1),Q$4:Q21,1,0)),(RANK(P22,P$4:P$182)+1),IF(ISERROR(VLOOKUP((RANK(P22,P$4:P$182)+2),Q$4:Q21,1,0)),(RANK(P22,P$4:P$182)+2),(RANK(P22,P$4:P$182)+3))))</f>
        <v>14</v>
      </c>
      <c r="R22" t="str">
        <f t="shared" si="2"/>
        <v>Shaun Suisham</v>
      </c>
    </row>
    <row r="23" spans="1:18" ht="12.75" customHeight="1">
      <c r="A23" s="33" t="str">
        <f>ESPNData!CD22</f>
        <v>Greg Zuerlein, StL K</v>
      </c>
      <c r="B23" s="33" t="str">
        <f t="shared" si="0"/>
        <v>Greg Zuerlein</v>
      </c>
      <c r="C23" s="64" t="str">
        <f t="shared" si="1"/>
        <v>STL</v>
      </c>
      <c r="D23" s="117">
        <f>IF(ISERROR(VLOOKUP($B23,FFTodayData!$AW:$BE,4,0)),"",VLOOKUP($B23,FFTodayData!$AW:$BE,4,0))</f>
        <v>25</v>
      </c>
      <c r="E23" s="33">
        <f>IF(ISERROR(VLOOKUP($B23,FFTodayData!$AW:$BE,5,0)),"",VLOOKUP($B23,FFTodayData!$AW:$BE,5,0))</f>
        <v>29</v>
      </c>
      <c r="F23" s="33">
        <f>IF(ISERROR(VLOOKUP($B23,FFTodayData!$AW:$BE,7,0)),"",VLOOKUP($B23,FFTodayData!$AW:$BE,7,0))</f>
        <v>39</v>
      </c>
      <c r="G23" s="64">
        <f>IF(ISERROR(VLOOKUP($B23,FFTodayData!$AW:$BE,8,0)),"",VLOOKUP($B23,FFTodayData!$AW:$BE,8,0))</f>
        <v>39</v>
      </c>
      <c r="H23" s="117">
        <f>IF(ISERROR(VLOOKUP($B23,SportslineData!$AV:$BA,3,0)),"",ROUND(VLOOKUP($B23,SportslineData!$AV:$BA,3,0),0))</f>
        <v>26</v>
      </c>
      <c r="I23" s="33">
        <f>IF(ISERROR(VLOOKUP($B23,SportslineData!$AV:$BA,4,0)),"",ROUND(VLOOKUP($B23,SportslineData!$AV:$BA,4,0),0))</f>
        <v>32</v>
      </c>
      <c r="J23" s="64">
        <f>IF(ISERROR(VLOOKUP($B23,SportslineData!$AV:$BA,5,0)),"",ROUND(VLOOKUP($B23,SportslineData!$AV:$BA,5,0),0))</f>
        <v>38</v>
      </c>
      <c r="K23" s="117"/>
      <c r="L23" s="33"/>
      <c r="M23" s="38">
        <f>IF(AND((E23=""),(G23="")),0,((D23*Settings!$I$17)+(F23*Settings!$F$17)))</f>
        <v>114</v>
      </c>
      <c r="N23" s="38">
        <f>IF(OR(ISERROR(ROUND(VLOOKUP(A23,ESPNData!$CD:$CQ,14,0),1)),(A23="")),0,ROUND(VLOOKUP(A23,ESPNData!$CD:$CQ,14,0),1))</f>
        <v>124</v>
      </c>
      <c r="O23" s="38">
        <f>IF(AND((I23=""),(J23="")),0,((H23*Settings!$I$17)+(J23*Settings!$F$17)))</f>
        <v>116</v>
      </c>
      <c r="P23" s="66">
        <f>ROUND((((M23*Settings!$B$21)+(N23*Settings!$B$22))+(O23*Settings!$B$23)),1)</f>
        <v>118</v>
      </c>
      <c r="Q23" s="66">
        <f>IF(ISERROR(VLOOKUP(RANK(P23,P$4:P$182),Q$4:Q22,1,0)),RANK(P23,P$4:P$182),IF(ISERROR(VLOOKUP((RANK(P23,P$4:P$182)+1),Q$4:Q22,1,0)),(RANK(P23,P$4:P$182)+1),IF(ISERROR(VLOOKUP((RANK(P23,P$4:P$182)+2),Q$4:Q22,1,0)),(RANK(P23,P$4:P$182)+2),(RANK(P23,P$4:P$182)+3))))</f>
        <v>19</v>
      </c>
      <c r="R23" t="str">
        <f t="shared" si="2"/>
        <v>Greg Zuerlein</v>
      </c>
    </row>
    <row r="24" spans="1:18" ht="12.75" customHeight="1">
      <c r="A24" s="33" t="str">
        <f>ESPNData!CD23</f>
        <v>Jay Feely, Ari K</v>
      </c>
      <c r="B24" s="33" t="str">
        <f t="shared" si="0"/>
        <v>Jay Feely</v>
      </c>
      <c r="C24" s="64" t="str">
        <f t="shared" si="1"/>
        <v>ARI</v>
      </c>
      <c r="D24" s="117">
        <f>IF(ISERROR(VLOOKUP($B24,FFTodayData!$AW:$BE,4,0)),"",VLOOKUP($B24,FFTodayData!$AW:$BE,4,0))</f>
        <v>27</v>
      </c>
      <c r="E24" s="33">
        <f>IF(ISERROR(VLOOKUP($B24,FFTodayData!$AW:$BE,5,0)),"",VLOOKUP($B24,FFTodayData!$AW:$BE,5,0))</f>
        <v>31</v>
      </c>
      <c r="F24" s="33">
        <f>IF(ISERROR(VLOOKUP($B24,FFTodayData!$AW:$BE,7,0)),"",VLOOKUP($B24,FFTodayData!$AW:$BE,7,0))</f>
        <v>36</v>
      </c>
      <c r="G24" s="64">
        <f>IF(ISERROR(VLOOKUP($B24,FFTodayData!$AW:$BE,8,0)),"",VLOOKUP($B24,FFTodayData!$AW:$BE,8,0))</f>
        <v>36</v>
      </c>
      <c r="H24" s="117">
        <f>IF(ISERROR(VLOOKUP($B24,SportslineData!$AV:$BA,3,0)),"",ROUND(VLOOKUP($B24,SportslineData!$AV:$BA,3,0),0))</f>
        <v>27</v>
      </c>
      <c r="I24" s="33">
        <f>IF(ISERROR(VLOOKUP($B24,SportslineData!$AV:$BA,4,0)),"",ROUND(VLOOKUP($B24,SportslineData!$AV:$BA,4,0),0))</f>
        <v>33</v>
      </c>
      <c r="J24" s="64">
        <f>IF(ISERROR(VLOOKUP($B24,SportslineData!$AV:$BA,5,0)),"",ROUND(VLOOKUP($B24,SportslineData!$AV:$BA,5,0),0))</f>
        <v>34</v>
      </c>
      <c r="K24" s="117"/>
      <c r="L24" s="33"/>
      <c r="M24" s="38">
        <f>IF(AND((E24=""),(G24="")),0,((D24*Settings!$I$17)+(F24*Settings!$F$17)))</f>
        <v>117</v>
      </c>
      <c r="N24" s="38">
        <f>IF(OR(ISERROR(ROUND(VLOOKUP(A24,ESPNData!$CD:$CQ,14,0),1)),(A24="")),0,ROUND(VLOOKUP(A24,ESPNData!$CD:$CQ,14,0),1))</f>
        <v>127</v>
      </c>
      <c r="O24" s="38">
        <f>IF(AND((I24=""),(J24="")),0,((H24*Settings!$I$17)+(J24*Settings!$F$17)))</f>
        <v>115</v>
      </c>
      <c r="P24" s="66">
        <f>ROUND((((M24*Settings!$B$21)+(N24*Settings!$B$22))+(O24*Settings!$B$23)),1)</f>
        <v>119.6</v>
      </c>
      <c r="Q24" s="66">
        <f>IF(ISERROR(VLOOKUP(RANK(P24,P$4:P$182),Q$4:Q23,1,0)),RANK(P24,P$4:P$182),IF(ISERROR(VLOOKUP((RANK(P24,P$4:P$182)+1),Q$4:Q23,1,0)),(RANK(P24,P$4:P$182)+1),IF(ISERROR(VLOOKUP((RANK(P24,P$4:P$182)+2),Q$4:Q23,1,0)),(RANK(P24,P$4:P$182)+2),(RANK(P24,P$4:P$182)+3))))</f>
        <v>18</v>
      </c>
      <c r="R24" t="str">
        <f t="shared" si="2"/>
        <v>Jay Feely</v>
      </c>
    </row>
    <row r="25" spans="1:18" ht="12.75" customHeight="1">
      <c r="A25" s="33" t="str">
        <f>ESPNData!CD24</f>
        <v>Dan Carpenter, Buf K</v>
      </c>
      <c r="B25" s="33" t="str">
        <f t="shared" si="0"/>
        <v>Dan Carpenter</v>
      </c>
      <c r="C25" s="64" t="str">
        <f t="shared" si="1"/>
        <v>BUF</v>
      </c>
      <c r="D25" s="117">
        <f>IF(ISERROR(VLOOKUP($B25,FFTodayData!$AW:$BE,4,0)),"",VLOOKUP($B25,FFTodayData!$AW:$BE,4,0))</f>
        <v>29</v>
      </c>
      <c r="E25" s="33">
        <f>IF(ISERROR(VLOOKUP($B25,FFTodayData!$AW:$BE,5,0)),"",VLOOKUP($B25,FFTodayData!$AW:$BE,5,0))</f>
        <v>33</v>
      </c>
      <c r="F25" s="33">
        <f>IF(ISERROR(VLOOKUP($B25,FFTodayData!$AW:$BE,7,0)),"",VLOOKUP($B25,FFTodayData!$AW:$BE,7,0))</f>
        <v>34</v>
      </c>
      <c r="G25" s="64">
        <f>IF(ISERROR(VLOOKUP($B25,FFTodayData!$AW:$BE,8,0)),"",VLOOKUP($B25,FFTodayData!$AW:$BE,8,0))</f>
        <v>34</v>
      </c>
      <c r="H25" s="117">
        <f>IF(ISERROR(VLOOKUP($B25,SportslineData!$AV:$BA,3,0)),"",ROUND(VLOOKUP($B25,SportslineData!$AV:$BA,3,0),0))</f>
        <v>26</v>
      </c>
      <c r="I25" s="33">
        <f>IF(ISERROR(VLOOKUP($B25,SportslineData!$AV:$BA,4,0)),"",ROUND(VLOOKUP($B25,SportslineData!$AV:$BA,4,0),0))</f>
        <v>31</v>
      </c>
      <c r="J25" s="64">
        <f>IF(ISERROR(VLOOKUP($B25,SportslineData!$AV:$BA,5,0)),"",ROUND(VLOOKUP($B25,SportslineData!$AV:$BA,5,0),0))</f>
        <v>36</v>
      </c>
      <c r="K25" s="117"/>
      <c r="L25" s="33"/>
      <c r="M25" s="38">
        <f>IF(AND((E25=""),(G25="")),0,((D25*Settings!$I$17)+(F25*Settings!$F$17)))</f>
        <v>121</v>
      </c>
      <c r="N25" s="38">
        <f>IF(OR(ISERROR(ROUND(VLOOKUP(A25,ESPNData!$CD:$CQ,14,0),1)),(A25="")),0,ROUND(VLOOKUP(A25,ESPNData!$CD:$CQ,14,0),1))</f>
        <v>127</v>
      </c>
      <c r="O25" s="38">
        <f>IF(AND((I25=""),(J25="")),0,((H25*Settings!$I$17)+(J25*Settings!$F$17)))</f>
        <v>114</v>
      </c>
      <c r="P25" s="66">
        <f>ROUND((((M25*Settings!$B$21)+(N25*Settings!$B$22))+(O25*Settings!$B$23)),1)</f>
        <v>120.6</v>
      </c>
      <c r="Q25" s="66">
        <f>IF(ISERROR(VLOOKUP(RANK(P25,P$4:P$182),Q$4:Q24,1,0)),RANK(P25,P$4:P$182),IF(ISERROR(VLOOKUP((RANK(P25,P$4:P$182)+1),Q$4:Q24,1,0)),(RANK(P25,P$4:P$182)+1),IF(ISERROR(VLOOKUP((RANK(P25,P$4:P$182)+2),Q$4:Q24,1,0)),(RANK(P25,P$4:P$182)+2),(RANK(P25,P$4:P$182)+3))))</f>
        <v>16</v>
      </c>
      <c r="R25" t="str">
        <f t="shared" si="2"/>
        <v>Dan Carpenter</v>
      </c>
    </row>
    <row r="26" spans="1:18" ht="12.75" customHeight="1">
      <c r="A26" s="33" t="str">
        <f>ESPNData!CD25</f>
        <v>Caleb Sturgis, Mia K  P</v>
      </c>
      <c r="B26" s="33" t="str">
        <f t="shared" si="0"/>
        <v>Caleb Sturgis</v>
      </c>
      <c r="C26" s="64" t="str">
        <f t="shared" si="1"/>
        <v>MIA</v>
      </c>
      <c r="D26" s="117">
        <f>IF(ISERROR(VLOOKUP($B26,FFTodayData!$AW:$BE,4,0)),"",VLOOKUP($B26,FFTodayData!$AW:$BE,4,0))</f>
        <v>23</v>
      </c>
      <c r="E26" s="33">
        <f>IF(ISERROR(VLOOKUP($B26,FFTodayData!$AW:$BE,5,0)),"",VLOOKUP($B26,FFTodayData!$AW:$BE,5,0))</f>
        <v>29</v>
      </c>
      <c r="F26" s="33">
        <f>IF(ISERROR(VLOOKUP($B26,FFTodayData!$AW:$BE,7,0)),"",VLOOKUP($B26,FFTodayData!$AW:$BE,7,0))</f>
        <v>33</v>
      </c>
      <c r="G26" s="64">
        <f>IF(ISERROR(VLOOKUP($B26,FFTodayData!$AW:$BE,8,0)),"",VLOOKUP($B26,FFTodayData!$AW:$BE,8,0))</f>
        <v>33</v>
      </c>
      <c r="H26" s="117">
        <f>IF(ISERROR(VLOOKUP($B26,SportslineData!$AV:$BA,3,0)),"",ROUND(VLOOKUP($B26,SportslineData!$AV:$BA,3,0),0))</f>
        <v>28</v>
      </c>
      <c r="I26" s="33">
        <f>IF(ISERROR(VLOOKUP($B26,SportslineData!$AV:$BA,4,0)),"",ROUND(VLOOKUP($B26,SportslineData!$AV:$BA,4,0),0))</f>
        <v>33</v>
      </c>
      <c r="J26" s="64">
        <f>IF(ISERROR(VLOOKUP($B26,SportslineData!$AV:$BA,5,0)),"",ROUND(VLOOKUP($B26,SportslineData!$AV:$BA,5,0),0))</f>
        <v>35</v>
      </c>
      <c r="K26" s="117"/>
      <c r="L26" s="33"/>
      <c r="M26" s="38">
        <f>IF(AND((E26=""),(G26="")),0,((D26*Settings!$I$17)+(F26*Settings!$F$17)))</f>
        <v>102</v>
      </c>
      <c r="N26" s="38">
        <f>IF(OR(ISERROR(ROUND(VLOOKUP(A26,ESPNData!$CD:$CQ,14,0),1)),(A26="")),0,ROUND(VLOOKUP(A26,ESPNData!$CD:$CQ,14,0),1))</f>
        <v>113</v>
      </c>
      <c r="O26" s="38">
        <f>IF(AND((I26=""),(J26="")),0,((H26*Settings!$I$17)+(J26*Settings!$F$17)))</f>
        <v>119</v>
      </c>
      <c r="P26" s="66">
        <f>ROUND((((M26*Settings!$B$21)+(N26*Settings!$B$22))+(O26*Settings!$B$23)),1)</f>
        <v>111.4</v>
      </c>
      <c r="Q26" s="66">
        <f>IF(ISERROR(VLOOKUP(RANK(P26,P$4:P$182),Q$4:Q25,1,0)),RANK(P26,P$4:P$182),IF(ISERROR(VLOOKUP((RANK(P26,P$4:P$182)+1),Q$4:Q25,1,0)),(RANK(P26,P$4:P$182)+1),IF(ISERROR(VLOOKUP((RANK(P26,P$4:P$182)+2),Q$4:Q25,1,0)),(RANK(P26,P$4:P$182)+2),(RANK(P26,P$4:P$182)+3))))</f>
        <v>23</v>
      </c>
      <c r="R26" t="str">
        <f t="shared" si="2"/>
        <v>Caleb Sturgis</v>
      </c>
    </row>
    <row r="27" spans="1:18" ht="12.75" customHeight="1">
      <c r="A27" s="33" t="str">
        <f>ESPNData!CD26</f>
        <v>Sebastian Janikowski, Oak K</v>
      </c>
      <c r="B27" s="33" t="str">
        <f t="shared" si="0"/>
        <v>Sebastian Janikowski</v>
      </c>
      <c r="C27" s="64" t="str">
        <f t="shared" si="1"/>
        <v>OAK</v>
      </c>
      <c r="D27" s="117">
        <f>IF(ISERROR(VLOOKUP($B27,FFTodayData!$AW:$BE,4,0)),"",VLOOKUP($B27,FFTodayData!$AW:$BE,4,0))</f>
        <v>24</v>
      </c>
      <c r="E27" s="33">
        <f>IF(ISERROR(VLOOKUP($B27,FFTodayData!$AW:$BE,5,0)),"",VLOOKUP($B27,FFTodayData!$AW:$BE,5,0))</f>
        <v>29</v>
      </c>
      <c r="F27" s="33">
        <f>IF(ISERROR(VLOOKUP($B27,FFTodayData!$AW:$BE,7,0)),"",VLOOKUP($B27,FFTodayData!$AW:$BE,7,0))</f>
        <v>38</v>
      </c>
      <c r="G27" s="64">
        <f>IF(ISERROR(VLOOKUP($B27,FFTodayData!$AW:$BE,8,0)),"",VLOOKUP($B27,FFTodayData!$AW:$BE,8,0))</f>
        <v>38</v>
      </c>
      <c r="H27" s="117">
        <f>IF(ISERROR(VLOOKUP($B27,SportslineData!$AV:$BA,3,0)),"",ROUND(VLOOKUP($B27,SportslineData!$AV:$BA,3,0),0))</f>
        <v>26</v>
      </c>
      <c r="I27" s="33">
        <f>IF(ISERROR(VLOOKUP($B27,SportslineData!$AV:$BA,4,0)),"",ROUND(VLOOKUP($B27,SportslineData!$AV:$BA,4,0),0))</f>
        <v>31</v>
      </c>
      <c r="J27" s="64">
        <f>IF(ISERROR(VLOOKUP($B27,SportslineData!$AV:$BA,5,0)),"",ROUND(VLOOKUP($B27,SportslineData!$AV:$BA,5,0),0))</f>
        <v>36</v>
      </c>
      <c r="K27" s="117"/>
      <c r="L27" s="33"/>
      <c r="M27" s="38">
        <f>IF(AND((E27=""),(G27="")),0,((D27*Settings!$I$17)+(F27*Settings!$F$17)))</f>
        <v>110</v>
      </c>
      <c r="N27" s="38">
        <f>IF(OR(ISERROR(ROUND(VLOOKUP(A27,ESPNData!$CD:$CQ,14,0),1)),(A27="")),0,ROUND(VLOOKUP(A27,ESPNData!$CD:$CQ,14,0),1))</f>
        <v>113</v>
      </c>
      <c r="O27" s="38">
        <f>IF(AND((I27=""),(J27="")),0,((H27*Settings!$I$17)+(J27*Settings!$F$17)))</f>
        <v>114</v>
      </c>
      <c r="P27" s="66">
        <f>ROUND((((M27*Settings!$B$21)+(N27*Settings!$B$22))+(O27*Settings!$B$23)),1)</f>
        <v>112.4</v>
      </c>
      <c r="Q27" s="66">
        <f>IF(ISERROR(VLOOKUP(RANK(P27,P$4:P$182),Q$4:Q26,1,0)),RANK(P27,P$4:P$182),IF(ISERROR(VLOOKUP((RANK(P27,P$4:P$182)+1),Q$4:Q26,1,0)),(RANK(P27,P$4:P$182)+1),IF(ISERROR(VLOOKUP((RANK(P27,P$4:P$182)+2),Q$4:Q26,1,0)),(RANK(P27,P$4:P$182)+2),(RANK(P27,P$4:P$182)+3))))</f>
        <v>21</v>
      </c>
      <c r="R27" t="str">
        <f t="shared" si="2"/>
        <v>Sebastian Janikowski</v>
      </c>
    </row>
    <row r="28" spans="1:18" ht="12.75" customHeight="1">
      <c r="A28" s="33" t="str">
        <f>ESPNData!CD27</f>
        <v>Randy Bullock, Hou K</v>
      </c>
      <c r="B28" s="33" t="str">
        <f t="shared" si="0"/>
        <v>Randy Bullock</v>
      </c>
      <c r="C28" s="64" t="str">
        <f t="shared" si="1"/>
        <v>HOU</v>
      </c>
      <c r="D28" s="117">
        <f>IF(ISERROR(VLOOKUP($B28,FFTodayData!$AW:$BE,4,0)),"",VLOOKUP($B28,FFTodayData!$AW:$BE,4,0))</f>
        <v>22</v>
      </c>
      <c r="E28" s="33">
        <f>IF(ISERROR(VLOOKUP($B28,FFTodayData!$AW:$BE,5,0)),"",VLOOKUP($B28,FFTodayData!$AW:$BE,5,0))</f>
        <v>27</v>
      </c>
      <c r="F28" s="33">
        <f>IF(ISERROR(VLOOKUP($B28,FFTodayData!$AW:$BE,7,0)),"",VLOOKUP($B28,FFTodayData!$AW:$BE,7,0))</f>
        <v>34</v>
      </c>
      <c r="G28" s="64">
        <f>IF(ISERROR(VLOOKUP($B28,FFTodayData!$AW:$BE,8,0)),"",VLOOKUP($B28,FFTodayData!$AW:$BE,8,0))</f>
        <v>34</v>
      </c>
      <c r="H28" s="117">
        <f>IF(ISERROR(VLOOKUP($B28,SportslineData!$AV:$BA,3,0)),"",ROUND(VLOOKUP($B28,SportslineData!$AV:$BA,3,0),0))</f>
        <v>24</v>
      </c>
      <c r="I28" s="33">
        <f>IF(ISERROR(VLOOKUP($B28,SportslineData!$AV:$BA,4,0)),"",ROUND(VLOOKUP($B28,SportslineData!$AV:$BA,4,0),0))</f>
        <v>32</v>
      </c>
      <c r="J28" s="64">
        <f>IF(ISERROR(VLOOKUP($B28,SportslineData!$AV:$BA,5,0)),"",ROUND(VLOOKUP($B28,SportslineData!$AV:$BA,5,0),0))</f>
        <v>34</v>
      </c>
      <c r="K28" s="117"/>
      <c r="L28" s="33"/>
      <c r="M28" s="38">
        <f>IF(AND((E28=""),(G28="")),0,((D28*Settings!$I$17)+(F28*Settings!$F$17)))</f>
        <v>100</v>
      </c>
      <c r="N28" s="38">
        <f>IF(OR(ISERROR(ROUND(VLOOKUP(A28,ESPNData!$CD:$CQ,14,0),1)),(A28="")),0,ROUND(VLOOKUP(A28,ESPNData!$CD:$CQ,14,0),1))</f>
        <v>108</v>
      </c>
      <c r="O28" s="38">
        <f>IF(AND((I28=""),(J28="")),0,((H28*Settings!$I$17)+(J28*Settings!$F$17)))</f>
        <v>106</v>
      </c>
      <c r="P28" s="66">
        <f>ROUND((((M28*Settings!$B$21)+(N28*Settings!$B$22))+(O28*Settings!$B$23)),1)</f>
        <v>104.7</v>
      </c>
      <c r="Q28" s="66">
        <f>IF(ISERROR(VLOOKUP(RANK(P28,P$4:P$182),Q$4:Q27,1,0)),RANK(P28,P$4:P$182),IF(ISERROR(VLOOKUP((RANK(P28,P$4:P$182)+1),Q$4:Q27,1,0)),(RANK(P28,P$4:P$182)+1),IF(ISERROR(VLOOKUP((RANK(P28,P$4:P$182)+2),Q$4:Q27,1,0)),(RANK(P28,P$4:P$182)+2),(RANK(P28,P$4:P$182)+3))))</f>
        <v>27</v>
      </c>
      <c r="R28" t="str">
        <f t="shared" si="2"/>
        <v>Randy Bullock</v>
      </c>
    </row>
    <row r="29" spans="1:18" ht="12.75" customHeight="1">
      <c r="A29" s="33" t="str">
        <f>ESPNData!CD28</f>
        <v>Josh Brown, NYG K</v>
      </c>
      <c r="B29" s="33" t="str">
        <f t="shared" si="0"/>
        <v>Josh Brown</v>
      </c>
      <c r="C29" s="64" t="str">
        <f t="shared" si="1"/>
        <v>NYG</v>
      </c>
      <c r="D29" s="117">
        <f>IF(ISERROR(VLOOKUP($B29,FFTodayData!$AW:$BE,4,0)),"",VLOOKUP($B29,FFTodayData!$AW:$BE,4,0))</f>
        <v>25</v>
      </c>
      <c r="E29" s="33">
        <f>IF(ISERROR(VLOOKUP($B29,FFTodayData!$AW:$BE,5,0)),"",VLOOKUP($B29,FFTodayData!$AW:$BE,5,0))</f>
        <v>29</v>
      </c>
      <c r="F29" s="33">
        <f>IF(ISERROR(VLOOKUP($B29,FFTodayData!$AW:$BE,7,0)),"",VLOOKUP($B29,FFTodayData!$AW:$BE,7,0))</f>
        <v>37</v>
      </c>
      <c r="G29" s="64">
        <f>IF(ISERROR(VLOOKUP($B29,FFTodayData!$AW:$BE,8,0)),"",VLOOKUP($B29,FFTodayData!$AW:$BE,8,0))</f>
        <v>37</v>
      </c>
      <c r="H29" s="117">
        <f>IF(ISERROR(VLOOKUP($B29,SportslineData!$AV:$BA,3,0)),"",ROUND(VLOOKUP($B29,SportslineData!$AV:$BA,3,0),0))</f>
        <v>25</v>
      </c>
      <c r="I29" s="33">
        <f>IF(ISERROR(VLOOKUP($B29,SportslineData!$AV:$BA,4,0)),"",ROUND(VLOOKUP($B29,SportslineData!$AV:$BA,4,0),0))</f>
        <v>30</v>
      </c>
      <c r="J29" s="64">
        <f>IF(ISERROR(VLOOKUP($B29,SportslineData!$AV:$BA,5,0)),"",ROUND(VLOOKUP($B29,SportslineData!$AV:$BA,5,0),0))</f>
        <v>34</v>
      </c>
      <c r="K29" s="117"/>
      <c r="L29" s="33"/>
      <c r="M29" s="38">
        <f>IF(AND((E29=""),(G29="")),0,((D29*Settings!$I$17)+(F29*Settings!$F$17)))</f>
        <v>112</v>
      </c>
      <c r="N29" s="38">
        <f>IF(OR(ISERROR(ROUND(VLOOKUP(A29,ESPNData!$CD:$CQ,14,0),1)),(A29="")),0,ROUND(VLOOKUP(A29,ESPNData!$CD:$CQ,14,0),1))</f>
        <v>109</v>
      </c>
      <c r="O29" s="38">
        <f>IF(AND((I29=""),(J29="")),0,((H29*Settings!$I$17)+(J29*Settings!$F$17)))</f>
        <v>109</v>
      </c>
      <c r="P29" s="66">
        <f>ROUND((((M29*Settings!$B$21)+(N29*Settings!$B$22))+(O29*Settings!$B$23)),1)</f>
        <v>110</v>
      </c>
      <c r="Q29" s="66">
        <f>IF(ISERROR(VLOOKUP(RANK(P29,P$4:P$182),Q$4:Q28,1,0)),RANK(P29,P$4:P$182),IF(ISERROR(VLOOKUP((RANK(P29,P$4:P$182)+1),Q$4:Q28,1,0)),(RANK(P29,P$4:P$182)+1),IF(ISERROR(VLOOKUP((RANK(P29,P$4:P$182)+2),Q$4:Q28,1,0)),(RANK(P29,P$4:P$182)+2),(RANK(P29,P$4:P$182)+3))))</f>
        <v>24</v>
      </c>
      <c r="R29" t="str">
        <f t="shared" si="2"/>
        <v>Josh Brown</v>
      </c>
    </row>
    <row r="30" spans="1:18" ht="12.75" customHeight="1">
      <c r="A30" s="33" t="str">
        <f>ESPNData!CD29</f>
        <v>Kai Forbath, Wsh K</v>
      </c>
      <c r="B30" s="33" t="str">
        <f t="shared" si="0"/>
        <v>Kai Forbath</v>
      </c>
      <c r="C30" s="64" t="str">
        <f t="shared" si="1"/>
        <v>WSH</v>
      </c>
      <c r="D30" s="117">
        <f>IF(ISERROR(VLOOKUP($B30,FFTodayData!$AW:$BE,4,0)),"",VLOOKUP($B30,FFTodayData!$AW:$BE,4,0))</f>
        <v>24</v>
      </c>
      <c r="E30" s="33">
        <f>IF(ISERROR(VLOOKUP($B30,FFTodayData!$AW:$BE,5,0)),"",VLOOKUP($B30,FFTodayData!$AW:$BE,5,0))</f>
        <v>29</v>
      </c>
      <c r="F30" s="33">
        <f>IF(ISERROR(VLOOKUP($B30,FFTodayData!$AW:$BE,7,0)),"",VLOOKUP($B30,FFTodayData!$AW:$BE,7,0))</f>
        <v>41</v>
      </c>
      <c r="G30" s="64">
        <f>IF(ISERROR(VLOOKUP($B30,FFTodayData!$AW:$BE,8,0)),"",VLOOKUP($B30,FFTodayData!$AW:$BE,8,0))</f>
        <v>41</v>
      </c>
      <c r="H30" s="117">
        <f>IF(ISERROR(VLOOKUP($B30,SportslineData!$AV:$BA,3,0)),"",ROUND(VLOOKUP($B30,SportslineData!$AV:$BA,3,0),0))</f>
        <v>22</v>
      </c>
      <c r="I30" s="33">
        <f>IF(ISERROR(VLOOKUP($B30,SportslineData!$AV:$BA,4,0)),"",ROUND(VLOOKUP($B30,SportslineData!$AV:$BA,4,0),0))</f>
        <v>27</v>
      </c>
      <c r="J30" s="64">
        <f>IF(ISERROR(VLOOKUP($B30,SportslineData!$AV:$BA,5,0)),"",ROUND(VLOOKUP($B30,SportslineData!$AV:$BA,5,0),0))</f>
        <v>30</v>
      </c>
      <c r="K30" s="117"/>
      <c r="L30" s="33"/>
      <c r="M30" s="38">
        <f>IF(AND((E30=""),(G30="")),0,((D30*Settings!$I$17)+(F30*Settings!$F$17)))</f>
        <v>113</v>
      </c>
      <c r="N30" s="38">
        <f>IF(OR(ISERROR(ROUND(VLOOKUP(A30,ESPNData!$CD:$CQ,14,0),1)),(A30="")),0,ROUND(VLOOKUP(A30,ESPNData!$CD:$CQ,14,0),1))</f>
        <v>114</v>
      </c>
      <c r="O30" s="38">
        <f>IF(AND((I30=""),(J30="")),0,((H30*Settings!$I$17)+(J30*Settings!$F$17)))</f>
        <v>96</v>
      </c>
      <c r="P30" s="66">
        <f>ROUND((((M30*Settings!$B$21)+(N30*Settings!$B$22))+(O30*Settings!$B$23)),1)</f>
        <v>107.6</v>
      </c>
      <c r="Q30" s="66">
        <f>IF(ISERROR(VLOOKUP(RANK(P30,P$4:P$182),Q$4:Q29,1,0)),RANK(P30,P$4:P$182),IF(ISERROR(VLOOKUP((RANK(P30,P$4:P$182)+1),Q$4:Q29,1,0)),(RANK(P30,P$4:P$182)+1),IF(ISERROR(VLOOKUP((RANK(P30,P$4:P$182)+2),Q$4:Q29,1,0)),(RANK(P30,P$4:P$182)+2),(RANK(P30,P$4:P$182)+3))))</f>
        <v>26</v>
      </c>
      <c r="R30" t="str">
        <f t="shared" si="2"/>
        <v>Kai Forbath</v>
      </c>
    </row>
    <row r="31" spans="1:18" ht="12.75" customHeight="1">
      <c r="A31" s="33" t="str">
        <f>ESPNData!CD30</f>
        <v>Connor Barth, TB K</v>
      </c>
      <c r="B31" s="33" t="str">
        <f t="shared" si="0"/>
        <v>Connor Barth</v>
      </c>
      <c r="C31" s="64" t="str">
        <f t="shared" si="1"/>
        <v>TB</v>
      </c>
      <c r="D31" s="117">
        <f>IF(ISERROR(VLOOKUP($B31,FFTodayData!$AW:$BE,4,0)),"",VLOOKUP($B31,FFTodayData!$AW:$BE,4,0))</f>
        <v>22</v>
      </c>
      <c r="E31" s="33">
        <f>IF(ISERROR(VLOOKUP($B31,FFTodayData!$AW:$BE,5,0)),"",VLOOKUP($B31,FFTodayData!$AW:$BE,5,0))</f>
        <v>27</v>
      </c>
      <c r="F31" s="33">
        <f>IF(ISERROR(VLOOKUP($B31,FFTodayData!$AW:$BE,7,0)),"",VLOOKUP($B31,FFTodayData!$AW:$BE,7,0))</f>
        <v>35</v>
      </c>
      <c r="G31" s="64">
        <f>IF(ISERROR(VLOOKUP($B31,FFTodayData!$AW:$BE,8,0)),"",VLOOKUP($B31,FFTodayData!$AW:$BE,8,0))</f>
        <v>35</v>
      </c>
      <c r="H31" s="117">
        <f>IF(ISERROR(VLOOKUP($B31,SportslineData!$AV:$BA,3,0)),"",ROUND(VLOOKUP($B31,SportslineData!$AV:$BA,3,0),0))</f>
        <v>25</v>
      </c>
      <c r="I31" s="33">
        <f>IF(ISERROR(VLOOKUP($B31,SportslineData!$AV:$BA,4,0)),"",ROUND(VLOOKUP($B31,SportslineData!$AV:$BA,4,0),0))</f>
        <v>31</v>
      </c>
      <c r="J31" s="64">
        <f>IF(ISERROR(VLOOKUP($B31,SportslineData!$AV:$BA,5,0)),"",ROUND(VLOOKUP($B31,SportslineData!$AV:$BA,5,0),0))</f>
        <v>32</v>
      </c>
      <c r="K31" s="117"/>
      <c r="L31" s="33"/>
      <c r="M31" s="38">
        <f>IF(AND((E31=""),(G31="")),0,((D31*Settings!$I$17)+(F31*Settings!$F$17)))</f>
        <v>101</v>
      </c>
      <c r="N31" s="38">
        <f>IF(OR(ISERROR(ROUND(VLOOKUP(A31,ESPNData!$CD:$CQ,14,0),1)),(A31="")),0,ROUND(VLOOKUP(A31,ESPNData!$CD:$CQ,14,0),1))</f>
        <v>120</v>
      </c>
      <c r="O31" s="38">
        <f>IF(AND((I31=""),(J31="")),0,((H31*Settings!$I$17)+(J31*Settings!$F$17)))</f>
        <v>107</v>
      </c>
      <c r="P31" s="66">
        <f>ROUND((((M31*Settings!$B$21)+(N31*Settings!$B$22))+(O31*Settings!$B$23)),1)</f>
        <v>109.3</v>
      </c>
      <c r="Q31" s="66">
        <f>IF(ISERROR(VLOOKUP(RANK(P31,P$4:P$182),Q$4:Q30,1,0)),RANK(P31,P$4:P$182),IF(ISERROR(VLOOKUP((RANK(P31,P$4:P$182)+1),Q$4:Q30,1,0)),(RANK(P31,P$4:P$182)+1),IF(ISERROR(VLOOKUP((RANK(P31,P$4:P$182)+2),Q$4:Q30,1,0)),(RANK(P31,P$4:P$182)+2),(RANK(P31,P$4:P$182)+3))))</f>
        <v>25</v>
      </c>
      <c r="R31" t="str">
        <f t="shared" si="2"/>
        <v>Connor Barth</v>
      </c>
    </row>
    <row r="32" spans="1:18" ht="12.75" customHeight="1">
      <c r="A32" s="33" t="str">
        <f>ESPNData!CD31</f>
        <v>Josh Scobee, Jac K</v>
      </c>
      <c r="B32" s="33" t="str">
        <f t="shared" si="0"/>
        <v>Josh Scobee</v>
      </c>
      <c r="C32" s="64" t="str">
        <f t="shared" si="1"/>
        <v>JAC</v>
      </c>
      <c r="D32" s="117">
        <f>IF(ISERROR(VLOOKUP($B32,FFTodayData!$AW:$BE,4,0)),"",VLOOKUP($B32,FFTodayData!$AW:$BE,4,0))</f>
        <v>24</v>
      </c>
      <c r="E32" s="33">
        <f>IF(ISERROR(VLOOKUP($B32,FFTodayData!$AW:$BE,5,0)),"",VLOOKUP($B32,FFTodayData!$AW:$BE,5,0))</f>
        <v>28</v>
      </c>
      <c r="F32" s="33">
        <f>IF(ISERROR(VLOOKUP($B32,FFTodayData!$AW:$BE,7,0)),"",VLOOKUP($B32,FFTodayData!$AW:$BE,7,0))</f>
        <v>34</v>
      </c>
      <c r="G32" s="64">
        <f>IF(ISERROR(VLOOKUP($B32,FFTodayData!$AW:$BE,8,0)),"",VLOOKUP($B32,FFTodayData!$AW:$BE,8,0))</f>
        <v>34</v>
      </c>
      <c r="H32" s="117">
        <f>IF(ISERROR(VLOOKUP($B32,SportslineData!$AV:$BA,3,0)),"",ROUND(VLOOKUP($B32,SportslineData!$AV:$BA,3,0),0))</f>
        <v>24</v>
      </c>
      <c r="I32" s="33">
        <f>IF(ISERROR(VLOOKUP($B32,SportslineData!$AV:$BA,4,0)),"",ROUND(VLOOKUP($B32,SportslineData!$AV:$BA,4,0),0))</f>
        <v>27</v>
      </c>
      <c r="J32" s="64">
        <f>IF(ISERROR(VLOOKUP($B32,SportslineData!$AV:$BA,5,0)),"",ROUND(VLOOKUP($B32,SportslineData!$AV:$BA,5,0),0))</f>
        <v>30</v>
      </c>
      <c r="K32" s="117"/>
      <c r="L32" s="33"/>
      <c r="M32" s="38">
        <f>IF(AND((E32=""),(G32="")),0,((D32*Settings!$I$17)+(F32*Settings!$F$17)))</f>
        <v>106</v>
      </c>
      <c r="N32" s="38">
        <f>IF(OR(ISERROR(ROUND(VLOOKUP(A32,ESPNData!$CD:$CQ,14,0),1)),(A32="")),0,ROUND(VLOOKUP(A32,ESPNData!$CD:$CQ,14,0),1))</f>
        <v>104</v>
      </c>
      <c r="O32" s="38">
        <f>IF(AND((I32=""),(J32="")),0,((H32*Settings!$I$17)+(J32*Settings!$F$17)))</f>
        <v>102</v>
      </c>
      <c r="P32" s="66">
        <f>ROUND((((M32*Settings!$B$21)+(N32*Settings!$B$22))+(O32*Settings!$B$23)),1)</f>
        <v>104</v>
      </c>
      <c r="Q32" s="66">
        <f>IF(ISERROR(VLOOKUP(RANK(P32,P$4:P$182),Q$4:Q31,1,0)),RANK(P32,P$4:P$182),IF(ISERROR(VLOOKUP((RANK(P32,P$4:P$182)+1),Q$4:Q31,1,0)),(RANK(P32,P$4:P$182)+1),IF(ISERROR(VLOOKUP((RANK(P32,P$4:P$182)+2),Q$4:Q31,1,0)),(RANK(P32,P$4:P$182)+2),(RANK(P32,P$4:P$182)+3))))</f>
        <v>28</v>
      </c>
      <c r="R32" t="str">
        <f t="shared" si="2"/>
        <v>Josh Scobee</v>
      </c>
    </row>
    <row r="33" spans="1:18" ht="12.75" customHeight="1">
      <c r="A33" s="33" t="str">
        <f>ESPNData!CD32</f>
        <v>Billy Cundiff, Cle K</v>
      </c>
      <c r="B33" s="33" t="str">
        <f t="shared" si="0"/>
        <v>Billy Cundiff</v>
      </c>
      <c r="C33" s="64" t="str">
        <f t="shared" si="1"/>
        <v>CLE</v>
      </c>
      <c r="D33" s="117">
        <f>IF(ISERROR(VLOOKUP($B33,FFTodayData!$AW:$BE,4,0)),"",VLOOKUP($B33,FFTodayData!$AW:$BE,4,0))</f>
        <v>20</v>
      </c>
      <c r="E33" s="33">
        <f>IF(ISERROR(VLOOKUP($B33,FFTodayData!$AW:$BE,5,0)),"",VLOOKUP($B33,FFTodayData!$AW:$BE,5,0))</f>
        <v>25</v>
      </c>
      <c r="F33" s="33">
        <f>IF(ISERROR(VLOOKUP($B33,FFTodayData!$AW:$BE,7,0)),"",VLOOKUP($B33,FFTodayData!$AW:$BE,7,0))</f>
        <v>33</v>
      </c>
      <c r="G33" s="64">
        <f>IF(ISERROR(VLOOKUP($B33,FFTodayData!$AW:$BE,8,0)),"",VLOOKUP($B33,FFTodayData!$AW:$BE,8,0))</f>
        <v>33</v>
      </c>
      <c r="H33" s="117">
        <f>IF(ISERROR(VLOOKUP($B33,SportslineData!$AV:$BA,3,0)),"",ROUND(VLOOKUP($B33,SportslineData!$AV:$BA,3,0),0))</f>
        <v>23</v>
      </c>
      <c r="I33" s="33">
        <f>IF(ISERROR(VLOOKUP($B33,SportslineData!$AV:$BA,4,0)),"",ROUND(VLOOKUP($B33,SportslineData!$AV:$BA,4,0),0))</f>
        <v>28</v>
      </c>
      <c r="J33" s="64">
        <f>IF(ISERROR(VLOOKUP($B33,SportslineData!$AV:$BA,5,0)),"",ROUND(VLOOKUP($B33,SportslineData!$AV:$BA,5,0),0))</f>
        <v>35</v>
      </c>
      <c r="K33" s="117"/>
      <c r="L33" s="33"/>
      <c r="M33" s="38">
        <f>IF(AND((E33=""),(G33="")),0,((D33*Settings!$I$17)+(F33*Settings!$F$17)))</f>
        <v>93</v>
      </c>
      <c r="N33" s="38">
        <f>IF(OR(ISERROR(ROUND(VLOOKUP(A33,ESPNData!$CD:$CQ,14,0),1)),(A33="")),0,ROUND(VLOOKUP(A33,ESPNData!$CD:$CQ,14,0),1))</f>
        <v>88</v>
      </c>
      <c r="O33" s="38">
        <f>IF(AND((I33=""),(J33="")),0,((H33*Settings!$I$17)+(J33*Settings!$F$17)))</f>
        <v>104</v>
      </c>
      <c r="P33" s="66">
        <f>ROUND((((M33*Settings!$B$21)+(N33*Settings!$B$22))+(O33*Settings!$B$23)),1)</f>
        <v>95.1</v>
      </c>
      <c r="Q33" s="66">
        <f>IF(ISERROR(VLOOKUP(RANK(P33,P$4:P$182),Q$4:Q32,1,0)),RANK(P33,P$4:P$182),IF(ISERROR(VLOOKUP((RANK(P33,P$4:P$182)+1),Q$4:Q32,1,0)),(RANK(P33,P$4:P$182)+1),IF(ISERROR(VLOOKUP((RANK(P33,P$4:P$182)+2),Q$4:Q32,1,0)),(RANK(P33,P$4:P$182)+2),(RANK(P33,P$4:P$182)+3))))</f>
        <v>30</v>
      </c>
      <c r="R33" t="str">
        <f t="shared" si="2"/>
        <v>Billy Cundiff</v>
      </c>
    </row>
    <row r="34" spans="1:18" ht="12.75" customHeight="1">
      <c r="A34" s="33" t="str">
        <f>ESPNData!CD33</f>
        <v>Nate Freese, Det K</v>
      </c>
      <c r="B34" s="33" t="str">
        <f t="shared" si="0"/>
        <v>Nate Freese</v>
      </c>
      <c r="C34" s="64" t="str">
        <f t="shared" si="1"/>
        <v>DET</v>
      </c>
      <c r="D34" s="117">
        <f>IF(ISERROR(VLOOKUP($B34,FFTodayData!$AW:$BE,4,0)),"",VLOOKUP($B34,FFTodayData!$AW:$BE,4,0))</f>
        <v>23</v>
      </c>
      <c r="E34" s="33">
        <f>IF(ISERROR(VLOOKUP($B34,FFTodayData!$AW:$BE,5,0)),"",VLOOKUP($B34,FFTodayData!$AW:$BE,5,0))</f>
        <v>28</v>
      </c>
      <c r="F34" s="33">
        <f>IF(ISERROR(VLOOKUP($B34,FFTodayData!$AW:$BE,7,0)),"",VLOOKUP($B34,FFTodayData!$AW:$BE,7,0))</f>
        <v>42</v>
      </c>
      <c r="G34" s="64">
        <f>IF(ISERROR(VLOOKUP($B34,FFTodayData!$AW:$BE,8,0)),"",VLOOKUP($B34,FFTodayData!$AW:$BE,8,0))</f>
        <v>42</v>
      </c>
      <c r="H34" s="117">
        <f>IF(ISERROR(VLOOKUP($B34,SportslineData!$AV:$BA,3,0)),"",ROUND(VLOOKUP($B34,SportslineData!$AV:$BA,3,0),0))</f>
        <v>12</v>
      </c>
      <c r="I34" s="33">
        <f>IF(ISERROR(VLOOKUP($B34,SportslineData!$AV:$BA,4,0)),"",ROUND(VLOOKUP($B34,SportslineData!$AV:$BA,4,0),0))</f>
        <v>14</v>
      </c>
      <c r="J34" s="64">
        <f>IF(ISERROR(VLOOKUP($B34,SportslineData!$AV:$BA,5,0)),"",ROUND(VLOOKUP($B34,SportslineData!$AV:$BA,5,0),0))</f>
        <v>24</v>
      </c>
      <c r="K34" s="117"/>
      <c r="L34" s="33"/>
      <c r="M34" s="38">
        <f>IF(AND((E34=""),(G34="")),0,((D34*Settings!$I$17)+(F34*Settings!$F$17)))</f>
        <v>111</v>
      </c>
      <c r="N34" s="38">
        <f>IF(OR(ISERROR(ROUND(VLOOKUP(A34,ESPNData!$CD:$CQ,14,0),1)),(A34="")),0,ROUND(VLOOKUP(A34,ESPNData!$CD:$CQ,14,0),1))</f>
        <v>98</v>
      </c>
      <c r="O34" s="38">
        <f>IF(AND((I34=""),(J34="")),0,((H34*Settings!$I$17)+(J34*Settings!$F$17)))</f>
        <v>60</v>
      </c>
      <c r="P34" s="66">
        <f>ROUND((((M34*Settings!$B$21)+(N34*Settings!$B$22))+(O34*Settings!$B$23)),1)</f>
        <v>89.4</v>
      </c>
      <c r="Q34" s="66">
        <f>IF(ISERROR(VLOOKUP(RANK(P34,P$4:P$182),Q$4:Q33,1,0)),RANK(P34,P$4:P$182),IF(ISERROR(VLOOKUP((RANK(P34,P$4:P$182)+1),Q$4:Q33,1,0)),(RANK(P34,P$4:P$182)+1),IF(ISERROR(VLOOKUP((RANK(P34,P$4:P$182)+2),Q$4:Q33,1,0)),(RANK(P34,P$4:P$182)+2),(RANK(P34,P$4:P$182)+3))))</f>
        <v>32</v>
      </c>
      <c r="R34" t="str">
        <f t="shared" si="2"/>
        <v>Nate Freese</v>
      </c>
    </row>
    <row r="35" spans="1:18" ht="12.75" customHeight="1">
      <c r="A35" s="33" t="str">
        <f>ESPNData!CD34</f>
        <v>Maikon Bonani, Ten K</v>
      </c>
      <c r="B35" s="33" t="str">
        <f t="shared" si="0"/>
        <v>Maikon Bonani</v>
      </c>
      <c r="C35" s="64" t="str">
        <f t="shared" si="1"/>
        <v>TEN</v>
      </c>
      <c r="D35" s="117">
        <f>IF(ISERROR(VLOOKUP($B35,FFTodayData!$AW:$BE,4,0)),"",VLOOKUP($B35,FFTodayData!$AW:$BE,4,0))</f>
        <v>22</v>
      </c>
      <c r="E35" s="33">
        <f>IF(ISERROR(VLOOKUP($B35,FFTodayData!$AW:$BE,5,0)),"",VLOOKUP($B35,FFTodayData!$AW:$BE,5,0))</f>
        <v>27</v>
      </c>
      <c r="F35" s="33">
        <f>IF(ISERROR(VLOOKUP($B35,FFTodayData!$AW:$BE,7,0)),"",VLOOKUP($B35,FFTodayData!$AW:$BE,7,0))</f>
        <v>37</v>
      </c>
      <c r="G35" s="64">
        <f>IF(ISERROR(VLOOKUP($B35,FFTodayData!$AW:$BE,8,0)),"",VLOOKUP($B35,FFTodayData!$AW:$BE,8,0))</f>
        <v>37</v>
      </c>
      <c r="H35" s="117">
        <f>IF(ISERROR(VLOOKUP($B35,SportslineData!$AV:$BA,3,0)),"",ROUND(VLOOKUP($B35,SportslineData!$AV:$BA,3,0),0))</f>
        <v>22</v>
      </c>
      <c r="I35" s="33">
        <f>IF(ISERROR(VLOOKUP($B35,SportslineData!$AV:$BA,4,0)),"",ROUND(VLOOKUP($B35,SportslineData!$AV:$BA,4,0),0))</f>
        <v>28</v>
      </c>
      <c r="J35" s="64">
        <f>IF(ISERROR(VLOOKUP($B35,SportslineData!$AV:$BA,5,0)),"",ROUND(VLOOKUP($B35,SportslineData!$AV:$BA,5,0),0))</f>
        <v>29</v>
      </c>
      <c r="K35" s="117"/>
      <c r="L35" s="33"/>
      <c r="M35" s="38">
        <f>IF(AND((E35=""),(G35="")),0,((D35*Settings!$I$17)+(F35*Settings!$F$17)))</f>
        <v>103</v>
      </c>
      <c r="N35" s="38">
        <f>IF(OR(ISERROR(ROUND(VLOOKUP(A35,ESPNData!$CD:$CQ,14,0),1)),(A35="")),0,ROUND(VLOOKUP(A35,ESPNData!$CD:$CQ,14,0),1))</f>
        <v>90</v>
      </c>
      <c r="O35" s="38">
        <f>IF(AND((I35=""),(J35="")),0,((H35*Settings!$I$17)+(J35*Settings!$F$17)))</f>
        <v>95</v>
      </c>
      <c r="P35" s="66">
        <f>ROUND((((M35*Settings!$B$21)+(N35*Settings!$B$22))+(O35*Settings!$B$23)),1)</f>
        <v>96</v>
      </c>
      <c r="Q35" s="66">
        <f>IF(ISERROR(VLOOKUP(RANK(P35,P$4:P$182),Q$4:Q34,1,0)),RANK(P35,P$4:P$182),IF(ISERROR(VLOOKUP((RANK(P35,P$4:P$182)+1),Q$4:Q34,1,0)),(RANK(P35,P$4:P$182)+1),IF(ISERROR(VLOOKUP((RANK(P35,P$4:P$182)+2),Q$4:Q34,1,0)),(RANK(P35,P$4:P$182)+2),(RANK(P35,P$4:P$182)+3))))</f>
        <v>29</v>
      </c>
      <c r="R35" t="str">
        <f t="shared" si="2"/>
        <v>Maikon Bonani</v>
      </c>
    </row>
    <row r="36" spans="1:18" ht="12.75" customHeight="1">
      <c r="A36" s="33" t="str">
        <f>ESPNData!CD35</f>
        <v>Dustin Hopkins, Buf K</v>
      </c>
      <c r="B36" s="33" t="str">
        <f t="shared" si="0"/>
        <v>Dustin Hopkins</v>
      </c>
      <c r="C36" s="64" t="str">
        <f t="shared" si="1"/>
        <v>BUF</v>
      </c>
      <c r="D36" s="117" t="str">
        <f>IF(ISERROR(VLOOKUP($B36,FFTodayData!$AW:$BE,4,0)),"",VLOOKUP($B36,FFTodayData!$AW:$BE,4,0))</f>
        <v/>
      </c>
      <c r="E36" s="33" t="str">
        <f>IF(ISERROR(VLOOKUP($B36,FFTodayData!$AW:$BE,5,0)),"",VLOOKUP($B36,FFTodayData!$AW:$BE,5,0))</f>
        <v/>
      </c>
      <c r="F36" s="33" t="str">
        <f>IF(ISERROR(VLOOKUP($B36,FFTodayData!$AW:$BE,7,0)),"",VLOOKUP($B36,FFTodayData!$AW:$BE,7,0))</f>
        <v/>
      </c>
      <c r="G36" s="64" t="str">
        <f>IF(ISERROR(VLOOKUP($B36,FFTodayData!$AW:$BE,8,0)),"",VLOOKUP($B36,FFTodayData!$AW:$BE,8,0))</f>
        <v/>
      </c>
      <c r="H36" s="117">
        <f>IF(ISERROR(VLOOKUP($B36,SportslineData!$AV:$BA,3,0)),"",ROUND(VLOOKUP($B36,SportslineData!$AV:$BA,3,0),0))</f>
        <v>2</v>
      </c>
      <c r="I36" s="33">
        <f>IF(ISERROR(VLOOKUP($B36,SportslineData!$AV:$BA,4,0)),"",ROUND(VLOOKUP($B36,SportslineData!$AV:$BA,4,0),0))</f>
        <v>3</v>
      </c>
      <c r="J36" s="64">
        <f>IF(ISERROR(VLOOKUP($B36,SportslineData!$AV:$BA,5,0)),"",ROUND(VLOOKUP($B36,SportslineData!$AV:$BA,5,0),0))</f>
        <v>0</v>
      </c>
      <c r="K36" s="117"/>
      <c r="L36" s="33"/>
      <c r="M36" s="38">
        <f>IF(AND((E36=""),(G36="")),0,((D36*Settings!$I$17)+(F36*Settings!$F$17)))</f>
        <v>0</v>
      </c>
      <c r="N36" s="38">
        <f>IF(OR(ISERROR(ROUND(VLOOKUP(A36,ESPNData!$CD:$CQ,14,0),1)),(A36="")),0,ROUND(VLOOKUP(A36,ESPNData!$CD:$CQ,14,0),1))</f>
        <v>0</v>
      </c>
      <c r="O36" s="38">
        <f>IF(AND((I36=""),(J36="")),0,((H36*Settings!$I$17)+(J36*Settings!$F$17)))</f>
        <v>6</v>
      </c>
      <c r="P36" s="66">
        <f>ROUND((((M36*Settings!$B$21)+(N36*Settings!$B$22))+(O36*Settings!$B$23)),1)</f>
        <v>2</v>
      </c>
      <c r="Q36" s="66">
        <f>IF(ISERROR(VLOOKUP(RANK(P36,P$4:P$182),Q$4:Q35,1,0)),RANK(P36,P$4:P$182),IF(ISERROR(VLOOKUP((RANK(P36,P$4:P$182)+1),Q$4:Q35,1,0)),(RANK(P36,P$4:P$182)+1),IF(ISERROR(VLOOKUP((RANK(P36,P$4:P$182)+2),Q$4:Q35,1,0)),(RANK(P36,P$4:P$182)+2),(RANK(P36,P$4:P$182)+3))))</f>
        <v>34</v>
      </c>
      <c r="R36" t="str">
        <f t="shared" si="2"/>
        <v>Dustin Hopkins</v>
      </c>
    </row>
    <row r="37" spans="1:18" ht="12.75" customHeight="1">
      <c r="A37" s="33" t="str">
        <f>ESPNData!CD36</f>
        <v>Giorgio Tavecchio, Det K</v>
      </c>
      <c r="B37" s="33" t="str">
        <f t="shared" si="0"/>
        <v>Giorgio Tavecchio</v>
      </c>
      <c r="C37" s="64" t="str">
        <f t="shared" si="1"/>
        <v>DET</v>
      </c>
      <c r="D37" s="117" t="str">
        <f>IF(ISERROR(VLOOKUP($B37,FFTodayData!$AW:$BE,4,0)),"",VLOOKUP($B37,FFTodayData!$AW:$BE,4,0))</f>
        <v/>
      </c>
      <c r="E37" s="33" t="str">
        <f>IF(ISERROR(VLOOKUP($B37,FFTodayData!$AW:$BE,5,0)),"",VLOOKUP($B37,FFTodayData!$AW:$BE,5,0))</f>
        <v/>
      </c>
      <c r="F37" s="33" t="str">
        <f>IF(ISERROR(VLOOKUP($B37,FFTodayData!$AW:$BE,7,0)),"",VLOOKUP($B37,FFTodayData!$AW:$BE,7,0))</f>
        <v/>
      </c>
      <c r="G37" s="64" t="str">
        <f>IF(ISERROR(VLOOKUP($B37,FFTodayData!$AW:$BE,8,0)),"",VLOOKUP($B37,FFTodayData!$AW:$BE,8,0))</f>
        <v/>
      </c>
      <c r="H37" s="117">
        <f>IF(ISERROR(VLOOKUP($B37,SportslineData!$AV:$BA,3,0)),"",ROUND(VLOOKUP($B37,SportslineData!$AV:$BA,3,0),0))</f>
        <v>11</v>
      </c>
      <c r="I37" s="33">
        <f>IF(ISERROR(VLOOKUP($B37,SportslineData!$AV:$BA,4,0)),"",ROUND(VLOOKUP($B37,SportslineData!$AV:$BA,4,0),0))</f>
        <v>14</v>
      </c>
      <c r="J37" s="64">
        <f>IF(ISERROR(VLOOKUP($B37,SportslineData!$AV:$BA,5,0)),"",ROUND(VLOOKUP($B37,SportslineData!$AV:$BA,5,0),0))</f>
        <v>15</v>
      </c>
      <c r="K37" s="117"/>
      <c r="L37" s="33"/>
      <c r="M37" s="38">
        <f>IF(AND((E37=""),(G37="")),0,((D37*Settings!$I$17)+(F37*Settings!$F$17)))</f>
        <v>0</v>
      </c>
      <c r="N37" s="38">
        <f>IF(OR(ISERROR(ROUND(VLOOKUP(A37,ESPNData!$CD:$CQ,14,0),1)),(A37="")),0,ROUND(VLOOKUP(A37,ESPNData!$CD:$CQ,14,0),1))</f>
        <v>0</v>
      </c>
      <c r="O37" s="38">
        <f>IF(AND((I37=""),(J37="")),0,((H37*Settings!$I$17)+(J37*Settings!$F$17)))</f>
        <v>48</v>
      </c>
      <c r="P37" s="66">
        <f>ROUND((((M37*Settings!$B$21)+(N37*Settings!$B$22))+(O37*Settings!$B$23)),1)</f>
        <v>16.3</v>
      </c>
      <c r="Q37" s="66">
        <f>IF(ISERROR(VLOOKUP(RANK(P37,P$4:P$182),Q$4:Q36,1,0)),RANK(P37,P$4:P$182),IF(ISERROR(VLOOKUP((RANK(P37,P$4:P$182)+1),Q$4:Q36,1,0)),(RANK(P37,P$4:P$182)+1),IF(ISERROR(VLOOKUP((RANK(P37,P$4:P$182)+2),Q$4:Q36,1,0)),(RANK(P37,P$4:P$182)+2),(RANK(P37,P$4:P$182)+3))))</f>
        <v>33</v>
      </c>
      <c r="R37" t="str">
        <f t="shared" si="2"/>
        <v>Giorgio Tavecchio</v>
      </c>
    </row>
    <row r="38" spans="1:18" ht="12.75" customHeight="1">
      <c r="A38" s="33" t="str">
        <f>ESPNData!CD37</f>
        <v>Rob Bironas, Ten K</v>
      </c>
      <c r="B38" s="33" t="str">
        <f t="shared" si="0"/>
        <v>Rob Bironas</v>
      </c>
      <c r="C38" s="64" t="str">
        <f t="shared" si="1"/>
        <v>TEN</v>
      </c>
      <c r="D38" s="117" t="str">
        <f>IF(ISERROR(VLOOKUP($B38,FFTodayData!$AW:$BE,4,0)),"",VLOOKUP($B38,FFTodayData!$AW:$BE,4,0))</f>
        <v/>
      </c>
      <c r="E38" s="33" t="str">
        <f>IF(ISERROR(VLOOKUP($B38,FFTodayData!$AW:$BE,5,0)),"",VLOOKUP($B38,FFTodayData!$AW:$BE,5,0))</f>
        <v/>
      </c>
      <c r="F38" s="33" t="str">
        <f>IF(ISERROR(VLOOKUP($B38,FFTodayData!$AW:$BE,7,0)),"",VLOOKUP($B38,FFTodayData!$AW:$BE,7,0))</f>
        <v/>
      </c>
      <c r="G38" s="64" t="str">
        <f>IF(ISERROR(VLOOKUP($B38,FFTodayData!$AW:$BE,8,0)),"",VLOOKUP($B38,FFTodayData!$AW:$BE,8,0))</f>
        <v/>
      </c>
      <c r="H38" s="117" t="str">
        <f>IF(ISERROR(VLOOKUP($B38,SportslineData!$AV:$BA,3,0)),"",ROUND(VLOOKUP($B38,SportslineData!$AV:$BA,3,0),0))</f>
        <v/>
      </c>
      <c r="I38" s="33" t="str">
        <f>IF(ISERROR(VLOOKUP($B38,SportslineData!$AV:$BA,4,0)),"",ROUND(VLOOKUP($B38,SportslineData!$AV:$BA,4,0),0))</f>
        <v/>
      </c>
      <c r="J38" s="64" t="str">
        <f>IF(ISERROR(VLOOKUP($B38,SportslineData!$AV:$BA,5,0)),"",ROUND(VLOOKUP($B38,SportslineData!$AV:$BA,5,0),0))</f>
        <v/>
      </c>
      <c r="K38" s="117"/>
      <c r="L38" s="33"/>
      <c r="M38" s="38">
        <f>IF(AND((E38=""),(G38="")),0,((D38*Settings!$I$17)+(F38*Settings!$F$17)))</f>
        <v>0</v>
      </c>
      <c r="N38" s="38">
        <f>IF(OR(ISERROR(ROUND(VLOOKUP(A38,ESPNData!$CD:$CQ,14,0),1)),(A38="")),0,ROUND(VLOOKUP(A38,ESPNData!$CD:$CQ,14,0),1))</f>
        <v>0</v>
      </c>
      <c r="O38" s="38">
        <f>IF(AND((I38=""),(J38="")),0,((H38*Settings!$I$17)+(J38*Settings!$F$17)))</f>
        <v>0</v>
      </c>
      <c r="P38" s="66">
        <f>ROUND((((M38*Settings!$B$21)+(N38*Settings!$B$22))+(O38*Settings!$B$23)),1)</f>
        <v>0</v>
      </c>
      <c r="Q38" s="66">
        <f>IF(ISERROR(VLOOKUP(RANK(P38,P$4:P$182),Q$4:Q37,1,0)),RANK(P38,P$4:P$182),IF(ISERROR(VLOOKUP((RANK(P38,P$4:P$182)+1),Q$4:Q37,1,0)),(RANK(P38,P$4:P$182)+1),IF(ISERROR(VLOOKUP((RANK(P38,P$4:P$182)+2),Q$4:Q37,1,0)),(RANK(P38,P$4:P$182)+2),(RANK(P38,P$4:P$182)+3))))</f>
        <v>35</v>
      </c>
      <c r="R38" t="str">
        <f t="shared" si="2"/>
        <v>Rob Bironas</v>
      </c>
    </row>
    <row r="39" spans="1:18" ht="12.75" customHeight="1">
      <c r="A39" s="33" t="str">
        <f>ESPNData!CD38</f>
        <v>David Akers, Det K</v>
      </c>
      <c r="B39" s="33" t="str">
        <f t="shared" si="0"/>
        <v>David Akers</v>
      </c>
      <c r="C39" s="64" t="str">
        <f t="shared" si="1"/>
        <v>DET</v>
      </c>
      <c r="D39" s="117" t="str">
        <f>IF(ISERROR(VLOOKUP($B39,FFTodayData!$AW:$BE,4,0)),"",VLOOKUP($B39,FFTodayData!$AW:$BE,4,0))</f>
        <v/>
      </c>
      <c r="E39" s="33" t="str">
        <f>IF(ISERROR(VLOOKUP($B39,FFTodayData!$AW:$BE,5,0)),"",VLOOKUP($B39,FFTodayData!$AW:$BE,5,0))</f>
        <v/>
      </c>
      <c r="F39" s="33" t="str">
        <f>IF(ISERROR(VLOOKUP($B39,FFTodayData!$AW:$BE,7,0)),"",VLOOKUP($B39,FFTodayData!$AW:$BE,7,0))</f>
        <v/>
      </c>
      <c r="G39" s="64" t="str">
        <f>IF(ISERROR(VLOOKUP($B39,FFTodayData!$AW:$BE,8,0)),"",VLOOKUP($B39,FFTodayData!$AW:$BE,8,0))</f>
        <v/>
      </c>
      <c r="H39" s="117" t="str">
        <f>IF(ISERROR(VLOOKUP($B39,SportslineData!$AV:$BA,3,0)),"",ROUND(VLOOKUP($B39,SportslineData!$AV:$BA,3,0),0))</f>
        <v/>
      </c>
      <c r="I39" s="33" t="str">
        <f>IF(ISERROR(VLOOKUP($B39,SportslineData!$AV:$BA,4,0)),"",ROUND(VLOOKUP($B39,SportslineData!$AV:$BA,4,0),0))</f>
        <v/>
      </c>
      <c r="J39" s="64" t="str">
        <f>IF(ISERROR(VLOOKUP($B39,SportslineData!$AV:$BA,5,0)),"",ROUND(VLOOKUP($B39,SportslineData!$AV:$BA,5,0),0))</f>
        <v/>
      </c>
      <c r="K39" s="117"/>
      <c r="L39" s="33"/>
      <c r="M39" s="38">
        <f>IF(AND((E39=""),(G39="")),0,((D39*Settings!$I$17)+(F39*Settings!$F$17)))</f>
        <v>0</v>
      </c>
      <c r="N39" s="38">
        <f>IF(OR(ISERROR(ROUND(VLOOKUP(A39,ESPNData!$CD:$CQ,14,0),1)),(A39="")),0,ROUND(VLOOKUP(A39,ESPNData!$CD:$CQ,14,0),1))</f>
        <v>0</v>
      </c>
      <c r="O39" s="38">
        <f>IF(AND((I39=""),(J39="")),0,((H39*Settings!$I$17)+(J39*Settings!$F$17)))</f>
        <v>0</v>
      </c>
      <c r="P39" s="66">
        <f>ROUND((((M39*Settings!$B$21)+(N39*Settings!$B$22))+(O39*Settings!$B$23)),1)</f>
        <v>0</v>
      </c>
      <c r="Q39" s="66">
        <f>IF(ISERROR(VLOOKUP(RANK(P39,P$4:P$182),Q$4:Q38,1,0)),RANK(P39,P$4:P$182),IF(ISERROR(VLOOKUP((RANK(P39,P$4:P$182)+1),Q$4:Q38,1,0)),(RANK(P39,P$4:P$182)+1),IF(ISERROR(VLOOKUP((RANK(P39,P$4:P$182)+2),Q$4:Q38,1,0)),(RANK(P39,P$4:P$182)+2),(RANK(P39,P$4:P$182)+3))))</f>
        <v>36</v>
      </c>
      <c r="R39" t="str">
        <f t="shared" si="2"/>
        <v>David Akers</v>
      </c>
    </row>
    <row r="40" spans="1:18" ht="12.75" customHeight="1">
      <c r="A40" s="33" t="str">
        <f>ESPNData!CD39</f>
        <v>Rian Lindell, TB K</v>
      </c>
      <c r="B40" s="33" t="str">
        <f t="shared" si="0"/>
        <v>Rian Lindell</v>
      </c>
      <c r="C40" s="64" t="str">
        <f t="shared" si="1"/>
        <v>TB</v>
      </c>
      <c r="D40" s="117" t="str">
        <f>IF(ISERROR(VLOOKUP($B40,FFTodayData!$AW:$BE,4,0)),"",VLOOKUP($B40,FFTodayData!$AW:$BE,4,0))</f>
        <v/>
      </c>
      <c r="E40" s="33" t="str">
        <f>IF(ISERROR(VLOOKUP($B40,FFTodayData!$AW:$BE,5,0)),"",VLOOKUP($B40,FFTodayData!$AW:$BE,5,0))</f>
        <v/>
      </c>
      <c r="F40" s="33" t="str">
        <f>IF(ISERROR(VLOOKUP($B40,FFTodayData!$AW:$BE,7,0)),"",VLOOKUP($B40,FFTodayData!$AW:$BE,7,0))</f>
        <v/>
      </c>
      <c r="G40" s="64" t="str">
        <f>IF(ISERROR(VLOOKUP($B40,FFTodayData!$AW:$BE,8,0)),"",VLOOKUP($B40,FFTodayData!$AW:$BE,8,0))</f>
        <v/>
      </c>
      <c r="H40" s="117" t="str">
        <f>IF(ISERROR(VLOOKUP($B40,SportslineData!$AV:$BA,3,0)),"",ROUND(VLOOKUP($B40,SportslineData!$AV:$BA,3,0),0))</f>
        <v/>
      </c>
      <c r="I40" s="33" t="str">
        <f>IF(ISERROR(VLOOKUP($B40,SportslineData!$AV:$BA,4,0)),"",ROUND(VLOOKUP($B40,SportslineData!$AV:$BA,4,0),0))</f>
        <v/>
      </c>
      <c r="J40" s="64" t="str">
        <f>IF(ISERROR(VLOOKUP($B40,SportslineData!$AV:$BA,5,0)),"",ROUND(VLOOKUP($B40,SportslineData!$AV:$BA,5,0),0))</f>
        <v/>
      </c>
      <c r="K40" s="117"/>
      <c r="L40" s="33"/>
      <c r="M40" s="38">
        <f>IF(AND((E40=""),(G40="")),0,((D40*Settings!$I$17)+(F40*Settings!$F$17)))</f>
        <v>0</v>
      </c>
      <c r="N40" s="38">
        <f>IF(OR(ISERROR(ROUND(VLOOKUP(A40,ESPNData!$CD:$CQ,14,0),1)),(A40="")),0,ROUND(VLOOKUP(A40,ESPNData!$CD:$CQ,14,0),1))</f>
        <v>0</v>
      </c>
      <c r="O40" s="38">
        <f>IF(AND((I40=""),(J40="")),0,((H40*Settings!$I$17)+(J40*Settings!$F$17)))</f>
        <v>0</v>
      </c>
      <c r="P40" s="66">
        <f>ROUND((((M40*Settings!$B$21)+(N40*Settings!$B$22))+(O40*Settings!$B$23)),1)</f>
        <v>0</v>
      </c>
      <c r="Q40" s="66">
        <f>IF(ISERROR(VLOOKUP(RANK(P40,P$4:P$182),Q$4:Q39,1,0)),RANK(P40,P$4:P$182),IF(ISERROR(VLOOKUP((RANK(P40,P$4:P$182)+1),Q$4:Q39,1,0)),(RANK(P40,P$4:P$182)+1),IF(ISERROR(VLOOKUP((RANK(P40,P$4:P$182)+2),Q$4:Q39,1,0)),(RANK(P40,P$4:P$182)+2),(RANK(P40,P$4:P$182)+3))))</f>
        <v>37</v>
      </c>
      <c r="R40" t="str">
        <f t="shared" si="2"/>
        <v>Rian Lindell</v>
      </c>
    </row>
    <row r="41" spans="1:18" ht="12.75" customHeight="1">
      <c r="A41" s="33" t="str">
        <f>ESPNData!CD40</f>
        <v>John Kasay, FA K</v>
      </c>
      <c r="B41" s="33" t="str">
        <f t="shared" si="0"/>
        <v>John Kasay</v>
      </c>
      <c r="C41" s="64" t="str">
        <f t="shared" si="1"/>
        <v>FA</v>
      </c>
      <c r="D41" s="117" t="str">
        <f>IF(ISERROR(VLOOKUP($B41,FFTodayData!$AW:$BE,4,0)),"",VLOOKUP($B41,FFTodayData!$AW:$BE,4,0))</f>
        <v/>
      </c>
      <c r="E41" s="33" t="str">
        <f>IF(ISERROR(VLOOKUP($B41,FFTodayData!$AW:$BE,5,0)),"",VLOOKUP($B41,FFTodayData!$AW:$BE,5,0))</f>
        <v/>
      </c>
      <c r="F41" s="33" t="str">
        <f>IF(ISERROR(VLOOKUP($B41,FFTodayData!$AW:$BE,7,0)),"",VLOOKUP($B41,FFTodayData!$AW:$BE,7,0))</f>
        <v/>
      </c>
      <c r="G41" s="64" t="str">
        <f>IF(ISERROR(VLOOKUP($B41,FFTodayData!$AW:$BE,8,0)),"",VLOOKUP($B41,FFTodayData!$AW:$BE,8,0))</f>
        <v/>
      </c>
      <c r="H41" s="117" t="str">
        <f>IF(ISERROR(VLOOKUP($B41,SportslineData!$AV:$BA,3,0)),"",ROUND(VLOOKUP($B41,SportslineData!$AV:$BA,3,0),0))</f>
        <v/>
      </c>
      <c r="I41" s="33" t="str">
        <f>IF(ISERROR(VLOOKUP($B41,SportslineData!$AV:$BA,4,0)),"",ROUND(VLOOKUP($B41,SportslineData!$AV:$BA,4,0),0))</f>
        <v/>
      </c>
      <c r="J41" s="64" t="str">
        <f>IF(ISERROR(VLOOKUP($B41,SportslineData!$AV:$BA,5,0)),"",ROUND(VLOOKUP($B41,SportslineData!$AV:$BA,5,0),0))</f>
        <v/>
      </c>
      <c r="K41" s="117"/>
      <c r="L41" s="33"/>
      <c r="M41" s="38">
        <f>IF(AND((E41=""),(G41="")),0,((D41*Settings!$I$17)+(F41*Settings!$F$17)))</f>
        <v>0</v>
      </c>
      <c r="N41" s="38">
        <f>IF(OR(ISERROR(ROUND(VLOOKUP(A41,ESPNData!$CD:$CQ,14,0),1)),(A41="")),0,ROUND(VLOOKUP(A41,ESPNData!$CD:$CQ,14,0),1))</f>
        <v>0</v>
      </c>
      <c r="O41" s="38">
        <f>IF(AND((I41=""),(J41="")),0,((H41*Settings!$I$17)+(J41*Settings!$F$17)))</f>
        <v>0</v>
      </c>
      <c r="P41" s="66">
        <f>ROUND((((M41*Settings!$B$21)+(N41*Settings!$B$22))+(O41*Settings!$B$23)),1)</f>
        <v>0</v>
      </c>
      <c r="Q41" s="66">
        <f>IF(ISERROR(VLOOKUP(RANK(P41,P$4:P$182),Q$4:Q40,1,0)),RANK(P41,P$4:P$182),IF(ISERROR(VLOOKUP((RANK(P41,P$4:P$182)+1),Q$4:Q40,1,0)),(RANK(P41,P$4:P$182)+1),IF(ISERROR(VLOOKUP((RANK(P41,P$4:P$182)+2),Q$4:Q40,1,0)),(RANK(P41,P$4:P$182)+2),(RANK(P41,P$4:P$182)+3))))</f>
        <v>38</v>
      </c>
      <c r="R41" t="str">
        <f t="shared" si="2"/>
        <v>John Kasay</v>
      </c>
    </row>
    <row r="42" spans="1:18" ht="12.75" customHeight="1">
      <c r="A42" s="33" t="str">
        <f>ESPNData!CD41</f>
        <v>Jason Hanson, FA K</v>
      </c>
      <c r="B42" s="33" t="str">
        <f t="shared" si="0"/>
        <v>Jason Hanson</v>
      </c>
      <c r="C42" s="64" t="str">
        <f t="shared" si="1"/>
        <v>FA</v>
      </c>
      <c r="D42" s="117" t="str">
        <f>IF(ISERROR(VLOOKUP($B42,FFTodayData!$AW:$BE,4,0)),"",VLOOKUP($B42,FFTodayData!$AW:$BE,4,0))</f>
        <v/>
      </c>
      <c r="E42" s="33" t="str">
        <f>IF(ISERROR(VLOOKUP($B42,FFTodayData!$AW:$BE,5,0)),"",VLOOKUP($B42,FFTodayData!$AW:$BE,5,0))</f>
        <v/>
      </c>
      <c r="F42" s="33" t="str">
        <f>IF(ISERROR(VLOOKUP($B42,FFTodayData!$AW:$BE,7,0)),"",VLOOKUP($B42,FFTodayData!$AW:$BE,7,0))</f>
        <v/>
      </c>
      <c r="G42" s="64" t="str">
        <f>IF(ISERROR(VLOOKUP($B42,FFTodayData!$AW:$BE,8,0)),"",VLOOKUP($B42,FFTodayData!$AW:$BE,8,0))</f>
        <v/>
      </c>
      <c r="H42" s="117" t="str">
        <f>IF(ISERROR(VLOOKUP($B42,SportslineData!$AV:$BA,3,0)),"",ROUND(VLOOKUP($B42,SportslineData!$AV:$BA,3,0),0))</f>
        <v/>
      </c>
      <c r="I42" s="33" t="str">
        <f>IF(ISERROR(VLOOKUP($B42,SportslineData!$AV:$BA,4,0)),"",ROUND(VLOOKUP($B42,SportslineData!$AV:$BA,4,0),0))</f>
        <v/>
      </c>
      <c r="J42" s="64" t="str">
        <f>IF(ISERROR(VLOOKUP($B42,SportslineData!$AV:$BA,5,0)),"",ROUND(VLOOKUP($B42,SportslineData!$AV:$BA,5,0),0))</f>
        <v/>
      </c>
      <c r="K42" s="117"/>
      <c r="L42" s="33"/>
      <c r="M42" s="38">
        <f>IF(AND((E42=""),(G42="")),0,((D42*Settings!$I$17)+(F42*Settings!$F$17)))</f>
        <v>0</v>
      </c>
      <c r="N42" s="38">
        <f>IF(OR(ISERROR(ROUND(VLOOKUP(A42,ESPNData!$CD:$CQ,14,0),1)),(A42="")),0,ROUND(VLOOKUP(A42,ESPNData!$CD:$CQ,14,0),1))</f>
        <v>0</v>
      </c>
      <c r="O42" s="38">
        <f>IF(AND((I42=""),(J42="")),0,((H42*Settings!$I$17)+(J42*Settings!$F$17)))</f>
        <v>0</v>
      </c>
      <c r="P42" s="66">
        <f>ROUND((((M42*Settings!$B$21)+(N42*Settings!$B$22))+(O42*Settings!$B$23)),1)</f>
        <v>0</v>
      </c>
      <c r="Q42" s="66">
        <f>IF(ISERROR(VLOOKUP(RANK(P42,P$4:P$182),Q$4:Q41,1,0)),RANK(P42,P$4:P$182),IF(ISERROR(VLOOKUP((RANK(P42,P$4:P$182)+1),Q$4:Q41,1,0)),(RANK(P42,P$4:P$182)+1),IF(ISERROR(VLOOKUP((RANK(P42,P$4:P$182)+2),Q$4:Q41,1,0)),(RANK(P42,P$4:P$182)+2),(RANK(P42,P$4:P$182)+3))))</f>
        <v>38</v>
      </c>
      <c r="R42" t="str">
        <f t="shared" si="2"/>
        <v>Jason Hanson</v>
      </c>
    </row>
    <row r="43" spans="1:18" ht="12.75" customHeight="1">
      <c r="A43" s="33" t="str">
        <f>ESPNData!CD42</f>
        <v>Olindo Mare, FA K</v>
      </c>
      <c r="B43" s="33" t="str">
        <f t="shared" si="0"/>
        <v>Olindo Mare</v>
      </c>
      <c r="C43" s="64" t="str">
        <f t="shared" si="1"/>
        <v>FA</v>
      </c>
      <c r="D43" s="117" t="str">
        <f>IF(ISERROR(VLOOKUP($B43,FFTodayData!$AW:$BE,4,0)),"",VLOOKUP($B43,FFTodayData!$AW:$BE,4,0))</f>
        <v/>
      </c>
      <c r="E43" s="33" t="str">
        <f>IF(ISERROR(VLOOKUP($B43,FFTodayData!$AW:$BE,5,0)),"",VLOOKUP($B43,FFTodayData!$AW:$BE,5,0))</f>
        <v/>
      </c>
      <c r="F43" s="33" t="str">
        <f>IF(ISERROR(VLOOKUP($B43,FFTodayData!$AW:$BE,7,0)),"",VLOOKUP($B43,FFTodayData!$AW:$BE,7,0))</f>
        <v/>
      </c>
      <c r="G43" s="64" t="str">
        <f>IF(ISERROR(VLOOKUP($B43,FFTodayData!$AW:$BE,8,0)),"",VLOOKUP($B43,FFTodayData!$AW:$BE,8,0))</f>
        <v/>
      </c>
      <c r="H43" s="117" t="str">
        <f>IF(ISERROR(VLOOKUP($B43,SportslineData!$AV:$BA,3,0)),"",ROUND(VLOOKUP($B43,SportslineData!$AV:$BA,3,0),0))</f>
        <v/>
      </c>
      <c r="I43" s="33" t="str">
        <f>IF(ISERROR(VLOOKUP($B43,SportslineData!$AV:$BA,4,0)),"",ROUND(VLOOKUP($B43,SportslineData!$AV:$BA,4,0),0))</f>
        <v/>
      </c>
      <c r="J43" s="64" t="str">
        <f>IF(ISERROR(VLOOKUP($B43,SportslineData!$AV:$BA,5,0)),"",ROUND(VLOOKUP($B43,SportslineData!$AV:$BA,5,0),0))</f>
        <v/>
      </c>
      <c r="K43" s="117"/>
      <c r="L43" s="33"/>
      <c r="M43" s="38">
        <f>IF(AND((E43=""),(G43="")),0,((D43*Settings!$I$17)+(F43*Settings!$F$17)))</f>
        <v>0</v>
      </c>
      <c r="N43" s="38">
        <f>IF(OR(ISERROR(ROUND(VLOOKUP(A43,ESPNData!$CD:$CQ,14,0),1)),(A43="")),0,ROUND(VLOOKUP(A43,ESPNData!$CD:$CQ,14,0),1))</f>
        <v>0</v>
      </c>
      <c r="O43" s="38">
        <f>IF(AND((I43=""),(J43="")),0,((H43*Settings!$I$17)+(J43*Settings!$F$17)))</f>
        <v>0</v>
      </c>
      <c r="P43" s="66">
        <f>ROUND((((M43*Settings!$B$21)+(N43*Settings!$B$22))+(O43*Settings!$B$23)),1)</f>
        <v>0</v>
      </c>
      <c r="Q43" s="66">
        <f>IF(ISERROR(VLOOKUP(RANK(P43,P$4:P$182),Q$4:Q42,1,0)),RANK(P43,P$4:P$182),IF(ISERROR(VLOOKUP((RANK(P43,P$4:P$182)+1),Q$4:Q42,1,0)),(RANK(P43,P$4:P$182)+1),IF(ISERROR(VLOOKUP((RANK(P43,P$4:P$182)+2),Q$4:Q42,1,0)),(RANK(P43,P$4:P$182)+2),(RANK(P43,P$4:P$182)+3))))</f>
        <v>38</v>
      </c>
      <c r="R43" t="str">
        <f t="shared" si="2"/>
        <v>Olindo Mare</v>
      </c>
    </row>
    <row r="44" spans="1:18" ht="12.75" customHeight="1">
      <c r="A44" s="33">
        <f>ESPNData!CD43</f>
        <v>0</v>
      </c>
      <c r="B44" s="33" t="str">
        <f t="shared" si="0"/>
        <v/>
      </c>
      <c r="C44" s="64" t="e">
        <f t="shared" si="1"/>
        <v>#VALUE!</v>
      </c>
      <c r="D44" s="117" t="str">
        <f>IF(ISERROR(VLOOKUP($B44,FFTodayData!$AW:$BE,4,0)),"",VLOOKUP($B44,FFTodayData!$AW:$BE,4,0))</f>
        <v/>
      </c>
      <c r="E44" s="33" t="str">
        <f>IF(ISERROR(VLOOKUP($B44,FFTodayData!$AW:$BE,5,0)),"",VLOOKUP($B44,FFTodayData!$AW:$BE,5,0))</f>
        <v/>
      </c>
      <c r="F44" s="33" t="str">
        <f>IF(ISERROR(VLOOKUP($B44,FFTodayData!$AW:$BE,7,0)),"",VLOOKUP($B44,FFTodayData!$AW:$BE,7,0))</f>
        <v/>
      </c>
      <c r="G44" s="64" t="str">
        <f>IF(ISERROR(VLOOKUP($B44,FFTodayData!$AW:$BE,8,0)),"",VLOOKUP($B44,FFTodayData!$AW:$BE,8,0))</f>
        <v/>
      </c>
      <c r="H44" s="117" t="str">
        <f>IF(ISERROR(VLOOKUP($B44,SportslineData!$AV:$BA,3,0)),"",ROUND(VLOOKUP($B44,SportslineData!$AV:$BA,3,0),0))</f>
        <v/>
      </c>
      <c r="I44" s="33" t="str">
        <f>IF(ISERROR(VLOOKUP($B44,SportslineData!$AV:$BA,4,0)),"",ROUND(VLOOKUP($B44,SportslineData!$AV:$BA,4,0),0))</f>
        <v/>
      </c>
      <c r="J44" s="64" t="str">
        <f>IF(ISERROR(VLOOKUP($B44,SportslineData!$AV:$BA,5,0)),"",ROUND(VLOOKUP($B44,SportslineData!$AV:$BA,5,0),0))</f>
        <v/>
      </c>
      <c r="K44" s="117"/>
      <c r="L44" s="33"/>
      <c r="M44" s="38">
        <f>IF(AND((E44=""),(G44="")),0,((D44*Settings!$I$17)+(F44*Settings!$F$17)))</f>
        <v>0</v>
      </c>
      <c r="N44" s="38">
        <f>IF(OR(ISERROR(ROUND(VLOOKUP(A44,ESPNData!$CD:$CQ,14,0),1)),(A44="")),0,ROUND(VLOOKUP(A44,ESPNData!$CD:$CQ,14,0),1))</f>
        <v>0</v>
      </c>
      <c r="O44" s="38">
        <f>IF(AND((I44=""),(J44="")),0,((H44*Settings!$I$17)+(J44*Settings!$F$17)))</f>
        <v>0</v>
      </c>
      <c r="P44" s="66">
        <f>ROUND((((M44*Settings!$B$21)+(N44*Settings!$B$22))+(O44*Settings!$B$23)),1)</f>
        <v>0</v>
      </c>
      <c r="Q44" s="66">
        <f>IF(ISERROR(VLOOKUP(RANK(P44,P$4:P$182),Q$4:Q43,1,0)),RANK(P44,P$4:P$182),IF(ISERROR(VLOOKUP((RANK(P44,P$4:P$182)+1),Q$4:Q43,1,0)),(RANK(P44,P$4:P$182)+1),IF(ISERROR(VLOOKUP((RANK(P44,P$4:P$182)+2),Q$4:Q43,1,0)),(RANK(P44,P$4:P$182)+2),(RANK(P44,P$4:P$182)+3))))</f>
        <v>38</v>
      </c>
      <c r="R44" t="str">
        <f t="shared" si="2"/>
        <v/>
      </c>
    </row>
    <row r="45" spans="1:18" ht="12.75" customHeight="1">
      <c r="A45" s="33">
        <f>ESPNData!CD44</f>
        <v>0</v>
      </c>
      <c r="B45" s="33" t="str">
        <f t="shared" si="0"/>
        <v/>
      </c>
      <c r="C45" s="64" t="e">
        <f t="shared" si="1"/>
        <v>#VALUE!</v>
      </c>
      <c r="D45" s="117" t="str">
        <f>IF(ISERROR(VLOOKUP($B45,FFTodayData!$AW:$BE,4,0)),"",VLOOKUP($B45,FFTodayData!$AW:$BE,4,0))</f>
        <v/>
      </c>
      <c r="E45" s="33" t="str">
        <f>IF(ISERROR(VLOOKUP($B45,FFTodayData!$AW:$BE,5,0)),"",VLOOKUP($B45,FFTodayData!$AW:$BE,5,0))</f>
        <v/>
      </c>
      <c r="F45" s="33" t="str">
        <f>IF(ISERROR(VLOOKUP($B45,FFTodayData!$AW:$BE,7,0)),"",VLOOKUP($B45,FFTodayData!$AW:$BE,7,0))</f>
        <v/>
      </c>
      <c r="G45" s="64" t="str">
        <f>IF(ISERROR(VLOOKUP($B45,FFTodayData!$AW:$BE,8,0)),"",VLOOKUP($B45,FFTodayData!$AW:$BE,8,0))</f>
        <v/>
      </c>
      <c r="H45" s="117" t="str">
        <f>IF(ISERROR(VLOOKUP($B45,SportslineData!$AV:$BA,3,0)),"",ROUND(VLOOKUP($B45,SportslineData!$AV:$BA,3,0),0))</f>
        <v/>
      </c>
      <c r="I45" s="33" t="str">
        <f>IF(ISERROR(VLOOKUP($B45,SportslineData!$AV:$BA,4,0)),"",ROUND(VLOOKUP($B45,SportslineData!$AV:$BA,4,0),0))</f>
        <v/>
      </c>
      <c r="J45" s="64" t="str">
        <f>IF(ISERROR(VLOOKUP($B45,SportslineData!$AV:$BA,5,0)),"",ROUND(VLOOKUP($B45,SportslineData!$AV:$BA,5,0),0))</f>
        <v/>
      </c>
      <c r="K45" s="117"/>
      <c r="L45" s="33"/>
      <c r="M45" s="38">
        <f>IF(AND((E45=""),(G45="")),0,((D45*Settings!$I$17)+(F45*Settings!$F$17)))</f>
        <v>0</v>
      </c>
      <c r="N45" s="38">
        <f>IF(OR(ISERROR(ROUND(VLOOKUP(A45,ESPNData!$CD:$CQ,14,0),1)),(A45="")),0,ROUND(VLOOKUP(A45,ESPNData!$CD:$CQ,14,0),1))</f>
        <v>0</v>
      </c>
      <c r="O45" s="38">
        <f>IF(AND((I45=""),(J45="")),0,((H45*Settings!$I$17)+(J45*Settings!$F$17)))</f>
        <v>0</v>
      </c>
      <c r="P45" s="66">
        <f>ROUND((((M45*Settings!$B$21)+(N45*Settings!$B$22))+(O45*Settings!$B$23)),1)</f>
        <v>0</v>
      </c>
      <c r="Q45" s="66">
        <f>IF(ISERROR(VLOOKUP(RANK(P45,P$4:P$182),Q$4:Q44,1,0)),RANK(P45,P$4:P$182),IF(ISERROR(VLOOKUP((RANK(P45,P$4:P$182)+1),Q$4:Q44,1,0)),(RANK(P45,P$4:P$182)+1),IF(ISERROR(VLOOKUP((RANK(P45,P$4:P$182)+2),Q$4:Q44,1,0)),(RANK(P45,P$4:P$182)+2),(RANK(P45,P$4:P$182)+3))))</f>
        <v>38</v>
      </c>
      <c r="R45" t="str">
        <f t="shared" si="2"/>
        <v/>
      </c>
    </row>
    <row r="46" spans="1:18" ht="12.75" customHeight="1">
      <c r="A46" s="33">
        <f>ESPNData!CD45</f>
        <v>0</v>
      </c>
      <c r="B46" s="33" t="str">
        <f t="shared" si="0"/>
        <v/>
      </c>
      <c r="C46" s="64" t="e">
        <f t="shared" si="1"/>
        <v>#VALUE!</v>
      </c>
      <c r="D46" s="117" t="str">
        <f>IF(ISERROR(VLOOKUP($B46,FFTodayData!$AW:$BE,4,0)),"",VLOOKUP($B46,FFTodayData!$AW:$BE,4,0))</f>
        <v/>
      </c>
      <c r="E46" s="33" t="str">
        <f>IF(ISERROR(VLOOKUP($B46,FFTodayData!$AW:$BE,5,0)),"",VLOOKUP($B46,FFTodayData!$AW:$BE,5,0))</f>
        <v/>
      </c>
      <c r="F46" s="33" t="str">
        <f>IF(ISERROR(VLOOKUP($B46,FFTodayData!$AW:$BE,7,0)),"",VLOOKUP($B46,FFTodayData!$AW:$BE,7,0))</f>
        <v/>
      </c>
      <c r="G46" s="64" t="str">
        <f>IF(ISERROR(VLOOKUP($B46,FFTodayData!$AW:$BE,8,0)),"",VLOOKUP($B46,FFTodayData!$AW:$BE,8,0))</f>
        <v/>
      </c>
      <c r="H46" s="117" t="str">
        <f>IF(ISERROR(VLOOKUP($B46,SportslineData!$AV:$BA,3,0)),"",ROUND(VLOOKUP($B46,SportslineData!$AV:$BA,3,0),0))</f>
        <v/>
      </c>
      <c r="I46" s="33" t="str">
        <f>IF(ISERROR(VLOOKUP($B46,SportslineData!$AV:$BA,4,0)),"",ROUND(VLOOKUP($B46,SportslineData!$AV:$BA,4,0),0))</f>
        <v/>
      </c>
      <c r="J46" s="64" t="str">
        <f>IF(ISERROR(VLOOKUP($B46,SportslineData!$AV:$BA,5,0)),"",ROUND(VLOOKUP($B46,SportslineData!$AV:$BA,5,0),0))</f>
        <v/>
      </c>
      <c r="K46" s="117"/>
      <c r="L46" s="33"/>
      <c r="M46" s="38">
        <f>IF(AND((E46=""),(G46="")),0,((D46*Settings!$I$17)+(F46*Settings!$F$17)))</f>
        <v>0</v>
      </c>
      <c r="N46" s="38">
        <f>IF(OR(ISERROR(ROUND(VLOOKUP(A46,ESPNData!$CD:$CQ,14,0),1)),(A46="")),0,ROUND(VLOOKUP(A46,ESPNData!$CD:$CQ,14,0),1))</f>
        <v>0</v>
      </c>
      <c r="O46" s="38">
        <f>IF(AND((I46=""),(J46="")),0,((H46*Settings!$I$17)+(J46*Settings!$F$17)))</f>
        <v>0</v>
      </c>
      <c r="P46" s="66">
        <f>ROUND((((M46*Settings!$B$21)+(N46*Settings!$B$22))+(O46*Settings!$B$23)),1)</f>
        <v>0</v>
      </c>
      <c r="Q46" s="66">
        <f>IF(ISERROR(VLOOKUP(RANK(P46,P$4:P$182),Q$4:Q45,1,0)),RANK(P46,P$4:P$182),IF(ISERROR(VLOOKUP((RANK(P46,P$4:P$182)+1),Q$4:Q45,1,0)),(RANK(P46,P$4:P$182)+1),IF(ISERROR(VLOOKUP((RANK(P46,P$4:P$182)+2),Q$4:Q45,1,0)),(RANK(P46,P$4:P$182)+2),(RANK(P46,P$4:P$182)+3))))</f>
        <v>38</v>
      </c>
      <c r="R46" t="str">
        <f t="shared" si="2"/>
        <v/>
      </c>
    </row>
    <row r="47" spans="1:18" ht="12.75" customHeight="1">
      <c r="A47" s="33">
        <f>ESPNData!CD46</f>
        <v>0</v>
      </c>
      <c r="B47" s="33" t="str">
        <f t="shared" si="0"/>
        <v/>
      </c>
      <c r="C47" s="64" t="e">
        <f t="shared" si="1"/>
        <v>#VALUE!</v>
      </c>
      <c r="D47" s="117" t="str">
        <f>IF(ISERROR(VLOOKUP($B47,FFTodayData!$AW:$BE,4,0)),"",VLOOKUP($B47,FFTodayData!$AW:$BE,4,0))</f>
        <v/>
      </c>
      <c r="E47" s="33" t="str">
        <f>IF(ISERROR(VLOOKUP($B47,FFTodayData!$AW:$BE,5,0)),"",VLOOKUP($B47,FFTodayData!$AW:$BE,5,0))</f>
        <v/>
      </c>
      <c r="F47" s="33" t="str">
        <f>IF(ISERROR(VLOOKUP($B47,FFTodayData!$AW:$BE,7,0)),"",VLOOKUP($B47,FFTodayData!$AW:$BE,7,0))</f>
        <v/>
      </c>
      <c r="G47" s="64" t="str">
        <f>IF(ISERROR(VLOOKUP($B47,FFTodayData!$AW:$BE,8,0)),"",VLOOKUP($B47,FFTodayData!$AW:$BE,8,0))</f>
        <v/>
      </c>
      <c r="H47" s="117" t="str">
        <f>IF(ISERROR(VLOOKUP($B47,SportslineData!$AV:$BA,3,0)),"",ROUND(VLOOKUP($B47,SportslineData!$AV:$BA,3,0),0))</f>
        <v/>
      </c>
      <c r="I47" s="33" t="str">
        <f>IF(ISERROR(VLOOKUP($B47,SportslineData!$AV:$BA,4,0)),"",ROUND(VLOOKUP($B47,SportslineData!$AV:$BA,4,0),0))</f>
        <v/>
      </c>
      <c r="J47" s="64" t="str">
        <f>IF(ISERROR(VLOOKUP($B47,SportslineData!$AV:$BA,5,0)),"",ROUND(VLOOKUP($B47,SportslineData!$AV:$BA,5,0),0))</f>
        <v/>
      </c>
      <c r="K47" s="117"/>
      <c r="L47" s="33"/>
      <c r="M47" s="38">
        <f>IF(AND((E47=""),(G47="")),0,((D47*Settings!$I$17)+(F47*Settings!$F$17)))</f>
        <v>0</v>
      </c>
      <c r="N47" s="38">
        <f>IF(OR(ISERROR(ROUND(VLOOKUP(A47,ESPNData!$CD:$CQ,14,0),1)),(A47="")),0,ROUND(VLOOKUP(A47,ESPNData!$CD:$CQ,14,0),1))</f>
        <v>0</v>
      </c>
      <c r="O47" s="38">
        <f>IF(AND((I47=""),(J47="")),0,((H47*Settings!$I$17)+(J47*Settings!$F$17)))</f>
        <v>0</v>
      </c>
      <c r="P47" s="66">
        <f>ROUND((((M47*Settings!$B$21)+(N47*Settings!$B$22))+(O47*Settings!$B$23)),1)</f>
        <v>0</v>
      </c>
      <c r="Q47" s="66">
        <f>IF(ISERROR(VLOOKUP(RANK(P47,P$4:P$182),Q$4:Q46,1,0)),RANK(P47,P$4:P$182),IF(ISERROR(VLOOKUP((RANK(P47,P$4:P$182)+1),Q$4:Q46,1,0)),(RANK(P47,P$4:P$182)+1),IF(ISERROR(VLOOKUP((RANK(P47,P$4:P$182)+2),Q$4:Q46,1,0)),(RANK(P47,P$4:P$182)+2),(RANK(P47,P$4:P$182)+3))))</f>
        <v>38</v>
      </c>
      <c r="R47" t="str">
        <f t="shared" si="2"/>
        <v/>
      </c>
    </row>
    <row r="48" spans="1:18" ht="12.75" customHeight="1">
      <c r="A48" s="33">
        <f>ESPNData!CD47</f>
        <v>0</v>
      </c>
      <c r="B48" s="33" t="str">
        <f t="shared" si="0"/>
        <v/>
      </c>
      <c r="C48" s="64" t="e">
        <f t="shared" si="1"/>
        <v>#VALUE!</v>
      </c>
      <c r="D48" s="117" t="str">
        <f>IF(ISERROR(VLOOKUP($B48,FFTodayData!$AW:$BE,4,0)),"",VLOOKUP($B48,FFTodayData!$AW:$BE,4,0))</f>
        <v/>
      </c>
      <c r="E48" s="33" t="str">
        <f>IF(ISERROR(VLOOKUP($B48,FFTodayData!$AW:$BE,5,0)),"",VLOOKUP($B48,FFTodayData!$AW:$BE,5,0))</f>
        <v/>
      </c>
      <c r="F48" s="33" t="str">
        <f>IF(ISERROR(VLOOKUP($B48,FFTodayData!$AW:$BE,7,0)),"",VLOOKUP($B48,FFTodayData!$AW:$BE,7,0))</f>
        <v/>
      </c>
      <c r="G48" s="64" t="str">
        <f>IF(ISERROR(VLOOKUP($B48,FFTodayData!$AW:$BE,8,0)),"",VLOOKUP($B48,FFTodayData!$AW:$BE,8,0))</f>
        <v/>
      </c>
      <c r="H48" s="117" t="str">
        <f>IF(ISERROR(VLOOKUP($B48,SportslineData!$AV:$BA,3,0)),"",ROUND(VLOOKUP($B48,SportslineData!$AV:$BA,3,0),0))</f>
        <v/>
      </c>
      <c r="I48" s="33" t="str">
        <f>IF(ISERROR(VLOOKUP($B48,SportslineData!$AV:$BA,4,0)),"",ROUND(VLOOKUP($B48,SportslineData!$AV:$BA,4,0),0))</f>
        <v/>
      </c>
      <c r="J48" s="64" t="str">
        <f>IF(ISERROR(VLOOKUP($B48,SportslineData!$AV:$BA,5,0)),"",ROUND(VLOOKUP($B48,SportslineData!$AV:$BA,5,0),0))</f>
        <v/>
      </c>
      <c r="K48" s="117"/>
      <c r="L48" s="33"/>
      <c r="M48" s="38">
        <f>IF(AND((E48=""),(G48="")),0,((D48*Settings!$I$17)+(F48*Settings!$F$17)))</f>
        <v>0</v>
      </c>
      <c r="N48" s="38">
        <f>IF(OR(ISERROR(ROUND(VLOOKUP(A48,ESPNData!$CD:$CQ,14,0),1)),(A48="")),0,ROUND(VLOOKUP(A48,ESPNData!$CD:$CQ,14,0),1))</f>
        <v>0</v>
      </c>
      <c r="O48" s="38">
        <f>IF(AND((I48=""),(J48="")),0,((H48*Settings!$I$17)+(J48*Settings!$F$17)))</f>
        <v>0</v>
      </c>
      <c r="P48" s="66">
        <f>ROUND((((M48*Settings!$B$21)+(N48*Settings!$B$22))+(O48*Settings!$B$23)),1)</f>
        <v>0</v>
      </c>
      <c r="Q48" s="66">
        <f>IF(ISERROR(VLOOKUP(RANK(P48,P$4:P$182),Q$4:Q47,1,0)),RANK(P48,P$4:P$182),IF(ISERROR(VLOOKUP((RANK(P48,P$4:P$182)+1),Q$4:Q47,1,0)),(RANK(P48,P$4:P$182)+1),IF(ISERROR(VLOOKUP((RANK(P48,P$4:P$182)+2),Q$4:Q47,1,0)),(RANK(P48,P$4:P$182)+2),(RANK(P48,P$4:P$182)+3))))</f>
        <v>38</v>
      </c>
      <c r="R48" t="str">
        <f t="shared" si="2"/>
        <v/>
      </c>
    </row>
    <row r="49" spans="1:18" ht="12.75" customHeight="1">
      <c r="A49" s="33">
        <f>ESPNData!CD48</f>
        <v>0</v>
      </c>
      <c r="B49" s="33" t="str">
        <f t="shared" si="0"/>
        <v/>
      </c>
      <c r="C49" s="64" t="e">
        <f t="shared" si="1"/>
        <v>#VALUE!</v>
      </c>
      <c r="D49" s="117" t="str">
        <f>IF(ISERROR(VLOOKUP($B49,FFTodayData!$AW:$BE,4,0)),"",VLOOKUP($B49,FFTodayData!$AW:$BE,4,0))</f>
        <v/>
      </c>
      <c r="E49" s="33" t="str">
        <f>IF(ISERROR(VLOOKUP($B49,FFTodayData!$AW:$BE,5,0)),"",VLOOKUP($B49,FFTodayData!$AW:$BE,5,0))</f>
        <v/>
      </c>
      <c r="F49" s="33" t="str">
        <f>IF(ISERROR(VLOOKUP($B49,FFTodayData!$AW:$BE,7,0)),"",VLOOKUP($B49,FFTodayData!$AW:$BE,7,0))</f>
        <v/>
      </c>
      <c r="G49" s="64" t="str">
        <f>IF(ISERROR(VLOOKUP($B49,FFTodayData!$AW:$BE,8,0)),"",VLOOKUP($B49,FFTodayData!$AW:$BE,8,0))</f>
        <v/>
      </c>
      <c r="H49" s="117" t="str">
        <f>IF(ISERROR(VLOOKUP($B49,SportslineData!$AV:$BA,3,0)),"",ROUND(VLOOKUP($B49,SportslineData!$AV:$BA,3,0),0))</f>
        <v/>
      </c>
      <c r="I49" s="33" t="str">
        <f>IF(ISERROR(VLOOKUP($B49,SportslineData!$AV:$BA,4,0)),"",ROUND(VLOOKUP($B49,SportslineData!$AV:$BA,4,0),0))</f>
        <v/>
      </c>
      <c r="J49" s="64" t="str">
        <f>IF(ISERROR(VLOOKUP($B49,SportslineData!$AV:$BA,5,0)),"",ROUND(VLOOKUP($B49,SportslineData!$AV:$BA,5,0),0))</f>
        <v/>
      </c>
      <c r="K49" s="117"/>
      <c r="L49" s="33"/>
      <c r="M49" s="38">
        <f>IF(AND((E49=""),(G49="")),0,((D49*Settings!$I$17)+(F49*Settings!$F$17)))</f>
        <v>0</v>
      </c>
      <c r="N49" s="38">
        <f>IF(OR(ISERROR(ROUND(VLOOKUP(A49,ESPNData!$CD:$CQ,14,0),1)),(A49="")),0,ROUND(VLOOKUP(A49,ESPNData!$CD:$CQ,14,0),1))</f>
        <v>0</v>
      </c>
      <c r="O49" s="38">
        <f>IF(AND((I49=""),(J49="")),0,((H49*Settings!$I$17)+(J49*Settings!$F$17)))</f>
        <v>0</v>
      </c>
      <c r="P49" s="66">
        <f>ROUND((((M49*Settings!$B$21)+(N49*Settings!$B$22))+(O49*Settings!$B$23)),1)</f>
        <v>0</v>
      </c>
      <c r="Q49" s="66">
        <f>IF(ISERROR(VLOOKUP(RANK(P49,P$4:P$182),Q$4:Q48,1,0)),RANK(P49,P$4:P$182),IF(ISERROR(VLOOKUP((RANK(P49,P$4:P$182)+1),Q$4:Q48,1,0)),(RANK(P49,P$4:P$182)+1),IF(ISERROR(VLOOKUP((RANK(P49,P$4:P$182)+2),Q$4:Q48,1,0)),(RANK(P49,P$4:P$182)+2),(RANK(P49,P$4:P$182)+3))))</f>
        <v>38</v>
      </c>
      <c r="R49" t="str">
        <f t="shared" si="2"/>
        <v/>
      </c>
    </row>
    <row r="50" spans="1:18" ht="12.75" customHeight="1">
      <c r="A50" s="33">
        <f>ESPNData!CD49</f>
        <v>0</v>
      </c>
      <c r="B50" s="33" t="str">
        <f t="shared" si="0"/>
        <v/>
      </c>
      <c r="C50" s="64" t="e">
        <f t="shared" si="1"/>
        <v>#VALUE!</v>
      </c>
      <c r="D50" s="117" t="str">
        <f>IF(ISERROR(VLOOKUP($B50,FFTodayData!$AW:$BE,4,0)),"",VLOOKUP($B50,FFTodayData!$AW:$BE,4,0))</f>
        <v/>
      </c>
      <c r="E50" s="33" t="str">
        <f>IF(ISERROR(VLOOKUP($B50,FFTodayData!$AW:$BE,5,0)),"",VLOOKUP($B50,FFTodayData!$AW:$BE,5,0))</f>
        <v/>
      </c>
      <c r="F50" s="33" t="str">
        <f>IF(ISERROR(VLOOKUP($B50,FFTodayData!$AW:$BE,7,0)),"",VLOOKUP($B50,FFTodayData!$AW:$BE,7,0))</f>
        <v/>
      </c>
      <c r="G50" s="64" t="str">
        <f>IF(ISERROR(VLOOKUP($B50,FFTodayData!$AW:$BE,8,0)),"",VLOOKUP($B50,FFTodayData!$AW:$BE,8,0))</f>
        <v/>
      </c>
      <c r="H50" s="164" t="str">
        <f>IF(ISERROR(VLOOKUP($B50,SportslineData!$AV:$BA,3,0)),"",ROUND(VLOOKUP($B50,SportslineData!$AV:$BA,3,0),0))</f>
        <v/>
      </c>
      <c r="I50" s="121" t="str">
        <f>IF(ISERROR(VLOOKUP($B50,SportslineData!$AV:$BA,4,0)),"",ROUND(VLOOKUP($B50,SportslineData!$AV:$BA,4,0),0))</f>
        <v/>
      </c>
      <c r="J50" s="56" t="str">
        <f>IF(ISERROR(VLOOKUP($B50,SportslineData!$AV:$BA,5,0)),"",ROUND(VLOOKUP($B50,SportslineData!$AV:$BA,5,0),0))</f>
        <v/>
      </c>
      <c r="K50" s="117"/>
      <c r="L50" s="33"/>
      <c r="M50" s="38">
        <f>IF(AND((E50=""),(G50="")),0,((D50*Settings!$I$17)+(F50*Settings!$F$17)))</f>
        <v>0</v>
      </c>
      <c r="N50" s="38">
        <f>IF(OR(ISERROR(ROUND(VLOOKUP(A50,ESPNData!$CD:$CQ,14,0),1)),(A50="")),0,ROUND(VLOOKUP(A50,ESPNData!$CD:$CQ,14,0),1))</f>
        <v>0</v>
      </c>
      <c r="O50" s="38">
        <f>IF(AND((I50=""),(J50="")),0,((H50*Settings!$I$17)+(J50*Settings!$F$17)))</f>
        <v>0</v>
      </c>
      <c r="P50" s="66">
        <f>ROUND((((M50*Settings!$B$21)+(N50*Settings!$B$22))+(O50*Settings!$B$23)),1)</f>
        <v>0</v>
      </c>
      <c r="Q50" s="66">
        <f>IF(ISERROR(VLOOKUP(RANK(P50,P$4:P$182),Q$4:Q49,1,0)),RANK(P50,P$4:P$182),IF(ISERROR(VLOOKUP((RANK(P50,P$4:P$182)+1),Q$4:Q49,1,0)),(RANK(P50,P$4:P$182)+1),IF(ISERROR(VLOOKUP((RANK(P50,P$4:P$182)+2),Q$4:Q49,1,0)),(RANK(P50,P$4:P$182)+2),(RANK(P50,P$4:P$182)+3))))</f>
        <v>38</v>
      </c>
      <c r="R50" t="str">
        <f t="shared" si="2"/>
        <v/>
      </c>
    </row>
  </sheetData>
  <mergeCells count="3">
    <mergeCell ref="D1:G1"/>
    <mergeCell ref="H1:J1"/>
    <mergeCell ref="D2:G2"/>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00"/>
  <sheetViews>
    <sheetView showGridLines="0" workbookViewId="0">
      <pane xSplit="3" ySplit="3" topLeftCell="D4" activePane="bottomRight" state="frozen"/>
      <selection pane="topRight" activeCell="D1" sqref="D1"/>
      <selection pane="bottomLeft" activeCell="A4" sqref="A4"/>
      <selection pane="bottomRight" activeCell="D4" sqref="D4"/>
    </sheetView>
  </sheetViews>
  <sheetFormatPr baseColWidth="10" defaultColWidth="17.1640625" defaultRowHeight="12.75" customHeight="1" x14ac:dyDescent="0"/>
  <cols>
    <col min="1" max="1" width="20" hidden="1" customWidth="1"/>
    <col min="2" max="2" width="10.6640625" customWidth="1"/>
    <col min="3" max="3" width="5" customWidth="1"/>
    <col min="4" max="4" width="7.83203125" customWidth="1"/>
    <col min="5" max="5" width="2.5" customWidth="1"/>
    <col min="6" max="6" width="3" customWidth="1"/>
    <col min="7" max="7" width="3.6640625" customWidth="1"/>
    <col min="8" max="8" width="3.5" customWidth="1"/>
    <col min="9" max="9" width="3.33203125" customWidth="1"/>
    <col min="10" max="10" width="9.1640625" customWidth="1"/>
    <col min="11" max="11" width="2.5" customWidth="1"/>
    <col min="12" max="12" width="3" customWidth="1"/>
    <col min="13" max="13" width="3.6640625" customWidth="1"/>
    <col min="14" max="14" width="3.5" customWidth="1"/>
    <col min="15" max="15" width="3.33203125" customWidth="1"/>
    <col min="16" max="17" width="3.83203125" customWidth="1"/>
    <col min="18" max="18" width="7.83203125" customWidth="1"/>
    <col min="19" max="19" width="4.6640625" customWidth="1"/>
    <col min="20" max="20" width="9.1640625" customWidth="1"/>
    <col min="21" max="21" width="7.5" customWidth="1"/>
    <col min="22" max="22" width="2.5" customWidth="1"/>
    <col min="23" max="23" width="10.6640625" customWidth="1"/>
    <col min="24" max="24" width="8" customWidth="1"/>
    <col min="25" max="25" width="7.33203125" customWidth="1"/>
    <col min="26" max="26" width="3.83203125" customWidth="1"/>
    <col min="27" max="28" width="1.1640625" customWidth="1"/>
    <col min="29" max="30" width="2.33203125" customWidth="1"/>
    <col min="31" max="35" width="2.5" customWidth="1"/>
    <col min="36" max="36" width="3.1640625" customWidth="1"/>
    <col min="37" max="37" width="2.83203125" customWidth="1"/>
    <col min="39" max="39" width="9.6640625" customWidth="1"/>
    <col min="40" max="40" width="3.83203125" customWidth="1"/>
    <col min="41" max="42" width="1.1640625" customWidth="1"/>
    <col min="43" max="44" width="2.33203125" customWidth="1"/>
    <col min="45" max="49" width="2.5" customWidth="1"/>
    <col min="50" max="50" width="4.5" customWidth="1"/>
    <col min="51" max="51" width="2.83203125" customWidth="1"/>
  </cols>
  <sheetData>
    <row r="1" spans="1:51" ht="12.75" customHeight="1">
      <c r="A1" s="181"/>
      <c r="B1" s="181"/>
      <c r="C1" s="31"/>
      <c r="D1" s="221" t="s">
        <v>155</v>
      </c>
      <c r="E1" s="222"/>
      <c r="F1" s="222"/>
      <c r="G1" s="222"/>
      <c r="H1" s="222"/>
      <c r="I1" s="223"/>
      <c r="J1" s="221" t="s">
        <v>162</v>
      </c>
      <c r="K1" s="222"/>
      <c r="L1" s="222"/>
      <c r="M1" s="222"/>
      <c r="N1" s="222"/>
      <c r="O1" s="223"/>
      <c r="P1" s="114"/>
      <c r="Q1" s="181"/>
      <c r="R1" s="37"/>
      <c r="S1" s="37"/>
      <c r="T1" s="37"/>
      <c r="U1" s="66"/>
      <c r="V1" s="66"/>
      <c r="W1" s="181"/>
      <c r="X1" s="181"/>
      <c r="Y1" s="181" t="s">
        <v>155</v>
      </c>
      <c r="Z1" s="185"/>
      <c r="AA1" s="181"/>
      <c r="AB1" s="181"/>
      <c r="AC1" s="181"/>
      <c r="AD1" s="181"/>
      <c r="AK1" s="181"/>
      <c r="AM1" s="145" t="s">
        <v>162</v>
      </c>
    </row>
    <row r="2" spans="1:51" ht="12.75" customHeight="1">
      <c r="A2" s="181"/>
      <c r="B2" s="181"/>
      <c r="C2" s="31"/>
      <c r="D2" s="113"/>
      <c r="E2" s="133"/>
      <c r="F2" s="133"/>
      <c r="G2" s="133"/>
      <c r="H2" s="133"/>
      <c r="I2" s="47"/>
      <c r="J2" s="113"/>
      <c r="K2" s="133"/>
      <c r="L2" s="133"/>
      <c r="M2" s="133"/>
      <c r="N2" s="133"/>
      <c r="O2" s="47"/>
      <c r="P2" s="114"/>
      <c r="Q2" s="181"/>
      <c r="R2" s="37"/>
      <c r="S2" s="37"/>
      <c r="T2" s="37"/>
      <c r="U2" s="66"/>
      <c r="V2" s="66"/>
      <c r="W2" s="181"/>
      <c r="X2" s="181"/>
      <c r="Y2" s="181"/>
      <c r="Z2" s="185"/>
      <c r="AA2" s="181"/>
      <c r="AB2" s="181">
        <v>1</v>
      </c>
      <c r="AC2" s="181">
        <v>7</v>
      </c>
      <c r="AD2" s="181">
        <v>14</v>
      </c>
      <c r="AE2" s="145">
        <v>18</v>
      </c>
      <c r="AF2" s="145">
        <v>22</v>
      </c>
      <c r="AG2" s="145">
        <v>28</v>
      </c>
      <c r="AH2" s="145">
        <v>35</v>
      </c>
      <c r="AI2" s="145"/>
      <c r="AJ2" s="145"/>
      <c r="AK2" s="181"/>
      <c r="AM2" s="181"/>
      <c r="AN2" s="185"/>
      <c r="AO2" s="181"/>
      <c r="AP2" s="181">
        <v>1</v>
      </c>
      <c r="AQ2" s="181">
        <v>7</v>
      </c>
      <c r="AR2" s="181">
        <v>14</v>
      </c>
      <c r="AS2" s="145">
        <v>18</v>
      </c>
      <c r="AT2" s="145">
        <v>22</v>
      </c>
      <c r="AU2" s="145">
        <v>28</v>
      </c>
      <c r="AV2" s="145">
        <v>35</v>
      </c>
      <c r="AW2" s="145"/>
      <c r="AX2" s="145"/>
      <c r="AY2" s="181"/>
    </row>
    <row r="3" spans="1:51" ht="12.75" customHeight="1">
      <c r="A3" s="181"/>
      <c r="B3" s="181" t="s">
        <v>6</v>
      </c>
      <c r="C3" s="31" t="s">
        <v>7</v>
      </c>
      <c r="D3" s="113" t="s">
        <v>794</v>
      </c>
      <c r="E3" s="133" t="s">
        <v>795</v>
      </c>
      <c r="F3" s="133" t="s">
        <v>796</v>
      </c>
      <c r="G3" s="133" t="s">
        <v>797</v>
      </c>
      <c r="H3" s="133" t="s">
        <v>798</v>
      </c>
      <c r="I3" s="47" t="s">
        <v>799</v>
      </c>
      <c r="J3" s="113" t="s">
        <v>794</v>
      </c>
      <c r="K3" s="133" t="s">
        <v>795</v>
      </c>
      <c r="L3" s="133" t="s">
        <v>796</v>
      </c>
      <c r="M3" s="133" t="s">
        <v>797</v>
      </c>
      <c r="N3" s="133" t="s">
        <v>798</v>
      </c>
      <c r="O3" s="47" t="s">
        <v>799</v>
      </c>
      <c r="P3" s="114"/>
      <c r="Q3" s="181"/>
      <c r="R3" s="37" t="s">
        <v>155</v>
      </c>
      <c r="S3" s="37" t="s">
        <v>1</v>
      </c>
      <c r="T3" s="37" t="s">
        <v>162</v>
      </c>
      <c r="U3" s="66" t="s">
        <v>788</v>
      </c>
      <c r="V3" s="66" t="s">
        <v>5</v>
      </c>
      <c r="W3" s="181"/>
      <c r="X3" s="181"/>
      <c r="Y3" s="181" t="s">
        <v>56</v>
      </c>
      <c r="Z3" s="185" t="s">
        <v>800</v>
      </c>
      <c r="AA3" s="181">
        <v>0</v>
      </c>
      <c r="AB3" s="181">
        <v>6</v>
      </c>
      <c r="AC3" s="181">
        <v>13</v>
      </c>
      <c r="AD3" s="181">
        <v>17</v>
      </c>
      <c r="AE3" s="145">
        <v>21</v>
      </c>
      <c r="AF3" s="145">
        <v>27</v>
      </c>
      <c r="AG3" s="145">
        <v>34</v>
      </c>
      <c r="AH3" s="145">
        <v>45</v>
      </c>
      <c r="AI3" s="145">
        <v>46</v>
      </c>
      <c r="AJ3" s="145"/>
      <c r="AK3" s="181"/>
      <c r="AM3" s="181" t="s">
        <v>56</v>
      </c>
      <c r="AN3" s="185" t="s">
        <v>800</v>
      </c>
      <c r="AO3" s="181">
        <v>0</v>
      </c>
      <c r="AP3" s="181">
        <v>6</v>
      </c>
      <c r="AQ3" s="181">
        <v>13</v>
      </c>
      <c r="AR3" s="181">
        <v>17</v>
      </c>
      <c r="AS3" s="145">
        <v>21</v>
      </c>
      <c r="AT3" s="145">
        <v>27</v>
      </c>
      <c r="AU3" s="145">
        <v>34</v>
      </c>
      <c r="AV3" s="145">
        <v>45</v>
      </c>
      <c r="AW3" s="145">
        <v>46</v>
      </c>
      <c r="AX3" s="145"/>
      <c r="AY3" s="181"/>
    </row>
    <row r="4" spans="1:51" ht="12.75" customHeight="1">
      <c r="A4" s="33" t="str">
        <f>ESPNData!BN3</f>
        <v>Seahawks D/ST D/ST</v>
      </c>
      <c r="B4" s="33" t="str">
        <f t="shared" ref="B4:B35" si="0">LEFT(A4,(FIND("D/ST",A4)-2))</f>
        <v>Seahawks</v>
      </c>
      <c r="C4" s="64" t="str">
        <f>VLOOKUP(B4,Settings!$K$2:$M$33,3,0)</f>
        <v>SEA</v>
      </c>
      <c r="D4" s="117">
        <f>VLOOKUP(VLOOKUP($B4,Settings!$K$2:$L$33,2,0),FFTodayData!$BH:$BS,3,0)</f>
        <v>46</v>
      </c>
      <c r="E4" s="33">
        <f>VLOOKUP(VLOOKUP($B4,Settings!$K$2:$L$33,2,0),FFTodayData!$BH:$BS,4,0)</f>
        <v>12</v>
      </c>
      <c r="F4" s="33">
        <f>VLOOKUP(VLOOKUP($B4,Settings!$K$2:$L$33,2,0),FFTodayData!$BH:$BS,5,0)</f>
        <v>22</v>
      </c>
      <c r="G4" s="33">
        <f>VLOOKUP(VLOOKUP($B4,Settings!$K$2:$L$33,2,0),FFTodayData!$BH:$BS,6,0)</f>
        <v>4</v>
      </c>
      <c r="H4" s="33">
        <f>VLOOKUP(VLOOKUP($B4,Settings!$K$2:$L$33,2,0),FFTodayData!$BH:$BS,10,0)</f>
        <v>0</v>
      </c>
      <c r="I4" s="64">
        <f>VLOOKUP(VLOOKUP($B4,Settings!$K$2:$L$33,2,0),FFTodayData!$BH:$BS,7,0)</f>
        <v>301</v>
      </c>
      <c r="J4" s="117">
        <f>ROUND(VLOOKUP($B4,SportslineData!$BC:$BM,6,0),0)</f>
        <v>39</v>
      </c>
      <c r="K4" s="33">
        <f>ROUND(VLOOKUP($B4,SportslineData!$BC:$BM,4,0),0)</f>
        <v>11</v>
      </c>
      <c r="L4" s="33">
        <f>ROUND(VLOOKUP($B4,SportslineData!$BC:$BM,3,0),0)</f>
        <v>23</v>
      </c>
      <c r="M4" s="33">
        <f>ROUND(VLOOKUP($B4,SportslineData!$BC:$BM,7,0),0)</f>
        <v>5</v>
      </c>
      <c r="N4" s="33">
        <f>ROUND(VLOOKUP($B4,SportslineData!$BC:$BM,8,0),0)</f>
        <v>1</v>
      </c>
      <c r="O4" s="64">
        <f>ROUND(VLOOKUP($B4,SportslineData!$BC:$BM,9,0),0)</f>
        <v>276</v>
      </c>
      <c r="P4" s="117"/>
      <c r="Q4" s="33"/>
      <c r="R4" s="38">
        <f>ROUND((((((((((((((D4*Settings!$F$20)+(E4*Settings!$I$23))+(F4*Settings!$F$23))+(G4*Settings!$I$20))+(H4*Settings!$F$24))+(AA4*Settings!$I$24))+(AB4*Settings!$F$25))+(AC4*Settings!$I$25))+(AD4*Settings!$F$26))+(AF4*Settings!$I$26))+(AG4*Settings!$F$27))+(AH4*Settings!$I$27))+(AI4*Settings!$F$28)),1)</f>
        <v>127</v>
      </c>
      <c r="S4" s="38">
        <f>IF(OR(ISERROR(ROUND(VLOOKUP(A4,ESPNData!$BN:$CA,14,0),1)),(A4="")),0,ROUND(VLOOKUP(A4,ESPNData!$BN:$CA,14,0),1))</f>
        <v>157</v>
      </c>
      <c r="T4" s="38">
        <f>ROUND((((((((((((((J4*Settings!$F$20)+(K4*Settings!$I$23))+(L4*Settings!$F$23))+(M4*Settings!$I$20))+(N4*Settings!$F$24))+(AO4*Settings!$I$24))+(AP4*Settings!$F$25))+(AQ4*Settings!$I$25))+(AR4*Settings!$F$26))+(AT4*Settings!$I$26))+(AU4*Settings!$F$27))+(AV4*Settings!$I$27))+(AW4*Settings!$F$28)),1)</f>
        <v>139</v>
      </c>
      <c r="U4" s="66">
        <f>ROUND((((R4*Settings!$B$21)+(S4*Settings!$B$22))+(T4*Settings!$B$23)),1)</f>
        <v>141</v>
      </c>
      <c r="V4" s="66">
        <f>RANK(U4,$U$4:$U$35)</f>
        <v>1</v>
      </c>
      <c r="W4" s="33" t="str">
        <f t="shared" ref="W4:W35" si="1">B4</f>
        <v>Seahawks</v>
      </c>
      <c r="X4" s="33"/>
      <c r="Y4" s="33">
        <f t="shared" ref="Y4:Y35" si="2">I4/16</f>
        <v>18.8125</v>
      </c>
      <c r="Z4" s="131">
        <f t="shared" ref="Z4:Z35" si="3">((1*Y4)/$Y$38)*$Y$37</f>
        <v>2.0409850126437159</v>
      </c>
      <c r="AA4" s="33">
        <f t="shared" ref="AA4:AA35" si="4">ROUND((16*NORMDIST(AA$3,$Y4,$Z4,1)),0)</f>
        <v>0</v>
      </c>
      <c r="AB4" s="33">
        <f>ROUND((16*NORMDIST(AB$3,$Y4,$Z4,1)),0)-SUM($AA4:AA4)</f>
        <v>0</v>
      </c>
      <c r="AC4" s="33">
        <f>ROUND((16*NORMDIST(AC$3,$Y4,$Z4,1)),0)-SUM($AA4:AB4)</f>
        <v>0</v>
      </c>
      <c r="AD4" s="33">
        <f>ROUND((16*NORMDIST(AD$3,$Y4,$Z4,1)),0)-SUM($AA4:AC4)</f>
        <v>3</v>
      </c>
      <c r="AE4" s="33">
        <f>ROUND((16*NORMDIST(AE$3,$Y4,$Z4,1)),0)-SUM($AA4:AD4)</f>
        <v>11</v>
      </c>
      <c r="AF4" s="33">
        <f>ROUND((16*NORMDIST(AF$3,$Y4,$Z4,1)),0)-SUM($AA4:AE4)</f>
        <v>2</v>
      </c>
      <c r="AG4" s="33">
        <f>ROUND((16*NORMDIST(AG$3,$Y4,$Z4,1)),0)-SUM($AA4:AF4)</f>
        <v>0</v>
      </c>
      <c r="AH4" s="33">
        <f>ROUND((16*NORMDIST(AH$3,$Y4,$Z4,1)),0)-SUM($AA4:AG4)</f>
        <v>0</v>
      </c>
      <c r="AI4">
        <f t="shared" ref="AI4:AI35" si="5">16-SUM(AA4:AH4)</f>
        <v>0</v>
      </c>
      <c r="AK4" s="33">
        <f>(((((((AA4*Settings!$I$24)+(AB4*Settings!$F$25))+(AC4*Settings!$I$25))+(AD4*Settings!$F$26))+(AF4*Settings!$I$26))+(AG4*Settings!$F$27))+(AH4*Settings!$I$27))+(AI4*Settings!$F$28)</f>
        <v>1</v>
      </c>
      <c r="AM4" s="33">
        <f t="shared" ref="AM4:AM35" si="6">O4/16</f>
        <v>17.25</v>
      </c>
      <c r="AN4" s="131">
        <f t="shared" ref="AN4:AN35" si="7">((1.5*AM4)/$AM$38)*$AM$37</f>
        <v>2.3637849295221143</v>
      </c>
      <c r="AO4" s="33">
        <f t="shared" ref="AO4:AO35" si="8">ROUND((16*NORMDIST(AO$3,$AM4,$AN4,1)),0)</f>
        <v>0</v>
      </c>
      <c r="AP4" s="33">
        <f>ROUND((16*NORMDIST(AP$3,$AM4,$AN4,1)),0)-SUM($AO4:AO4)</f>
        <v>0</v>
      </c>
      <c r="AQ4" s="33">
        <f>ROUND((16*NORMDIST(AQ$3,$AM4,$AN4,1)),0)-SUM($AO4:AP4)</f>
        <v>1</v>
      </c>
      <c r="AR4" s="33">
        <f>ROUND((16*NORMDIST(AR$3,$AM4,$AN4,1)),0)-SUM($AO4:AQ4)</f>
        <v>6</v>
      </c>
      <c r="AS4" s="33">
        <f>ROUND((16*NORMDIST(AS$3,$AM4,$AN4,1)),0)-SUM($AO4:AR4)</f>
        <v>8</v>
      </c>
      <c r="AT4" s="33">
        <f>ROUND((16*NORMDIST(AT$3,$AM4,$AN4,1)),0)-SUM($AO4:AS4)</f>
        <v>1</v>
      </c>
      <c r="AU4" s="33">
        <f>ROUND((16*NORMDIST(AU$3,$AM4,$AN4,1)),0)-SUM($AO4:AT4)</f>
        <v>0</v>
      </c>
      <c r="AV4" s="33">
        <f>ROUND((16*NORMDIST(AV$3,$AM4,$AN4,1)),0)-SUM($AO4:AU4)</f>
        <v>0</v>
      </c>
      <c r="AW4">
        <f t="shared" ref="AW4:AW35" si="9">16-SUM(AO4:AV4)</f>
        <v>0</v>
      </c>
      <c r="AY4" s="33">
        <f>(((((((AO4*Settings!$I$24)+(AP4*Settings!$F$25))+(AQ4*Settings!$I$25))+(AR4*Settings!$F$26))+(AT4*Settings!$I$26))+(AU4*Settings!$F$27))+(AV4*Settings!$I$27))+(AW4*Settings!$F$28)</f>
        <v>9</v>
      </c>
    </row>
    <row r="5" spans="1:51" ht="12.75" customHeight="1">
      <c r="A5" s="33" t="str">
        <f>ESPNData!BN4</f>
        <v>Panthers D/ST D/ST</v>
      </c>
      <c r="B5" s="33" t="str">
        <f t="shared" si="0"/>
        <v>Panthers</v>
      </c>
      <c r="C5" s="64" t="str">
        <f>VLOOKUP(B5,Settings!$K$2:$M$33,3,0)</f>
        <v>CAR</v>
      </c>
      <c r="D5" s="117">
        <f>VLOOKUP(VLOOKUP($B5,Settings!$K$2:$L$33,2,0),FFTodayData!$BH:$BS,3,0)</f>
        <v>48</v>
      </c>
      <c r="E5" s="33">
        <f>VLOOKUP(VLOOKUP($B5,Settings!$K$2:$L$33,2,0),FFTodayData!$BH:$BS,4,0)</f>
        <v>8</v>
      </c>
      <c r="F5" s="33">
        <f>VLOOKUP(VLOOKUP($B5,Settings!$K$2:$L$33,2,0),FFTodayData!$BH:$BS,5,0)</f>
        <v>16</v>
      </c>
      <c r="G5" s="33">
        <f>VLOOKUP(VLOOKUP($B5,Settings!$K$2:$L$33,2,0),FFTodayData!$BH:$BS,6,0)</f>
        <v>4</v>
      </c>
      <c r="H5" s="33">
        <f>VLOOKUP(VLOOKUP($B5,Settings!$K$2:$L$33,2,0),FFTodayData!$BH:$BS,10,0)</f>
        <v>0</v>
      </c>
      <c r="I5" s="64">
        <f>VLOOKUP(VLOOKUP($B5,Settings!$K$2:$L$33,2,0),FFTodayData!$BH:$BS,7,0)</f>
        <v>295</v>
      </c>
      <c r="J5" s="117">
        <f>ROUND(VLOOKUP($B5,SportslineData!$BC:$BM,6,0),0)</f>
        <v>49</v>
      </c>
      <c r="K5" s="33">
        <f>ROUND(VLOOKUP($B5,SportslineData!$BC:$BM,4,0),0)</f>
        <v>11</v>
      </c>
      <c r="L5" s="33">
        <f>ROUND(VLOOKUP($B5,SportslineData!$BC:$BM,3,0),0)</f>
        <v>16</v>
      </c>
      <c r="M5" s="33">
        <f>ROUND(VLOOKUP($B5,SportslineData!$BC:$BM,7,0),0)</f>
        <v>4</v>
      </c>
      <c r="N5" s="33">
        <f>ROUND(VLOOKUP($B5,SportslineData!$BC:$BM,8,0),0)</f>
        <v>1</v>
      </c>
      <c r="O5" s="64">
        <f>ROUND(VLOOKUP($B5,SportslineData!$BC:$BM,9,0),0)</f>
        <v>327</v>
      </c>
      <c r="P5" s="117"/>
      <c r="Q5" s="33"/>
      <c r="R5" s="38">
        <f>ROUND((((((((((((((D5*Settings!$F$20)+(E5*Settings!$I$23))+(F5*Settings!$F$23))+(G5*Settings!$I$20))+(H5*Settings!$F$24))+(AA5*Settings!$I$24))+(AB5*Settings!$F$25))+(AC5*Settings!$I$25))+(AD5*Settings!$F$26))+(AF5*Settings!$I$26))+(AG5*Settings!$F$27))+(AH5*Settings!$I$27))+(AI5*Settings!$F$28)),1)</f>
        <v>114</v>
      </c>
      <c r="S5" s="38">
        <f>IF(OR(ISERROR(ROUND(VLOOKUP(A5,ESPNData!$BN:$CA,14,0),1)),(A5="")),0,ROUND(VLOOKUP(A5,ESPNData!$BN:$CA,14,0),1))</f>
        <v>144</v>
      </c>
      <c r="T5" s="38">
        <f>ROUND((((((((((((((J5*Settings!$F$20)+(K5*Settings!$I$23))+(L5*Settings!$F$23))+(M5*Settings!$I$20))+(N5*Settings!$F$24))+(AO5*Settings!$I$24))+(AP5*Settings!$F$25))+(AQ5*Settings!$I$25))+(AR5*Settings!$F$26))+(AT5*Settings!$I$26))+(AU5*Settings!$F$27))+(AV5*Settings!$I$27))+(AW5*Settings!$F$28)),1)</f>
        <v>115</v>
      </c>
      <c r="U5" s="66">
        <f>ROUND((((R5*Settings!$B$21)+(S5*Settings!$B$22))+(T5*Settings!$B$23)),1)</f>
        <v>124.2</v>
      </c>
      <c r="V5" s="66">
        <f>IF(ISERROR(VLOOKUP(RANK(U5,U$4:U$182),V$4:V4,1,0)),RANK(U5,U$4:U$182),IF(ISERROR(VLOOKUP((RANK(U5,U$4:U$182)+1),V$4:V4,1,0)),(RANK(U5,U$4:U$182)+1),IF(ISERROR(VLOOKUP((RANK(U5,U$4:U$182)+2),V$4:V4,1,0)),(RANK(U5,U$4:U$182)+2),(RANK(U5,U$4:U$182)+3))))</f>
        <v>2</v>
      </c>
      <c r="W5" s="33" t="str">
        <f t="shared" si="1"/>
        <v>Panthers</v>
      </c>
      <c r="X5" s="33"/>
      <c r="Y5" s="33">
        <f t="shared" si="2"/>
        <v>18.4375</v>
      </c>
      <c r="Z5" s="131">
        <f t="shared" si="3"/>
        <v>2.0003009260129443</v>
      </c>
      <c r="AA5" s="33">
        <f t="shared" si="4"/>
        <v>0</v>
      </c>
      <c r="AB5" s="33">
        <f>ROUND((16*NORMDIST(AB$3,$Y5,$Z5,1)),0)-SUM($AA5:AA5)</f>
        <v>0</v>
      </c>
      <c r="AC5" s="33">
        <f>ROUND((16*NORMDIST(AC$3,$Y5,$Z5,1)),0)-SUM($AA5:AB5)</f>
        <v>0</v>
      </c>
      <c r="AD5" s="33">
        <f>ROUND((16*NORMDIST(AD$3,$Y5,$Z5,1)),0)-SUM($AA5:AC5)</f>
        <v>4</v>
      </c>
      <c r="AE5" s="33">
        <f>ROUND((16*NORMDIST(AE$3,$Y5,$Z5,1)),0)-SUM($AA5:AD5)</f>
        <v>10</v>
      </c>
      <c r="AF5" s="33">
        <f>ROUND((16*NORMDIST(AF$3,$Y5,$Z5,1)),0)-SUM($AA5:AE5)</f>
        <v>2</v>
      </c>
      <c r="AG5" s="33">
        <f>ROUND((16*NORMDIST(AG$3,$Y5,$Z5,1)),0)-SUM($AA5:AF5)</f>
        <v>0</v>
      </c>
      <c r="AH5" s="33">
        <f>ROUND((16*NORMDIST(AH$3,$Y5,$Z5,1)),0)-SUM($AA5:AG5)</f>
        <v>0</v>
      </c>
      <c r="AI5">
        <f t="shared" si="5"/>
        <v>0</v>
      </c>
      <c r="AK5" s="33">
        <f>(((((((AA5*Settings!$I$24)+(AB5*Settings!$F$25))+(AC5*Settings!$I$25))+(AD5*Settings!$F$26))+(AF5*Settings!$I$26))+(AG5*Settings!$F$27))+(AH5*Settings!$I$27))+(AI5*Settings!$F$28)</f>
        <v>2</v>
      </c>
      <c r="AM5" s="33">
        <f t="shared" si="6"/>
        <v>20.4375</v>
      </c>
      <c r="AN5" s="131">
        <f t="shared" si="7"/>
        <v>2.8005712751946787</v>
      </c>
      <c r="AO5" s="33">
        <f t="shared" si="8"/>
        <v>0</v>
      </c>
      <c r="AP5" s="33">
        <f>ROUND((16*NORMDIST(AP$3,$AM5,$AN5,1)),0)-SUM($AO5:AO5)</f>
        <v>0</v>
      </c>
      <c r="AQ5" s="33">
        <f>ROUND((16*NORMDIST(AQ$3,$AM5,$AN5,1)),0)-SUM($AO5:AP5)</f>
        <v>0</v>
      </c>
      <c r="AR5" s="33">
        <f>ROUND((16*NORMDIST(AR$3,$AM5,$AN5,1)),0)-SUM($AO5:AQ5)</f>
        <v>2</v>
      </c>
      <c r="AS5" s="33">
        <f>ROUND((16*NORMDIST(AS$3,$AM5,$AN5,1)),0)-SUM($AO5:AR5)</f>
        <v>7</v>
      </c>
      <c r="AT5" s="33">
        <f>ROUND((16*NORMDIST(AT$3,$AM5,$AN5,1)),0)-SUM($AO5:AS5)</f>
        <v>7</v>
      </c>
      <c r="AU5" s="33">
        <f>ROUND((16*NORMDIST(AU$3,$AM5,$AN5,1)),0)-SUM($AO5:AT5)</f>
        <v>0</v>
      </c>
      <c r="AV5" s="33">
        <f>ROUND((16*NORMDIST(AV$3,$AM5,$AN5,1)),0)-SUM($AO5:AU5)</f>
        <v>0</v>
      </c>
      <c r="AW5">
        <f t="shared" si="9"/>
        <v>0</v>
      </c>
      <c r="AY5" s="33">
        <f>(((((((AO5*Settings!$I$24)+(AP5*Settings!$F$25))+(AQ5*Settings!$I$25))+(AR5*Settings!$F$26))+(AT5*Settings!$I$26))+(AU5*Settings!$F$27))+(AV5*Settings!$I$27))+(AW5*Settings!$F$28)</f>
        <v>-5</v>
      </c>
    </row>
    <row r="6" spans="1:51" ht="12.75" customHeight="1">
      <c r="A6" s="33" t="str">
        <f>ESPNData!BN5</f>
        <v>49ers D/ST D/ST</v>
      </c>
      <c r="B6" s="33" t="str">
        <f t="shared" si="0"/>
        <v>49ers</v>
      </c>
      <c r="C6" s="64" t="str">
        <f>VLOOKUP(B6,Settings!$K$2:$M$33,3,0)</f>
        <v>SF</v>
      </c>
      <c r="D6" s="117">
        <f>VLOOKUP(VLOOKUP($B6,Settings!$K$2:$L$33,2,0),FFTodayData!$BH:$BS,3,0)</f>
        <v>38</v>
      </c>
      <c r="E6" s="33">
        <f>VLOOKUP(VLOOKUP($B6,Settings!$K$2:$L$33,2,0),FFTodayData!$BH:$BS,4,0)</f>
        <v>11</v>
      </c>
      <c r="F6" s="33">
        <f>VLOOKUP(VLOOKUP($B6,Settings!$K$2:$L$33,2,0),FFTodayData!$BH:$BS,5,0)</f>
        <v>17</v>
      </c>
      <c r="G6" s="33">
        <f>VLOOKUP(VLOOKUP($B6,Settings!$K$2:$L$33,2,0),FFTodayData!$BH:$BS,6,0)</f>
        <v>4</v>
      </c>
      <c r="H6" s="33">
        <f>VLOOKUP(VLOOKUP($B6,Settings!$K$2:$L$33,2,0),FFTodayData!$BH:$BS,10,0)</f>
        <v>1</v>
      </c>
      <c r="I6" s="64">
        <f>VLOOKUP(VLOOKUP($B6,Settings!$K$2:$L$33,2,0),FFTodayData!$BH:$BS,7,0)</f>
        <v>285</v>
      </c>
      <c r="J6" s="117">
        <f>ROUND(VLOOKUP($B6,SportslineData!$BC:$BM,6,0),0)</f>
        <v>37</v>
      </c>
      <c r="K6" s="33">
        <f>ROUND(VLOOKUP($B6,SportslineData!$BC:$BM,4,0),0)</f>
        <v>11</v>
      </c>
      <c r="L6" s="33">
        <f>ROUND(VLOOKUP($B6,SportslineData!$BC:$BM,3,0),0)</f>
        <v>16</v>
      </c>
      <c r="M6" s="33">
        <f>ROUND(VLOOKUP($B6,SportslineData!$BC:$BM,7,0),0)</f>
        <v>3</v>
      </c>
      <c r="N6" s="33">
        <f>ROUND(VLOOKUP($B6,SportslineData!$BC:$BM,8,0),0)</f>
        <v>1</v>
      </c>
      <c r="O6" s="64">
        <f>ROUND(VLOOKUP($B6,SportslineData!$BC:$BM,9,0),0)</f>
        <v>311</v>
      </c>
      <c r="P6" s="117"/>
      <c r="Q6" s="33"/>
      <c r="R6" s="38">
        <f>ROUND((((((((((((((D6*Settings!$F$20)+(E6*Settings!$I$23))+(F6*Settings!$F$23))+(G6*Settings!$I$20))+(H6*Settings!$F$24))+(AA6*Settings!$I$24))+(AB6*Settings!$F$25))+(AC6*Settings!$I$25))+(AD6*Settings!$F$26))+(AF6*Settings!$I$26))+(AG6*Settings!$F$27))+(AH6*Settings!$I$27))+(AI6*Settings!$F$28)),1)</f>
        <v>115</v>
      </c>
      <c r="S6" s="38">
        <f>IF(OR(ISERROR(ROUND(VLOOKUP(A6,ESPNData!$BN:$CA,14,0),1)),(A6="")),0,ROUND(VLOOKUP(A6,ESPNData!$BN:$CA,14,0),1))</f>
        <v>120</v>
      </c>
      <c r="T6" s="38">
        <f>ROUND((((((((((((((J6*Settings!$F$20)+(K6*Settings!$I$23))+(L6*Settings!$F$23))+(M6*Settings!$I$20))+(N6*Settings!$F$24))+(AO6*Settings!$I$24))+(AP6*Settings!$F$25))+(AQ6*Settings!$I$25))+(AR6*Settings!$F$26))+(AT6*Settings!$I$26))+(AU6*Settings!$F$27))+(AV6*Settings!$I$27))+(AW6*Settings!$F$28)),1)</f>
        <v>101</v>
      </c>
      <c r="U6" s="66">
        <f>ROUND((((R6*Settings!$B$21)+(S6*Settings!$B$22))+(T6*Settings!$B$23)),1)</f>
        <v>111.9</v>
      </c>
      <c r="V6" s="66">
        <f>IF(ISERROR(VLOOKUP(RANK(U6,U$4:U$182),V$4:V5,1,0)),RANK(U6,U$4:U$182),IF(ISERROR(VLOOKUP((RANK(U6,U$4:U$182)+1),V$4:V5,1,0)),(RANK(U6,U$4:U$182)+1),IF(ISERROR(VLOOKUP((RANK(U6,U$4:U$182)+2),V$4:V5,1,0)),(RANK(U6,U$4:U$182)+2),(RANK(U6,U$4:U$182)+3))))</f>
        <v>7</v>
      </c>
      <c r="W6" s="33" t="str">
        <f t="shared" si="1"/>
        <v>49ers</v>
      </c>
      <c r="X6" s="33"/>
      <c r="Y6" s="33">
        <f t="shared" si="2"/>
        <v>17.8125</v>
      </c>
      <c r="Z6" s="131">
        <f t="shared" si="3"/>
        <v>1.9324941149616579</v>
      </c>
      <c r="AA6" s="33">
        <f t="shared" si="4"/>
        <v>0</v>
      </c>
      <c r="AB6" s="33">
        <f>ROUND((16*NORMDIST(AB$3,$Y6,$Z6,1)),0)-SUM($AA6:AA6)</f>
        <v>0</v>
      </c>
      <c r="AC6" s="33">
        <f>ROUND((16*NORMDIST(AC$3,$Y6,$Z6,1)),0)-SUM($AA6:AB6)</f>
        <v>0</v>
      </c>
      <c r="AD6" s="33">
        <f>ROUND((16*NORMDIST(AD$3,$Y6,$Z6,1)),0)-SUM($AA6:AC6)</f>
        <v>5</v>
      </c>
      <c r="AE6" s="33">
        <f>ROUND((16*NORMDIST(AE$3,$Y6,$Z6,1)),0)-SUM($AA6:AD6)</f>
        <v>10</v>
      </c>
      <c r="AF6" s="33">
        <f>ROUND((16*NORMDIST(AF$3,$Y6,$Z6,1)),0)-SUM($AA6:AE6)</f>
        <v>1</v>
      </c>
      <c r="AG6" s="33">
        <f>ROUND((16*NORMDIST(AG$3,$Y6,$Z6,1)),0)-SUM($AA6:AF6)</f>
        <v>0</v>
      </c>
      <c r="AH6" s="33">
        <f>ROUND((16*NORMDIST(AH$3,$Y6,$Z6,1)),0)-SUM($AA6:AG6)</f>
        <v>0</v>
      </c>
      <c r="AI6">
        <f t="shared" si="5"/>
        <v>0</v>
      </c>
      <c r="AK6" s="33">
        <f>(((((((AA6*Settings!$I$24)+(AB6*Settings!$F$25))+(AC6*Settings!$I$25))+(AD6*Settings!$F$26))+(AF6*Settings!$I$26))+(AG6*Settings!$F$27))+(AH6*Settings!$I$27))+(AI6*Settings!$F$28)</f>
        <v>4</v>
      </c>
      <c r="AM6" s="33">
        <f t="shared" si="6"/>
        <v>19.4375</v>
      </c>
      <c r="AN6" s="131">
        <f t="shared" si="7"/>
        <v>2.6635402647876001</v>
      </c>
      <c r="AO6" s="33">
        <f t="shared" si="8"/>
        <v>0</v>
      </c>
      <c r="AP6" s="33">
        <f>ROUND((16*NORMDIST(AP$3,$AM6,$AN6,1)),0)-SUM($AO6:AO6)</f>
        <v>0</v>
      </c>
      <c r="AQ6" s="33">
        <f>ROUND((16*NORMDIST(AQ$3,$AM6,$AN6,1)),0)-SUM($AO6:AP6)</f>
        <v>0</v>
      </c>
      <c r="AR6" s="33">
        <f>ROUND((16*NORMDIST(AR$3,$AM6,$AN6,1)),0)-SUM($AO6:AQ6)</f>
        <v>3</v>
      </c>
      <c r="AS6" s="33">
        <f>ROUND((16*NORMDIST(AS$3,$AM6,$AN6,1)),0)-SUM($AO6:AR6)</f>
        <v>9</v>
      </c>
      <c r="AT6" s="33">
        <f>ROUND((16*NORMDIST(AT$3,$AM6,$AN6,1)),0)-SUM($AO6:AS6)</f>
        <v>4</v>
      </c>
      <c r="AU6" s="33">
        <f>ROUND((16*NORMDIST(AU$3,$AM6,$AN6,1)),0)-SUM($AO6:AT6)</f>
        <v>0</v>
      </c>
      <c r="AV6" s="33">
        <f>ROUND((16*NORMDIST(AV$3,$AM6,$AN6,1)),0)-SUM($AO6:AU6)</f>
        <v>0</v>
      </c>
      <c r="AW6">
        <f t="shared" si="9"/>
        <v>0</v>
      </c>
      <c r="AY6" s="33">
        <f>(((((((AO6*Settings!$I$24)+(AP6*Settings!$F$25))+(AQ6*Settings!$I$25))+(AR6*Settings!$F$26))+(AT6*Settings!$I$26))+(AU6*Settings!$F$27))+(AV6*Settings!$I$27))+(AW6*Settings!$F$28)</f>
        <v>-1</v>
      </c>
    </row>
    <row r="7" spans="1:51" ht="12.75" customHeight="1">
      <c r="A7" s="33" t="str">
        <f>ESPNData!BN6</f>
        <v>Broncos D/ST D/ST</v>
      </c>
      <c r="B7" s="33" t="str">
        <f t="shared" si="0"/>
        <v>Broncos</v>
      </c>
      <c r="C7" s="64" t="str">
        <f>VLOOKUP(B7,Settings!$K$2:$M$33,3,0)</f>
        <v>DEN</v>
      </c>
      <c r="D7" s="117">
        <f>VLOOKUP(VLOOKUP($B7,Settings!$K$2:$L$33,2,0),FFTodayData!$BH:$BS,3,0)</f>
        <v>46</v>
      </c>
      <c r="E7" s="33">
        <f>VLOOKUP(VLOOKUP($B7,Settings!$K$2:$L$33,2,0),FFTodayData!$BH:$BS,4,0)</f>
        <v>10</v>
      </c>
      <c r="F7" s="33">
        <f>VLOOKUP(VLOOKUP($B7,Settings!$K$2:$L$33,2,0),FFTodayData!$BH:$BS,5,0)</f>
        <v>14</v>
      </c>
      <c r="G7" s="33">
        <f>VLOOKUP(VLOOKUP($B7,Settings!$K$2:$L$33,2,0),FFTodayData!$BH:$BS,6,0)</f>
        <v>4</v>
      </c>
      <c r="H7" s="33">
        <f>VLOOKUP(VLOOKUP($B7,Settings!$K$2:$L$33,2,0),FFTodayData!$BH:$BS,10,0)</f>
        <v>1</v>
      </c>
      <c r="I7" s="64">
        <f>VLOOKUP(VLOOKUP($B7,Settings!$K$2:$L$33,2,0),FFTodayData!$BH:$BS,7,0)</f>
        <v>367</v>
      </c>
      <c r="J7" s="117">
        <f>ROUND(VLOOKUP($B7,SportslineData!$BC:$BM,6,0),0)</f>
        <v>47</v>
      </c>
      <c r="K7" s="33">
        <f>ROUND(VLOOKUP($B7,SportslineData!$BC:$BM,4,0),0)</f>
        <v>12</v>
      </c>
      <c r="L7" s="33">
        <f>ROUND(VLOOKUP($B7,SportslineData!$BC:$BM,3,0),0)</f>
        <v>17</v>
      </c>
      <c r="M7" s="33">
        <f>ROUND(VLOOKUP($B7,SportslineData!$BC:$BM,7,0),0)</f>
        <v>6</v>
      </c>
      <c r="N7" s="33">
        <f>ROUND(VLOOKUP($B7,SportslineData!$BC:$BM,8,0),0)</f>
        <v>2</v>
      </c>
      <c r="O7" s="64">
        <f>ROUND(VLOOKUP($B7,SportslineData!$BC:$BM,9,0),0)</f>
        <v>363</v>
      </c>
      <c r="P7" s="117"/>
      <c r="Q7" s="33"/>
      <c r="R7" s="38">
        <f>ROUND((((((((((((((D7*Settings!$F$20)+(E7*Settings!$I$23))+(F7*Settings!$F$23))+(G7*Settings!$I$20))+(H7*Settings!$F$24))+(AA7*Settings!$I$24))+(AB7*Settings!$F$25))+(AC7*Settings!$I$25))+(AD7*Settings!$F$26))+(AF7*Settings!$I$26))+(AG7*Settings!$F$27))+(AH7*Settings!$I$27))+(AI7*Settings!$F$28)),1)</f>
        <v>96</v>
      </c>
      <c r="S7" s="38">
        <f>IF(OR(ISERROR(ROUND(VLOOKUP(A7,ESPNData!$BN:$CA,14,0),1)),(A7="")),0,ROUND(VLOOKUP(A7,ESPNData!$BN:$CA,14,0),1))</f>
        <v>114</v>
      </c>
      <c r="T7" s="38">
        <f>ROUND((((((((((((((J7*Settings!$F$20)+(K7*Settings!$I$23))+(L7*Settings!$F$23))+(M7*Settings!$I$20))+(N7*Settings!$F$24))+(AO7*Settings!$I$24))+(AP7*Settings!$F$25))+(AQ7*Settings!$I$25))+(AR7*Settings!$F$26))+(AT7*Settings!$I$26))+(AU7*Settings!$F$27))+(AV7*Settings!$I$27))+(AW7*Settings!$F$28)),1)</f>
        <v>124</v>
      </c>
      <c r="U7" s="66">
        <f>ROUND((((R7*Settings!$B$21)+(S7*Settings!$B$22))+(T7*Settings!$B$23)),1)</f>
        <v>111.5</v>
      </c>
      <c r="V7" s="66">
        <f>IF(ISERROR(VLOOKUP(RANK(U7,U$4:U$182),V$4:V6,1,0)),RANK(U7,U$4:U$182),IF(ISERROR(VLOOKUP((RANK(U7,U$4:U$182)+1),V$4:V6,1,0)),(RANK(U7,U$4:U$182)+1),IF(ISERROR(VLOOKUP((RANK(U7,U$4:U$182)+2),V$4:V6,1,0)),(RANK(U7,U$4:U$182)+2),(RANK(U7,U$4:U$182)+3))))</f>
        <v>8</v>
      </c>
      <c r="W7" s="33" t="str">
        <f t="shared" si="1"/>
        <v>Broncos</v>
      </c>
      <c r="X7" s="33"/>
      <c r="Y7" s="33">
        <f t="shared" si="2"/>
        <v>22.9375</v>
      </c>
      <c r="Z7" s="131">
        <f t="shared" si="3"/>
        <v>2.4885099655822049</v>
      </c>
      <c r="AA7" s="33">
        <f t="shared" si="4"/>
        <v>0</v>
      </c>
      <c r="AB7" s="33">
        <f>ROUND((16*NORMDIST(AB$3,$Y7,$Z7,1)),0)-SUM($AA7:AA7)</f>
        <v>0</v>
      </c>
      <c r="AC7" s="33">
        <f>ROUND((16*NORMDIST(AC$3,$Y7,$Z7,1)),0)-SUM($AA7:AB7)</f>
        <v>0</v>
      </c>
      <c r="AD7" s="33">
        <f>ROUND((16*NORMDIST(AD$3,$Y7,$Z7,1)),0)-SUM($AA7:AC7)</f>
        <v>0</v>
      </c>
      <c r="AE7" s="33">
        <f>ROUND((16*NORMDIST(AE$3,$Y7,$Z7,1)),0)-SUM($AA7:AD7)</f>
        <v>3</v>
      </c>
      <c r="AF7" s="33">
        <f>ROUND((16*NORMDIST(AF$3,$Y7,$Z7,1)),0)-SUM($AA7:AE7)</f>
        <v>12</v>
      </c>
      <c r="AG7" s="33">
        <f>ROUND((16*NORMDIST(AG$3,$Y7,$Z7,1)),0)-SUM($AA7:AF7)</f>
        <v>1</v>
      </c>
      <c r="AH7" s="33">
        <f>ROUND((16*NORMDIST(AH$3,$Y7,$Z7,1)),0)-SUM($AA7:AG7)</f>
        <v>0</v>
      </c>
      <c r="AI7">
        <f t="shared" si="5"/>
        <v>0</v>
      </c>
      <c r="AK7" s="33">
        <f>(((((((AA7*Settings!$I$24)+(AB7*Settings!$F$25))+(AC7*Settings!$I$25))+(AD7*Settings!$F$26))+(AF7*Settings!$I$26))+(AG7*Settings!$F$27))+(AH7*Settings!$I$27))+(AI7*Settings!$F$28)</f>
        <v>-16</v>
      </c>
      <c r="AM7" s="33">
        <f t="shared" si="6"/>
        <v>22.6875</v>
      </c>
      <c r="AN7" s="131">
        <f t="shared" si="7"/>
        <v>3.1088910486106065</v>
      </c>
      <c r="AO7" s="33">
        <f t="shared" si="8"/>
        <v>0</v>
      </c>
      <c r="AP7" s="33">
        <f>ROUND((16*NORMDIST(AP$3,$AM7,$AN7,1)),0)-SUM($AO7:AO7)</f>
        <v>0</v>
      </c>
      <c r="AQ7" s="33">
        <f>ROUND((16*NORMDIST(AQ$3,$AM7,$AN7,1)),0)-SUM($AO7:AP7)</f>
        <v>0</v>
      </c>
      <c r="AR7" s="33">
        <f>ROUND((16*NORMDIST(AR$3,$AM7,$AN7,1)),0)-SUM($AO7:AQ7)</f>
        <v>1</v>
      </c>
      <c r="AS7" s="33">
        <f>ROUND((16*NORMDIST(AS$3,$AM7,$AN7,1)),0)-SUM($AO7:AR7)</f>
        <v>4</v>
      </c>
      <c r="AT7" s="33">
        <f>ROUND((16*NORMDIST(AT$3,$AM7,$AN7,1)),0)-SUM($AO7:AS7)</f>
        <v>10</v>
      </c>
      <c r="AU7" s="33">
        <f>ROUND((16*NORMDIST(AU$3,$AM7,$AN7,1)),0)-SUM($AO7:AT7)</f>
        <v>1</v>
      </c>
      <c r="AV7" s="33">
        <f>ROUND((16*NORMDIST(AV$3,$AM7,$AN7,1)),0)-SUM($AO7:AU7)</f>
        <v>0</v>
      </c>
      <c r="AW7">
        <f t="shared" si="9"/>
        <v>0</v>
      </c>
      <c r="AY7" s="33">
        <f>(((((((AO7*Settings!$I$24)+(AP7*Settings!$F$25))+(AQ7*Settings!$I$25))+(AR7*Settings!$F$26))+(AT7*Settings!$I$26))+(AU7*Settings!$F$27))+(AV7*Settings!$I$27))+(AW7*Settings!$F$28)</f>
        <v>-13</v>
      </c>
    </row>
    <row r="8" spans="1:51" ht="12.75" customHeight="1">
      <c r="A8" s="33" t="str">
        <f>ESPNData!BN7</f>
        <v>Cardinals D/ST D/ST</v>
      </c>
      <c r="B8" s="33" t="str">
        <f t="shared" si="0"/>
        <v>Cardinals</v>
      </c>
      <c r="C8" s="64" t="str">
        <f>VLOOKUP(B8,Settings!$K$2:$M$33,3,0)</f>
        <v>ARI</v>
      </c>
      <c r="D8" s="117">
        <f>VLOOKUP(VLOOKUP($B8,Settings!$K$2:$L$33,2,0),FFTodayData!$BH:$BS,3,0)</f>
        <v>45</v>
      </c>
      <c r="E8" s="33">
        <f>VLOOKUP(VLOOKUP($B8,Settings!$K$2:$L$33,2,0),FFTodayData!$BH:$BS,4,0)</f>
        <v>11</v>
      </c>
      <c r="F8" s="33">
        <f>VLOOKUP(VLOOKUP($B8,Settings!$K$2:$L$33,2,0),FFTodayData!$BH:$BS,5,0)</f>
        <v>18</v>
      </c>
      <c r="G8" s="33">
        <f>VLOOKUP(VLOOKUP($B8,Settings!$K$2:$L$33,2,0),FFTodayData!$BH:$BS,6,0)</f>
        <v>4</v>
      </c>
      <c r="H8" s="33">
        <f>VLOOKUP(VLOOKUP($B8,Settings!$K$2:$L$33,2,0),FFTodayData!$BH:$BS,10,0)</f>
        <v>1</v>
      </c>
      <c r="I8" s="64">
        <f>VLOOKUP(VLOOKUP($B8,Settings!$K$2:$L$33,2,0),FFTodayData!$BH:$BS,7,0)</f>
        <v>331</v>
      </c>
      <c r="J8" s="117">
        <f>ROUND(VLOOKUP($B8,SportslineData!$BC:$BM,6,0),0)</f>
        <v>42</v>
      </c>
      <c r="K8" s="33">
        <f>ROUND(VLOOKUP($B8,SportslineData!$BC:$BM,4,0),0)</f>
        <v>11</v>
      </c>
      <c r="L8" s="33">
        <f>ROUND(VLOOKUP($B8,SportslineData!$BC:$BM,3,0),0)</f>
        <v>19</v>
      </c>
      <c r="M8" s="33">
        <f>ROUND(VLOOKUP($B8,SportslineData!$BC:$BM,7,0),0)</f>
        <v>4</v>
      </c>
      <c r="N8" s="33">
        <f>ROUND(VLOOKUP($B8,SportslineData!$BC:$BM,8,0),0)</f>
        <v>1</v>
      </c>
      <c r="O8" s="64">
        <f>ROUND(VLOOKUP($B8,SportslineData!$BC:$BM,9,0),0)</f>
        <v>335</v>
      </c>
      <c r="P8" s="117"/>
      <c r="Q8" s="33"/>
      <c r="R8" s="38">
        <f>ROUND((((((((((((((D8*Settings!$F$20)+(E8*Settings!$I$23))+(F8*Settings!$F$23))+(G8*Settings!$I$20))+(H8*Settings!$F$24))+(AA8*Settings!$I$24))+(AB8*Settings!$F$25))+(AC8*Settings!$I$25))+(AD8*Settings!$F$26))+(AF8*Settings!$I$26))+(AG8*Settings!$F$27))+(AH8*Settings!$I$27))+(AI8*Settings!$F$28)),1)</f>
        <v>114</v>
      </c>
      <c r="S8" s="38">
        <f>IF(OR(ISERROR(ROUND(VLOOKUP(A8,ESPNData!$BN:$CA,14,0),1)),(A8="")),0,ROUND(VLOOKUP(A8,ESPNData!$BN:$CA,14,0),1))</f>
        <v>126</v>
      </c>
      <c r="T8" s="38">
        <f>ROUND((((((((((((((J8*Settings!$F$20)+(K8*Settings!$I$23))+(L8*Settings!$F$23))+(M8*Settings!$I$20))+(N8*Settings!$F$24))+(AO8*Settings!$I$24))+(AP8*Settings!$F$25))+(AQ8*Settings!$I$25))+(AR8*Settings!$F$26))+(AT8*Settings!$I$26))+(AU8*Settings!$F$27))+(AV8*Settings!$I$27))+(AW8*Settings!$F$28)),1)</f>
        <v>112</v>
      </c>
      <c r="U8" s="66">
        <f>ROUND((((R8*Settings!$B$21)+(S8*Settings!$B$22))+(T8*Settings!$B$23)),1)</f>
        <v>117.3</v>
      </c>
      <c r="V8" s="66">
        <f>IF(ISERROR(VLOOKUP(RANK(U8,U$4:U$182),V$4:V7,1,0)),RANK(U8,U$4:U$182),IF(ISERROR(VLOOKUP((RANK(U8,U$4:U$182)+1),V$4:V7,1,0)),(RANK(U8,U$4:U$182)+1),IF(ISERROR(VLOOKUP((RANK(U8,U$4:U$182)+2),V$4:V7,1,0)),(RANK(U8,U$4:U$182)+2),(RANK(U8,U$4:U$182)+3))))</f>
        <v>3</v>
      </c>
      <c r="W8" s="33" t="str">
        <f t="shared" si="1"/>
        <v>Cardinals</v>
      </c>
      <c r="X8" s="33"/>
      <c r="Y8" s="33">
        <f t="shared" si="2"/>
        <v>20.6875</v>
      </c>
      <c r="Z8" s="131">
        <f t="shared" si="3"/>
        <v>2.2444054457975744</v>
      </c>
      <c r="AA8" s="33">
        <f t="shared" si="4"/>
        <v>0</v>
      </c>
      <c r="AB8" s="33">
        <f>ROUND((16*NORMDIST(AB$3,$Y8,$Z8,1)),0)-SUM($AA8:AA8)</f>
        <v>0</v>
      </c>
      <c r="AC8" s="33">
        <f>ROUND((16*NORMDIST(AC$3,$Y8,$Z8,1)),0)-SUM($AA8:AB8)</f>
        <v>0</v>
      </c>
      <c r="AD8" s="33">
        <f>ROUND((16*NORMDIST(AD$3,$Y8,$Z8,1)),0)-SUM($AA8:AC8)</f>
        <v>1</v>
      </c>
      <c r="AE8" s="33">
        <f>ROUND((16*NORMDIST(AE$3,$Y8,$Z8,1)),0)-SUM($AA8:AD8)</f>
        <v>8</v>
      </c>
      <c r="AF8" s="33">
        <f>ROUND((16*NORMDIST(AF$3,$Y8,$Z8,1)),0)-SUM($AA8:AE8)</f>
        <v>7</v>
      </c>
      <c r="AG8" s="33">
        <f>ROUND((16*NORMDIST(AG$3,$Y8,$Z8,1)),0)-SUM($AA8:AF8)</f>
        <v>0</v>
      </c>
      <c r="AH8" s="33">
        <f>ROUND((16*NORMDIST(AH$3,$Y8,$Z8,1)),0)-SUM($AA8:AG8)</f>
        <v>0</v>
      </c>
      <c r="AI8">
        <f t="shared" si="5"/>
        <v>0</v>
      </c>
      <c r="AK8" s="33">
        <f>(((((((AA8*Settings!$I$24)+(AB8*Settings!$F$25))+(AC8*Settings!$I$25))+(AD8*Settings!$F$26))+(AF8*Settings!$I$26))+(AG8*Settings!$F$27))+(AH8*Settings!$I$27))+(AI8*Settings!$F$28)</f>
        <v>-6</v>
      </c>
      <c r="AM8" s="33">
        <f t="shared" si="6"/>
        <v>20.9375</v>
      </c>
      <c r="AN8" s="131">
        <f t="shared" si="7"/>
        <v>2.8690867803982187</v>
      </c>
      <c r="AO8" s="33">
        <f t="shared" si="8"/>
        <v>0</v>
      </c>
      <c r="AP8" s="33">
        <f>ROUND((16*NORMDIST(AP$3,$AM8,$AN8,1)),0)-SUM($AO8:AO8)</f>
        <v>0</v>
      </c>
      <c r="AQ8" s="33">
        <f>ROUND((16*NORMDIST(AQ$3,$AM8,$AN8,1)),0)-SUM($AO8:AP8)</f>
        <v>0</v>
      </c>
      <c r="AR8" s="33">
        <f>ROUND((16*NORMDIST(AR$3,$AM8,$AN8,1)),0)-SUM($AO8:AQ8)</f>
        <v>1</v>
      </c>
      <c r="AS8" s="33">
        <f>ROUND((16*NORMDIST(AS$3,$AM8,$AN8,1)),0)-SUM($AO8:AR8)</f>
        <v>7</v>
      </c>
      <c r="AT8" s="33">
        <f>ROUND((16*NORMDIST(AT$3,$AM8,$AN8,1)),0)-SUM($AO8:AS8)</f>
        <v>8</v>
      </c>
      <c r="AU8" s="33">
        <f>ROUND((16*NORMDIST(AU$3,$AM8,$AN8,1)),0)-SUM($AO8:AT8)</f>
        <v>0</v>
      </c>
      <c r="AV8" s="33">
        <f>ROUND((16*NORMDIST(AV$3,$AM8,$AN8,1)),0)-SUM($AO8:AU8)</f>
        <v>0</v>
      </c>
      <c r="AW8">
        <f t="shared" si="9"/>
        <v>0</v>
      </c>
      <c r="AY8" s="33">
        <f>(((((((AO8*Settings!$I$24)+(AP8*Settings!$F$25))+(AQ8*Settings!$I$25))+(AR8*Settings!$F$26))+(AT8*Settings!$I$26))+(AU8*Settings!$F$27))+(AV8*Settings!$I$27))+(AW8*Settings!$F$28)</f>
        <v>-7</v>
      </c>
    </row>
    <row r="9" spans="1:51" ht="12.75" customHeight="1">
      <c r="A9" s="33" t="str">
        <f>ESPNData!BN8</f>
        <v>Bengals D/ST D/ST</v>
      </c>
      <c r="B9" s="33" t="str">
        <f t="shared" si="0"/>
        <v>Bengals</v>
      </c>
      <c r="C9" s="64" t="str">
        <f>VLOOKUP(B9,Settings!$K$2:$M$33,3,0)</f>
        <v>CIN</v>
      </c>
      <c r="D9" s="117">
        <f>VLOOKUP(VLOOKUP($B9,Settings!$K$2:$L$33,2,0),FFTodayData!$BH:$BS,3,0)</f>
        <v>48</v>
      </c>
      <c r="E9" s="33">
        <f>VLOOKUP(VLOOKUP($B9,Settings!$K$2:$L$33,2,0),FFTodayData!$BH:$BS,4,0)</f>
        <v>11</v>
      </c>
      <c r="F9" s="33">
        <f>VLOOKUP(VLOOKUP($B9,Settings!$K$2:$L$33,2,0),FFTodayData!$BH:$BS,5,0)</f>
        <v>18</v>
      </c>
      <c r="G9" s="33">
        <f>VLOOKUP(VLOOKUP($B9,Settings!$K$2:$L$33,2,0),FFTodayData!$BH:$BS,6,0)</f>
        <v>4</v>
      </c>
      <c r="H9" s="33">
        <f>VLOOKUP(VLOOKUP($B9,Settings!$K$2:$L$33,2,0),FFTodayData!$BH:$BS,10,0)</f>
        <v>1</v>
      </c>
      <c r="I9" s="64">
        <f>VLOOKUP(VLOOKUP($B9,Settings!$K$2:$L$33,2,0),FFTodayData!$BH:$BS,7,0)</f>
        <v>294</v>
      </c>
      <c r="J9" s="117">
        <f>ROUND(VLOOKUP($B9,SportslineData!$BC:$BM,6,0),0)</f>
        <v>39</v>
      </c>
      <c r="K9" s="33">
        <f>ROUND(VLOOKUP($B9,SportslineData!$BC:$BM,4,0),0)</f>
        <v>11</v>
      </c>
      <c r="L9" s="33">
        <f>ROUND(VLOOKUP($B9,SportslineData!$BC:$BM,3,0),0)</f>
        <v>18</v>
      </c>
      <c r="M9" s="33">
        <f>ROUND(VLOOKUP($B9,SportslineData!$BC:$BM,7,0),0)</f>
        <v>4</v>
      </c>
      <c r="N9" s="33">
        <f>ROUND(VLOOKUP($B9,SportslineData!$BC:$BM,8,0),0)</f>
        <v>1</v>
      </c>
      <c r="O9" s="64">
        <f>ROUND(VLOOKUP($B9,SportslineData!$BC:$BM,9,0),0)</f>
        <v>354</v>
      </c>
      <c r="P9" s="117"/>
      <c r="Q9" s="33"/>
      <c r="R9" s="38">
        <f>ROUND((((((((((((((D9*Settings!$F$20)+(E9*Settings!$I$23))+(F9*Settings!$F$23))+(G9*Settings!$I$20))+(H9*Settings!$F$24))+(AA9*Settings!$I$24))+(AB9*Settings!$F$25))+(AC9*Settings!$I$25))+(AD9*Settings!$F$26))+(AF9*Settings!$I$26))+(AG9*Settings!$F$27))+(AH9*Settings!$I$27))+(AI9*Settings!$F$28)),1)</f>
        <v>125</v>
      </c>
      <c r="S9" s="38">
        <f>IF(OR(ISERROR(ROUND(VLOOKUP(A9,ESPNData!$BN:$CA,14,0),1)),(A9="")),0,ROUND(VLOOKUP(A9,ESPNData!$BN:$CA,14,0),1))</f>
        <v>114</v>
      </c>
      <c r="T9" s="38">
        <f>ROUND((((((((((((((J9*Settings!$F$20)+(K9*Settings!$I$23))+(L9*Settings!$F$23))+(M9*Settings!$I$20))+(N9*Settings!$F$24))+(AO9*Settings!$I$24))+(AP9*Settings!$F$25))+(AQ9*Settings!$I$25))+(AR9*Settings!$F$26))+(AT9*Settings!$I$26))+(AU9*Settings!$F$27))+(AV9*Settings!$I$27))+(AW9*Settings!$F$28)),1)</f>
        <v>102</v>
      </c>
      <c r="U9" s="66">
        <f>ROUND((((R9*Settings!$B$21)+(S9*Settings!$B$22))+(T9*Settings!$B$23)),1)</f>
        <v>113.6</v>
      </c>
      <c r="V9" s="66">
        <f>IF(ISERROR(VLOOKUP(RANK(U9,U$4:U$182),V$4:V8,1,0)),RANK(U9,U$4:U$182),IF(ISERROR(VLOOKUP((RANK(U9,U$4:U$182)+1),V$4:V8,1,0)),(RANK(U9,U$4:U$182)+1),IF(ISERROR(VLOOKUP((RANK(U9,U$4:U$182)+2),V$4:V8,1,0)),(RANK(U9,U$4:U$182)+2),(RANK(U9,U$4:U$182)+3))))</f>
        <v>5</v>
      </c>
      <c r="W9" s="33" t="str">
        <f t="shared" si="1"/>
        <v>Bengals</v>
      </c>
      <c r="X9" s="33"/>
      <c r="Y9" s="33">
        <f t="shared" si="2"/>
        <v>18.375</v>
      </c>
      <c r="Z9" s="131">
        <f t="shared" si="3"/>
        <v>1.9935202449078153</v>
      </c>
      <c r="AA9" s="33">
        <f t="shared" si="4"/>
        <v>0</v>
      </c>
      <c r="AB9" s="33">
        <f>ROUND((16*NORMDIST(AB$3,$Y9,$Z9,1)),0)-SUM($AA9:AA9)</f>
        <v>0</v>
      </c>
      <c r="AC9" s="33">
        <f>ROUND((16*NORMDIST(AC$3,$Y9,$Z9,1)),0)-SUM($AA9:AB9)</f>
        <v>0</v>
      </c>
      <c r="AD9" s="33">
        <f>ROUND((16*NORMDIST(AD$3,$Y9,$Z9,1)),0)-SUM($AA9:AC9)</f>
        <v>4</v>
      </c>
      <c r="AE9" s="33">
        <f>ROUND((16*NORMDIST(AE$3,$Y9,$Z9,1)),0)-SUM($AA9:AD9)</f>
        <v>10</v>
      </c>
      <c r="AF9" s="33">
        <f>ROUND((16*NORMDIST(AF$3,$Y9,$Z9,1)),0)-SUM($AA9:AE9)</f>
        <v>2</v>
      </c>
      <c r="AG9" s="33">
        <f>ROUND((16*NORMDIST(AG$3,$Y9,$Z9,1)),0)-SUM($AA9:AF9)</f>
        <v>0</v>
      </c>
      <c r="AH9" s="33">
        <f>ROUND((16*NORMDIST(AH$3,$Y9,$Z9,1)),0)-SUM($AA9:AG9)</f>
        <v>0</v>
      </c>
      <c r="AI9">
        <f t="shared" si="5"/>
        <v>0</v>
      </c>
      <c r="AK9" s="33">
        <f>(((((((AA9*Settings!$I$24)+(AB9*Settings!$F$25))+(AC9*Settings!$I$25))+(AD9*Settings!$F$26))+(AF9*Settings!$I$26))+(AG9*Settings!$F$27))+(AH9*Settings!$I$27))+(AI9*Settings!$F$28)</f>
        <v>2</v>
      </c>
      <c r="AM9" s="33">
        <f t="shared" si="6"/>
        <v>22.125</v>
      </c>
      <c r="AN9" s="131">
        <f t="shared" si="7"/>
        <v>3.031811105256625</v>
      </c>
      <c r="AO9" s="33">
        <f t="shared" si="8"/>
        <v>0</v>
      </c>
      <c r="AP9" s="33">
        <f>ROUND((16*NORMDIST(AP$3,$AM9,$AN9,1)),0)-SUM($AO9:AO9)</f>
        <v>0</v>
      </c>
      <c r="AQ9" s="33">
        <f>ROUND((16*NORMDIST(AQ$3,$AM9,$AN9,1)),0)-SUM($AO9:AP9)</f>
        <v>0</v>
      </c>
      <c r="AR9" s="33">
        <f>ROUND((16*NORMDIST(AR$3,$AM9,$AN9,1)),0)-SUM($AO9:AQ9)</f>
        <v>1</v>
      </c>
      <c r="AS9" s="33">
        <f>ROUND((16*NORMDIST(AS$3,$AM9,$AN9,1)),0)-SUM($AO9:AR9)</f>
        <v>5</v>
      </c>
      <c r="AT9" s="33">
        <f>ROUND((16*NORMDIST(AT$3,$AM9,$AN9,1)),0)-SUM($AO9:AS9)</f>
        <v>9</v>
      </c>
      <c r="AU9" s="33">
        <f>ROUND((16*NORMDIST(AU$3,$AM9,$AN9,1)),0)-SUM($AO9:AT9)</f>
        <v>1</v>
      </c>
      <c r="AV9" s="33">
        <f>ROUND((16*NORMDIST(AV$3,$AM9,$AN9,1)),0)-SUM($AO9:AU9)</f>
        <v>0</v>
      </c>
      <c r="AW9">
        <f t="shared" si="9"/>
        <v>0</v>
      </c>
      <c r="AY9" s="33">
        <f>(((((((AO9*Settings!$I$24)+(AP9*Settings!$F$25))+(AQ9*Settings!$I$25))+(AR9*Settings!$F$26))+(AT9*Settings!$I$26))+(AU9*Settings!$F$27))+(AV9*Settings!$I$27))+(AW9*Settings!$F$28)</f>
        <v>-12</v>
      </c>
    </row>
    <row r="10" spans="1:51" ht="12.75" customHeight="1">
      <c r="A10" s="33" t="str">
        <f>ESPNData!BN9</f>
        <v>Rams D/ST D/ST</v>
      </c>
      <c r="B10" s="33" t="str">
        <f t="shared" si="0"/>
        <v>Rams</v>
      </c>
      <c r="C10" s="64" t="str">
        <f>VLOOKUP(B10,Settings!$K$2:$M$33,3,0)</f>
        <v>STL</v>
      </c>
      <c r="D10" s="117">
        <f>VLOOKUP(VLOOKUP($B10,Settings!$K$2:$L$33,2,0),FFTodayData!$BH:$BS,3,0)</f>
        <v>51</v>
      </c>
      <c r="E10" s="33">
        <f>VLOOKUP(VLOOKUP($B10,Settings!$K$2:$L$33,2,0),FFTodayData!$BH:$BS,4,0)</f>
        <v>11</v>
      </c>
      <c r="F10" s="33">
        <f>VLOOKUP(VLOOKUP($B10,Settings!$K$2:$L$33,2,0),FFTodayData!$BH:$BS,5,0)</f>
        <v>13</v>
      </c>
      <c r="G10" s="33">
        <f>VLOOKUP(VLOOKUP($B10,Settings!$K$2:$L$33,2,0),FFTodayData!$BH:$BS,6,0)</f>
        <v>4</v>
      </c>
      <c r="H10" s="33">
        <f>VLOOKUP(VLOOKUP($B10,Settings!$K$2:$L$33,2,0),FFTodayData!$BH:$BS,10,0)</f>
        <v>1</v>
      </c>
      <c r="I10" s="64">
        <f>VLOOKUP(VLOOKUP($B10,Settings!$K$2:$L$33,2,0),FFTodayData!$BH:$BS,7,0)</f>
        <v>359</v>
      </c>
      <c r="J10" s="117">
        <f>ROUND(VLOOKUP($B10,SportslineData!$BC:$BM,6,0),0)</f>
        <v>50</v>
      </c>
      <c r="K10" s="33">
        <f>ROUND(VLOOKUP($B10,SportslineData!$BC:$BM,4,0),0)</f>
        <v>13</v>
      </c>
      <c r="L10" s="33">
        <f>ROUND(VLOOKUP($B10,SportslineData!$BC:$BM,3,0),0)</f>
        <v>18</v>
      </c>
      <c r="M10" s="33">
        <f>ROUND(VLOOKUP($B10,SportslineData!$BC:$BM,7,0),0)</f>
        <v>5</v>
      </c>
      <c r="N10" s="33">
        <f>ROUND(VLOOKUP($B10,SportslineData!$BC:$BM,8,0),0)</f>
        <v>2</v>
      </c>
      <c r="O10" s="64">
        <f>ROUND(VLOOKUP($B10,SportslineData!$BC:$BM,9,0),0)</f>
        <v>361</v>
      </c>
      <c r="P10" s="117"/>
      <c r="Q10" s="33"/>
      <c r="R10" s="38">
        <f>ROUND((((((((((((((D10*Settings!$F$20)+(E10*Settings!$I$23))+(F10*Settings!$F$23))+(G10*Settings!$I$20))+(H10*Settings!$F$24))+(AA10*Settings!$I$24))+(AB10*Settings!$F$25))+(AC10*Settings!$I$25))+(AD10*Settings!$F$26))+(AF10*Settings!$I$26))+(AG10*Settings!$F$27))+(AH10*Settings!$I$27))+(AI10*Settings!$F$28)),1)</f>
        <v>104</v>
      </c>
      <c r="S10" s="38">
        <f>IF(OR(ISERROR(ROUND(VLOOKUP(A10,ESPNData!$BN:$CA,14,0),1)),(A10="")),0,ROUND(VLOOKUP(A10,ESPNData!$BN:$CA,14,0),1))</f>
        <v>111</v>
      </c>
      <c r="T10" s="38">
        <f>ROUND((((((((((((((J10*Settings!$F$20)+(K10*Settings!$I$23))+(L10*Settings!$F$23))+(M10*Settings!$I$20))+(N10*Settings!$F$24))+(AO10*Settings!$I$24))+(AP10*Settings!$F$25))+(AQ10*Settings!$I$25))+(AR10*Settings!$F$26))+(AT10*Settings!$I$26))+(AU10*Settings!$F$27))+(AV10*Settings!$I$27))+(AW10*Settings!$F$28)),1)</f>
        <v>124</v>
      </c>
      <c r="U10" s="66">
        <f>ROUND((((R10*Settings!$B$21)+(S10*Settings!$B$22))+(T10*Settings!$B$23)),1)</f>
        <v>113.1</v>
      </c>
      <c r="V10" s="66">
        <f>IF(ISERROR(VLOOKUP(RANK(U10,U$4:U$182),V$4:V9,1,0)),RANK(U10,U$4:U$182),IF(ISERROR(VLOOKUP((RANK(U10,U$4:U$182)+1),V$4:V9,1,0)),(RANK(U10,U$4:U$182)+1),IF(ISERROR(VLOOKUP((RANK(U10,U$4:U$182)+2),V$4:V9,1,0)),(RANK(U10,U$4:U$182)+2),(RANK(U10,U$4:U$182)+3))))</f>
        <v>6</v>
      </c>
      <c r="W10" s="33" t="str">
        <f t="shared" si="1"/>
        <v>Rams</v>
      </c>
      <c r="X10" s="33"/>
      <c r="Y10" s="33">
        <f t="shared" si="2"/>
        <v>22.4375</v>
      </c>
      <c r="Z10" s="131">
        <f t="shared" si="3"/>
        <v>2.4342645167411763</v>
      </c>
      <c r="AA10" s="33">
        <f t="shared" si="4"/>
        <v>0</v>
      </c>
      <c r="AB10" s="33">
        <f>ROUND((16*NORMDIST(AB$3,$Y10,$Z10,1)),0)-SUM($AA10:AA10)</f>
        <v>0</v>
      </c>
      <c r="AC10" s="33">
        <f>ROUND((16*NORMDIST(AC$3,$Y10,$Z10,1)),0)-SUM($AA10:AB10)</f>
        <v>0</v>
      </c>
      <c r="AD10" s="33">
        <f>ROUND((16*NORMDIST(AD$3,$Y10,$Z10,1)),0)-SUM($AA10:AC10)</f>
        <v>0</v>
      </c>
      <c r="AE10" s="33">
        <f>ROUND((16*NORMDIST(AE$3,$Y10,$Z10,1)),0)-SUM($AA10:AD10)</f>
        <v>4</v>
      </c>
      <c r="AF10" s="33">
        <f>ROUND((16*NORMDIST(AF$3,$Y10,$Z10,1)),0)-SUM($AA10:AE10)</f>
        <v>12</v>
      </c>
      <c r="AG10" s="33">
        <f>ROUND((16*NORMDIST(AG$3,$Y10,$Z10,1)),0)-SUM($AA10:AF10)</f>
        <v>0</v>
      </c>
      <c r="AH10" s="33">
        <f>ROUND((16*NORMDIST(AH$3,$Y10,$Z10,1)),0)-SUM($AA10:AG10)</f>
        <v>0</v>
      </c>
      <c r="AI10">
        <f t="shared" si="5"/>
        <v>0</v>
      </c>
      <c r="AK10" s="33">
        <f>(((((((AA10*Settings!$I$24)+(AB10*Settings!$F$25))+(AC10*Settings!$I$25))+(AD10*Settings!$F$26))+(AF10*Settings!$I$26))+(AG10*Settings!$F$27))+(AH10*Settings!$I$27))+(AI10*Settings!$F$28)</f>
        <v>-12</v>
      </c>
      <c r="AM10" s="33">
        <f t="shared" si="6"/>
        <v>22.5625</v>
      </c>
      <c r="AN10" s="131">
        <f t="shared" si="7"/>
        <v>3.0917621723097217</v>
      </c>
      <c r="AO10" s="33">
        <f t="shared" si="8"/>
        <v>0</v>
      </c>
      <c r="AP10" s="33">
        <f>ROUND((16*NORMDIST(AP$3,$AM10,$AN10,1)),0)-SUM($AO10:AO10)</f>
        <v>0</v>
      </c>
      <c r="AQ10" s="33">
        <f>ROUND((16*NORMDIST(AQ$3,$AM10,$AN10,1)),0)-SUM($AO10:AP10)</f>
        <v>0</v>
      </c>
      <c r="AR10" s="33">
        <f>ROUND((16*NORMDIST(AR$3,$AM10,$AN10,1)),0)-SUM($AO10:AQ10)</f>
        <v>1</v>
      </c>
      <c r="AS10" s="33">
        <f>ROUND((16*NORMDIST(AS$3,$AM10,$AN10,1)),0)-SUM($AO10:AR10)</f>
        <v>4</v>
      </c>
      <c r="AT10" s="33">
        <f>ROUND((16*NORMDIST(AT$3,$AM10,$AN10,1)),0)-SUM($AO10:AS10)</f>
        <v>10</v>
      </c>
      <c r="AU10" s="33">
        <f>ROUND((16*NORMDIST(AU$3,$AM10,$AN10,1)),0)-SUM($AO10:AT10)</f>
        <v>1</v>
      </c>
      <c r="AV10" s="33">
        <f>ROUND((16*NORMDIST(AV$3,$AM10,$AN10,1)),0)-SUM($AO10:AU10)</f>
        <v>0</v>
      </c>
      <c r="AW10">
        <f t="shared" si="9"/>
        <v>0</v>
      </c>
      <c r="AY10" s="33">
        <f>(((((((AO10*Settings!$I$24)+(AP10*Settings!$F$25))+(AQ10*Settings!$I$25))+(AR10*Settings!$F$26))+(AT10*Settings!$I$26))+(AU10*Settings!$F$27))+(AV10*Settings!$I$27))+(AW10*Settings!$F$28)</f>
        <v>-13</v>
      </c>
    </row>
    <row r="11" spans="1:51" ht="12.75" customHeight="1">
      <c r="A11" s="33" t="str">
        <f>ESPNData!BN10</f>
        <v>Chiefs D/ST D/ST</v>
      </c>
      <c r="B11" s="33" t="str">
        <f t="shared" si="0"/>
        <v>Chiefs</v>
      </c>
      <c r="C11" s="64" t="str">
        <f>VLOOKUP(B11,Settings!$K$2:$M$33,3,0)</f>
        <v>KC</v>
      </c>
      <c r="D11" s="117">
        <f>VLOOKUP(VLOOKUP($B11,Settings!$K$2:$L$33,2,0),FFTodayData!$BH:$BS,3,0)</f>
        <v>40</v>
      </c>
      <c r="E11" s="33">
        <f>VLOOKUP(VLOOKUP($B11,Settings!$K$2:$L$33,2,0),FFTodayData!$BH:$BS,4,0)</f>
        <v>9</v>
      </c>
      <c r="F11" s="33">
        <f>VLOOKUP(VLOOKUP($B11,Settings!$K$2:$L$33,2,0),FFTodayData!$BH:$BS,5,0)</f>
        <v>13</v>
      </c>
      <c r="G11" s="33">
        <f>VLOOKUP(VLOOKUP($B11,Settings!$K$2:$L$33,2,0),FFTodayData!$BH:$BS,6,0)</f>
        <v>3</v>
      </c>
      <c r="H11" s="33">
        <f>VLOOKUP(VLOOKUP($B11,Settings!$K$2:$L$33,2,0),FFTodayData!$BH:$BS,10,0)</f>
        <v>0</v>
      </c>
      <c r="I11" s="64">
        <f>VLOOKUP(VLOOKUP($B11,Settings!$K$2:$L$33,2,0),FFTodayData!$BH:$BS,7,0)</f>
        <v>387</v>
      </c>
      <c r="J11" s="117">
        <f>ROUND(VLOOKUP($B11,SportslineData!$BC:$BM,6,0),0)</f>
        <v>43</v>
      </c>
      <c r="K11" s="33">
        <f>ROUND(VLOOKUP($B11,SportslineData!$BC:$BM,4,0),0)</f>
        <v>10</v>
      </c>
      <c r="L11" s="33">
        <f>ROUND(VLOOKUP($B11,SportslineData!$BC:$BM,3,0),0)</f>
        <v>17</v>
      </c>
      <c r="M11" s="33">
        <f>ROUND(VLOOKUP($B11,SportslineData!$BC:$BM,7,0),0)</f>
        <v>6</v>
      </c>
      <c r="N11" s="33">
        <f>ROUND(VLOOKUP($B11,SportslineData!$BC:$BM,8,0),0)</f>
        <v>1</v>
      </c>
      <c r="O11" s="64">
        <f>ROUND(VLOOKUP($B11,SportslineData!$BC:$BM,9,0),0)</f>
        <v>365</v>
      </c>
      <c r="P11" s="117"/>
      <c r="Q11" s="33"/>
      <c r="R11" s="38">
        <f>ROUND((((((((((((((D11*Settings!$F$20)+(E11*Settings!$I$23))+(F11*Settings!$F$23))+(G11*Settings!$I$20))+(H11*Settings!$F$24))+(AA11*Settings!$I$24))+(AB11*Settings!$F$25))+(AC11*Settings!$I$25))+(AD11*Settings!$F$26))+(AF11*Settings!$I$26))+(AG11*Settings!$F$27))+(AH11*Settings!$I$27))+(AI11*Settings!$F$28)),1)</f>
        <v>73</v>
      </c>
      <c r="S11" s="38">
        <f>IF(OR(ISERROR(ROUND(VLOOKUP(A11,ESPNData!$BN:$CA,14,0),1)),(A11="")),0,ROUND(VLOOKUP(A11,ESPNData!$BN:$CA,14,0),1))</f>
        <v>123</v>
      </c>
      <c r="T11" s="38">
        <f>ROUND((((((((((((((J11*Settings!$F$20)+(K11*Settings!$I$23))+(L11*Settings!$F$23))+(M11*Settings!$I$20))+(N11*Settings!$F$24))+(AO11*Settings!$I$24))+(AP11*Settings!$F$25))+(AQ11*Settings!$I$25))+(AR11*Settings!$F$26))+(AT11*Settings!$I$26))+(AU11*Settings!$F$27))+(AV11*Settings!$I$27))+(AW11*Settings!$F$28)),1)</f>
        <v>113</v>
      </c>
      <c r="U11" s="66">
        <f>ROUND((((R11*Settings!$B$21)+(S11*Settings!$B$22))+(T11*Settings!$B$23)),1)</f>
        <v>103.1</v>
      </c>
      <c r="V11" s="66">
        <f>IF(ISERROR(VLOOKUP(RANK(U11,U$4:U$182),V$4:V10,1,0)),RANK(U11,U$4:U$182),IF(ISERROR(VLOOKUP((RANK(U11,U$4:U$182)+1),V$4:V10,1,0)),(RANK(U11,U$4:U$182)+1),IF(ISERROR(VLOOKUP((RANK(U11,U$4:U$182)+2),V$4:V10,1,0)),(RANK(U11,U$4:U$182)+2),(RANK(U11,U$4:U$182)+3))))</f>
        <v>9</v>
      </c>
      <c r="W11" s="33" t="str">
        <f t="shared" si="1"/>
        <v>Chiefs</v>
      </c>
      <c r="X11" s="33"/>
      <c r="Y11" s="33">
        <f t="shared" si="2"/>
        <v>24.1875</v>
      </c>
      <c r="Z11" s="131">
        <f t="shared" si="3"/>
        <v>2.6241235876847777</v>
      </c>
      <c r="AA11" s="33">
        <f t="shared" si="4"/>
        <v>0</v>
      </c>
      <c r="AB11" s="33">
        <f>ROUND((16*NORMDIST(AB$3,$Y11,$Z11,1)),0)-SUM($AA11:AA11)</f>
        <v>0</v>
      </c>
      <c r="AC11" s="33">
        <f>ROUND((16*NORMDIST(AC$3,$Y11,$Z11,1)),0)-SUM($AA11:AB11)</f>
        <v>0</v>
      </c>
      <c r="AD11" s="33">
        <f>ROUND((16*NORMDIST(AD$3,$Y11,$Z11,1)),0)-SUM($AA11:AC11)</f>
        <v>0</v>
      </c>
      <c r="AE11" s="33">
        <f>ROUND((16*NORMDIST(AE$3,$Y11,$Z11,1)),0)-SUM($AA11:AD11)</f>
        <v>2</v>
      </c>
      <c r="AF11" s="33">
        <f>ROUND((16*NORMDIST(AF$3,$Y11,$Z11,1)),0)-SUM($AA11:AE11)</f>
        <v>12</v>
      </c>
      <c r="AG11" s="33">
        <f>ROUND((16*NORMDIST(AG$3,$Y11,$Z11,1)),0)-SUM($AA11:AF11)</f>
        <v>2</v>
      </c>
      <c r="AH11" s="33">
        <f>ROUND((16*NORMDIST(AH$3,$Y11,$Z11,1)),0)-SUM($AA11:AG11)</f>
        <v>0</v>
      </c>
      <c r="AI11">
        <f t="shared" si="5"/>
        <v>0</v>
      </c>
      <c r="AK11" s="33">
        <f>(((((((AA11*Settings!$I$24)+(AB11*Settings!$F$25))+(AC11*Settings!$I$25))+(AD11*Settings!$F$26))+(AF11*Settings!$I$26))+(AG11*Settings!$F$27))+(AH11*Settings!$I$27))+(AI11*Settings!$F$28)</f>
        <v>-20</v>
      </c>
      <c r="AM11" s="33">
        <f t="shared" si="6"/>
        <v>22.8125</v>
      </c>
      <c r="AN11" s="131">
        <f t="shared" si="7"/>
        <v>3.1260199249114917</v>
      </c>
      <c r="AO11" s="33">
        <f t="shared" si="8"/>
        <v>0</v>
      </c>
      <c r="AP11" s="33">
        <f>ROUND((16*NORMDIST(AP$3,$AM11,$AN11,1)),0)-SUM($AO11:AO11)</f>
        <v>0</v>
      </c>
      <c r="AQ11" s="33">
        <f>ROUND((16*NORMDIST(AQ$3,$AM11,$AN11,1)),0)-SUM($AO11:AP11)</f>
        <v>0</v>
      </c>
      <c r="AR11" s="33">
        <f>ROUND((16*NORMDIST(AR$3,$AM11,$AN11,1)),0)-SUM($AO11:AQ11)</f>
        <v>1</v>
      </c>
      <c r="AS11" s="33">
        <f>ROUND((16*NORMDIST(AS$3,$AM11,$AN11,1)),0)-SUM($AO11:AR11)</f>
        <v>3</v>
      </c>
      <c r="AT11" s="33">
        <f>ROUND((16*NORMDIST(AT$3,$AM11,$AN11,1)),0)-SUM($AO11:AS11)</f>
        <v>11</v>
      </c>
      <c r="AU11" s="33">
        <f>ROUND((16*NORMDIST(AU$3,$AM11,$AN11,1)),0)-SUM($AO11:AT11)</f>
        <v>1</v>
      </c>
      <c r="AV11" s="33">
        <f>ROUND((16*NORMDIST(AV$3,$AM11,$AN11,1)),0)-SUM($AO11:AU11)</f>
        <v>0</v>
      </c>
      <c r="AW11">
        <f t="shared" si="9"/>
        <v>0</v>
      </c>
      <c r="AY11" s="33">
        <f>(((((((AO11*Settings!$I$24)+(AP11*Settings!$F$25))+(AQ11*Settings!$I$25))+(AR11*Settings!$F$26))+(AT11*Settings!$I$26))+(AU11*Settings!$F$27))+(AV11*Settings!$I$27))+(AW11*Settings!$F$28)</f>
        <v>-14</v>
      </c>
    </row>
    <row r="12" spans="1:51" ht="12.75" customHeight="1">
      <c r="A12" s="33" t="str">
        <f>ESPNData!BN11</f>
        <v>Patriots D/ST D/ST</v>
      </c>
      <c r="B12" s="33" t="str">
        <f t="shared" si="0"/>
        <v>Patriots</v>
      </c>
      <c r="C12" s="64" t="str">
        <f>VLOOKUP(B12,Settings!$K$2:$M$33,3,0)</f>
        <v>NE</v>
      </c>
      <c r="D12" s="117">
        <f>VLOOKUP(VLOOKUP($B12,Settings!$K$2:$L$33,2,0),FFTodayData!$BH:$BS,3,0)</f>
        <v>45</v>
      </c>
      <c r="E12" s="33">
        <f>VLOOKUP(VLOOKUP($B12,Settings!$K$2:$L$33,2,0),FFTodayData!$BH:$BS,4,0)</f>
        <v>12</v>
      </c>
      <c r="F12" s="33">
        <f>VLOOKUP(VLOOKUP($B12,Settings!$K$2:$L$33,2,0),FFTodayData!$BH:$BS,5,0)</f>
        <v>18</v>
      </c>
      <c r="G12" s="33">
        <f>VLOOKUP(VLOOKUP($B12,Settings!$K$2:$L$33,2,0),FFTodayData!$BH:$BS,6,0)</f>
        <v>3</v>
      </c>
      <c r="H12" s="33">
        <f>VLOOKUP(VLOOKUP($B12,Settings!$K$2:$L$33,2,0),FFTodayData!$BH:$BS,10,0)</f>
        <v>1</v>
      </c>
      <c r="I12" s="64">
        <f>VLOOKUP(VLOOKUP($B12,Settings!$K$2:$L$33,2,0),FFTodayData!$BH:$BS,7,0)</f>
        <v>347</v>
      </c>
      <c r="J12" s="117">
        <f>ROUND(VLOOKUP($B12,SportslineData!$BC:$BM,6,0),0)</f>
        <v>43</v>
      </c>
      <c r="K12" s="33">
        <f>ROUND(VLOOKUP($B12,SportslineData!$BC:$BM,4,0),0)</f>
        <v>13</v>
      </c>
      <c r="L12" s="33">
        <f>ROUND(VLOOKUP($B12,SportslineData!$BC:$BM,3,0),0)</f>
        <v>21</v>
      </c>
      <c r="M12" s="33">
        <f>ROUND(VLOOKUP($B12,SportslineData!$BC:$BM,7,0),0)</f>
        <v>5</v>
      </c>
      <c r="N12" s="33">
        <f>ROUND(VLOOKUP($B12,SportslineData!$BC:$BM,8,0),0)</f>
        <v>1</v>
      </c>
      <c r="O12" s="64">
        <f>ROUND(VLOOKUP($B12,SportslineData!$BC:$BM,9,0),0)</f>
        <v>352</v>
      </c>
      <c r="P12" s="117"/>
      <c r="Q12" s="33"/>
      <c r="R12" s="38">
        <f>ROUND((((((((((((((D12*Settings!$F$20)+(E12*Settings!$I$23))+(F12*Settings!$F$23))+(G12*Settings!$I$20))+(H12*Settings!$F$24))+(AA12*Settings!$I$24))+(AB12*Settings!$F$25))+(AC12*Settings!$I$25))+(AD12*Settings!$F$26))+(AF12*Settings!$I$26))+(AG12*Settings!$F$27))+(AH12*Settings!$I$27))+(AI12*Settings!$F$28)),1)</f>
        <v>105</v>
      </c>
      <c r="S12" s="38">
        <f>IF(OR(ISERROR(ROUND(VLOOKUP(A12,ESPNData!$BN:$CA,14,0),1)),(A12="")),0,ROUND(VLOOKUP(A12,ESPNData!$BN:$CA,14,0),1))</f>
        <v>116</v>
      </c>
      <c r="T12" s="38">
        <f>ROUND((((((((((((((J12*Settings!$F$20)+(K12*Settings!$I$23))+(L12*Settings!$F$23))+(M12*Settings!$I$20))+(N12*Settings!$F$24))+(AO12*Settings!$I$24))+(AP12*Settings!$F$25))+(AQ12*Settings!$I$25))+(AR12*Settings!$F$26))+(AT12*Settings!$I$26))+(AU12*Settings!$F$27))+(AV12*Settings!$I$27))+(AW12*Settings!$F$28)),1)</f>
        <v>120</v>
      </c>
      <c r="U12" s="66">
        <f>ROUND((((R12*Settings!$B$21)+(S12*Settings!$B$22))+(T12*Settings!$B$23)),1)</f>
        <v>113.7</v>
      </c>
      <c r="V12" s="66">
        <f>IF(ISERROR(VLOOKUP(RANK(U12,U$4:U$182),V$4:V11,1,0)),RANK(U12,U$4:U$182),IF(ISERROR(VLOOKUP((RANK(U12,U$4:U$182)+1),V$4:V11,1,0)),(RANK(U12,U$4:U$182)+1),IF(ISERROR(VLOOKUP((RANK(U12,U$4:U$182)+2),V$4:V11,1,0)),(RANK(U12,U$4:U$182)+2),(RANK(U12,U$4:U$182)+3))))</f>
        <v>4</v>
      </c>
      <c r="W12" s="33" t="str">
        <f t="shared" si="1"/>
        <v>Patriots</v>
      </c>
      <c r="X12" s="33"/>
      <c r="Y12" s="33">
        <f t="shared" si="2"/>
        <v>21.6875</v>
      </c>
      <c r="Z12" s="131">
        <f t="shared" si="3"/>
        <v>2.3528963434796326</v>
      </c>
      <c r="AA12" s="33">
        <f t="shared" si="4"/>
        <v>0</v>
      </c>
      <c r="AB12" s="33">
        <f>ROUND((16*NORMDIST(AB$3,$Y12,$Z12,1)),0)-SUM($AA12:AA12)</f>
        <v>0</v>
      </c>
      <c r="AC12" s="33">
        <f>ROUND((16*NORMDIST(AC$3,$Y12,$Z12,1)),0)-SUM($AA12:AB12)</f>
        <v>0</v>
      </c>
      <c r="AD12" s="33">
        <f>ROUND((16*NORMDIST(AD$3,$Y12,$Z12,1)),0)-SUM($AA12:AC12)</f>
        <v>0</v>
      </c>
      <c r="AE12" s="33">
        <f>ROUND((16*NORMDIST(AE$3,$Y12,$Z12,1)),0)-SUM($AA12:AD12)</f>
        <v>6</v>
      </c>
      <c r="AF12" s="33">
        <f>ROUND((16*NORMDIST(AF$3,$Y12,$Z12,1)),0)-SUM($AA12:AE12)</f>
        <v>10</v>
      </c>
      <c r="AG12" s="33">
        <f>ROUND((16*NORMDIST(AG$3,$Y12,$Z12,1)),0)-SUM($AA12:AF12)</f>
        <v>0</v>
      </c>
      <c r="AH12" s="33">
        <f>ROUND((16*NORMDIST(AH$3,$Y12,$Z12,1)),0)-SUM($AA12:AG12)</f>
        <v>0</v>
      </c>
      <c r="AI12">
        <f t="shared" si="5"/>
        <v>0</v>
      </c>
      <c r="AK12" s="33">
        <f>(((((((AA12*Settings!$I$24)+(AB12*Settings!$F$25))+(AC12*Settings!$I$25))+(AD12*Settings!$F$26))+(AF12*Settings!$I$26))+(AG12*Settings!$F$27))+(AH12*Settings!$I$27))+(AI12*Settings!$F$28)</f>
        <v>-10</v>
      </c>
      <c r="AM12" s="33">
        <f t="shared" si="6"/>
        <v>22</v>
      </c>
      <c r="AN12" s="131">
        <f t="shared" si="7"/>
        <v>3.0146822289557398</v>
      </c>
      <c r="AO12" s="33">
        <f t="shared" si="8"/>
        <v>0</v>
      </c>
      <c r="AP12" s="33">
        <f>ROUND((16*NORMDIST(AP$3,$AM12,$AN12,1)),0)-SUM($AO12:AO12)</f>
        <v>0</v>
      </c>
      <c r="AQ12" s="33">
        <f>ROUND((16*NORMDIST(AQ$3,$AM12,$AN12,1)),0)-SUM($AO12:AP12)</f>
        <v>0</v>
      </c>
      <c r="AR12" s="33">
        <f>ROUND((16*NORMDIST(AR$3,$AM12,$AN12,1)),0)-SUM($AO12:AQ12)</f>
        <v>1</v>
      </c>
      <c r="AS12" s="33">
        <f>ROUND((16*NORMDIST(AS$3,$AM12,$AN12,1)),0)-SUM($AO12:AR12)</f>
        <v>5</v>
      </c>
      <c r="AT12" s="33">
        <f>ROUND((16*NORMDIST(AT$3,$AM12,$AN12,1)),0)-SUM($AO12:AS12)</f>
        <v>9</v>
      </c>
      <c r="AU12" s="33">
        <f>ROUND((16*NORMDIST(AU$3,$AM12,$AN12,1)),0)-SUM($AO12:AT12)</f>
        <v>1</v>
      </c>
      <c r="AV12" s="33">
        <f>ROUND((16*NORMDIST(AV$3,$AM12,$AN12,1)),0)-SUM($AO12:AU12)</f>
        <v>0</v>
      </c>
      <c r="AW12">
        <f t="shared" si="9"/>
        <v>0</v>
      </c>
      <c r="AY12" s="33">
        <f>(((((((AO12*Settings!$I$24)+(AP12*Settings!$F$25))+(AQ12*Settings!$I$25))+(AR12*Settings!$F$26))+(AT12*Settings!$I$26))+(AU12*Settings!$F$27))+(AV12*Settings!$I$27))+(AW12*Settings!$F$28)</f>
        <v>-12</v>
      </c>
    </row>
    <row r="13" spans="1:51" ht="12.75" customHeight="1">
      <c r="A13" s="33" t="str">
        <f>ESPNData!BN12</f>
        <v>Bills D/ST D/ST</v>
      </c>
      <c r="B13" s="33" t="str">
        <f t="shared" si="0"/>
        <v>Bills</v>
      </c>
      <c r="C13" s="64" t="str">
        <f>VLOOKUP(B13,Settings!$K$2:$M$33,3,0)</f>
        <v>BUF</v>
      </c>
      <c r="D13" s="117">
        <f>VLOOKUP(VLOOKUP($B13,Settings!$K$2:$L$33,2,0),FFTodayData!$BH:$BS,3,0)</f>
        <v>49</v>
      </c>
      <c r="E13" s="33">
        <f>VLOOKUP(VLOOKUP($B13,Settings!$K$2:$L$33,2,0),FFTodayData!$BH:$BS,4,0)</f>
        <v>8</v>
      </c>
      <c r="F13" s="33">
        <f>VLOOKUP(VLOOKUP($B13,Settings!$K$2:$L$33,2,0),FFTodayData!$BH:$BS,5,0)</f>
        <v>17</v>
      </c>
      <c r="G13" s="33">
        <f>VLOOKUP(VLOOKUP($B13,Settings!$K$2:$L$33,2,0),FFTodayData!$BH:$BS,6,0)</f>
        <v>2</v>
      </c>
      <c r="H13" s="33">
        <f>VLOOKUP(VLOOKUP($B13,Settings!$K$2:$L$33,2,0),FFTodayData!$BH:$BS,10,0)</f>
        <v>0</v>
      </c>
      <c r="I13" s="64">
        <f>VLOOKUP(VLOOKUP($B13,Settings!$K$2:$L$33,2,0),FFTodayData!$BH:$BS,7,0)</f>
        <v>395</v>
      </c>
      <c r="J13" s="117">
        <f>ROUND(VLOOKUP($B13,SportslineData!$BC:$BM,6,0),0)</f>
        <v>44</v>
      </c>
      <c r="K13" s="33">
        <f>ROUND(VLOOKUP($B13,SportslineData!$BC:$BM,4,0),0)</f>
        <v>9</v>
      </c>
      <c r="L13" s="33">
        <f>ROUND(VLOOKUP($B13,SportslineData!$BC:$BM,3,0),0)</f>
        <v>16</v>
      </c>
      <c r="M13" s="33">
        <f>ROUND(VLOOKUP($B13,SportslineData!$BC:$BM,7,0),0)</f>
        <v>5</v>
      </c>
      <c r="N13" s="33">
        <f>ROUND(VLOOKUP($B13,SportslineData!$BC:$BM,8,0),0)</f>
        <v>1</v>
      </c>
      <c r="O13" s="64">
        <f>ROUND(VLOOKUP($B13,SportslineData!$BC:$BM,9,0),0)</f>
        <v>395</v>
      </c>
      <c r="P13" s="117"/>
      <c r="Q13" s="33"/>
      <c r="R13" s="38">
        <f>ROUND((((((((((((((D13*Settings!$F$20)+(E13*Settings!$I$23))+(F13*Settings!$F$23))+(G13*Settings!$I$20))+(H13*Settings!$F$24))+(AA13*Settings!$I$24))+(AB13*Settings!$F$25))+(AC13*Settings!$I$25))+(AD13*Settings!$F$26))+(AF13*Settings!$I$26))+(AG13*Settings!$F$27))+(AH13*Settings!$I$27))+(AI13*Settings!$F$28)),1)</f>
        <v>79</v>
      </c>
      <c r="S13" s="38">
        <f>IF(OR(ISERROR(ROUND(VLOOKUP(A13,ESPNData!$BN:$CA,14,0),1)),(A13="")),0,ROUND(VLOOKUP(A13,ESPNData!$BN:$CA,14,0),1))</f>
        <v>98</v>
      </c>
      <c r="T13" s="38">
        <f>ROUND((((((((((((((J13*Settings!$F$20)+(K13*Settings!$I$23))+(L13*Settings!$F$23))+(M13*Settings!$I$20))+(N13*Settings!$F$24))+(AO13*Settings!$I$24))+(AP13*Settings!$F$25))+(AQ13*Settings!$I$25))+(AR13*Settings!$F$26))+(AT13*Settings!$I$26))+(AU13*Settings!$F$27))+(AV13*Settings!$I$27))+(AW13*Settings!$F$28)),1)</f>
        <v>93</v>
      </c>
      <c r="U13" s="66">
        <f>ROUND((((R13*Settings!$B$21)+(S13*Settings!$B$22))+(T13*Settings!$B$23)),1)</f>
        <v>90</v>
      </c>
      <c r="V13" s="66">
        <f>IF(ISERROR(VLOOKUP(RANK(U13,U$4:U$182),V$4:V12,1,0)),RANK(U13,U$4:U$182),IF(ISERROR(VLOOKUP((RANK(U13,U$4:U$182)+1),V$4:V12,1,0)),(RANK(U13,U$4:U$182)+1),IF(ISERROR(VLOOKUP((RANK(U13,U$4:U$182)+2),V$4:V12,1,0)),(RANK(U13,U$4:U$182)+2),(RANK(U13,U$4:U$182)+3))))</f>
        <v>10</v>
      </c>
      <c r="W13" s="33" t="str">
        <f t="shared" si="1"/>
        <v>Bills</v>
      </c>
      <c r="X13" s="33"/>
      <c r="Y13" s="33">
        <f t="shared" si="2"/>
        <v>24.6875</v>
      </c>
      <c r="Z13" s="131">
        <f t="shared" si="3"/>
        <v>2.6783690365258064</v>
      </c>
      <c r="AA13" s="33">
        <f t="shared" si="4"/>
        <v>0</v>
      </c>
      <c r="AB13" s="33">
        <f>ROUND((16*NORMDIST(AB$3,$Y13,$Z13,1)),0)-SUM($AA13:AA13)</f>
        <v>0</v>
      </c>
      <c r="AC13" s="33">
        <f>ROUND((16*NORMDIST(AC$3,$Y13,$Z13,1)),0)-SUM($AA13:AB13)</f>
        <v>0</v>
      </c>
      <c r="AD13" s="33">
        <f>ROUND((16*NORMDIST(AD$3,$Y13,$Z13,1)),0)-SUM($AA13:AC13)</f>
        <v>0</v>
      </c>
      <c r="AE13" s="33">
        <f>ROUND((16*NORMDIST(AE$3,$Y13,$Z13,1)),0)-SUM($AA13:AD13)</f>
        <v>1</v>
      </c>
      <c r="AF13" s="33">
        <f>ROUND((16*NORMDIST(AF$3,$Y13,$Z13,1)),0)-SUM($AA13:AE13)</f>
        <v>12</v>
      </c>
      <c r="AG13" s="33">
        <f>ROUND((16*NORMDIST(AG$3,$Y13,$Z13,1)),0)-SUM($AA13:AF13)</f>
        <v>3</v>
      </c>
      <c r="AH13" s="33">
        <f>ROUND((16*NORMDIST(AH$3,$Y13,$Z13,1)),0)-SUM($AA13:AG13)</f>
        <v>0</v>
      </c>
      <c r="AI13">
        <f t="shared" si="5"/>
        <v>0</v>
      </c>
      <c r="AK13" s="33">
        <f>(((((((AA13*Settings!$I$24)+(AB13*Settings!$F$25))+(AC13*Settings!$I$25))+(AD13*Settings!$F$26))+(AF13*Settings!$I$26))+(AG13*Settings!$F$27))+(AH13*Settings!$I$27))+(AI13*Settings!$F$28)</f>
        <v>-24</v>
      </c>
      <c r="AM13" s="33">
        <f t="shared" si="6"/>
        <v>24.6875</v>
      </c>
      <c r="AN13" s="131">
        <f t="shared" si="7"/>
        <v>3.3829530694247651</v>
      </c>
      <c r="AO13" s="33">
        <f t="shared" si="8"/>
        <v>0</v>
      </c>
      <c r="AP13" s="33">
        <f>ROUND((16*NORMDIST(AP$3,$AM13,$AN13,1)),0)-SUM($AO13:AO13)</f>
        <v>0</v>
      </c>
      <c r="AQ13" s="33">
        <f>ROUND((16*NORMDIST(AQ$3,$AM13,$AN13,1)),0)-SUM($AO13:AP13)</f>
        <v>0</v>
      </c>
      <c r="AR13" s="33">
        <f>ROUND((16*NORMDIST(AR$3,$AM13,$AN13,1)),0)-SUM($AO13:AQ13)</f>
        <v>0</v>
      </c>
      <c r="AS13" s="33">
        <f>ROUND((16*NORMDIST(AS$3,$AM13,$AN13,1)),0)-SUM($AO13:AR13)</f>
        <v>2</v>
      </c>
      <c r="AT13" s="33">
        <f>ROUND((16*NORMDIST(AT$3,$AM13,$AN13,1)),0)-SUM($AO13:AS13)</f>
        <v>10</v>
      </c>
      <c r="AU13" s="33">
        <f>ROUND((16*NORMDIST(AU$3,$AM13,$AN13,1)),0)-SUM($AO13:AT13)</f>
        <v>4</v>
      </c>
      <c r="AV13" s="33">
        <f>ROUND((16*NORMDIST(AV$3,$AM13,$AN13,1)),0)-SUM($AO13:AU13)</f>
        <v>0</v>
      </c>
      <c r="AW13">
        <f t="shared" si="9"/>
        <v>0</v>
      </c>
      <c r="AY13" s="33">
        <f>(((((((AO13*Settings!$I$24)+(AP13*Settings!$F$25))+(AQ13*Settings!$I$25))+(AR13*Settings!$F$26))+(AT13*Settings!$I$26))+(AU13*Settings!$F$27))+(AV13*Settings!$I$27))+(AW13*Settings!$F$28)</f>
        <v>-26</v>
      </c>
    </row>
    <row r="14" spans="1:51" ht="12.75" customHeight="1">
      <c r="A14" s="33" t="str">
        <f>ESPNData!BN13</f>
        <v>Buccaneers D/ST D/ST</v>
      </c>
      <c r="B14" s="33" t="str">
        <f t="shared" si="0"/>
        <v>Buccaneers</v>
      </c>
      <c r="C14" s="64" t="str">
        <f>VLOOKUP(B14,Settings!$K$2:$M$33,3,0)</f>
        <v>TB</v>
      </c>
      <c r="D14" s="117">
        <f>VLOOKUP(VLOOKUP($B14,Settings!$K$2:$L$33,2,0),FFTodayData!$BH:$BS,3,0)</f>
        <v>31</v>
      </c>
      <c r="E14" s="33">
        <f>VLOOKUP(VLOOKUP($B14,Settings!$K$2:$L$33,2,0),FFTodayData!$BH:$BS,4,0)</f>
        <v>7</v>
      </c>
      <c r="F14" s="33">
        <f>VLOOKUP(VLOOKUP($B14,Settings!$K$2:$L$33,2,0),FFTodayData!$BH:$BS,5,0)</f>
        <v>14</v>
      </c>
      <c r="G14" s="33">
        <f>VLOOKUP(VLOOKUP($B14,Settings!$K$2:$L$33,2,0),FFTodayData!$BH:$BS,6,0)</f>
        <v>3</v>
      </c>
      <c r="H14" s="33">
        <f>VLOOKUP(VLOOKUP($B14,Settings!$K$2:$L$33,2,0),FFTodayData!$BH:$BS,10,0)</f>
        <v>1</v>
      </c>
      <c r="I14" s="64">
        <f>VLOOKUP(VLOOKUP($B14,Settings!$K$2:$L$33,2,0),FFTodayData!$BH:$BS,7,0)</f>
        <v>415</v>
      </c>
      <c r="J14" s="117">
        <f>ROUND(VLOOKUP($B14,SportslineData!$BC:$BM,6,0),0)</f>
        <v>36</v>
      </c>
      <c r="K14" s="33">
        <f>ROUND(VLOOKUP($B14,SportslineData!$BC:$BM,4,0),0)</f>
        <v>12</v>
      </c>
      <c r="L14" s="33">
        <f>ROUND(VLOOKUP($B14,SportslineData!$BC:$BM,3,0),0)</f>
        <v>20</v>
      </c>
      <c r="M14" s="33">
        <f>ROUND(VLOOKUP($B14,SportslineData!$BC:$BM,7,0),0)</f>
        <v>5</v>
      </c>
      <c r="N14" s="33">
        <f>ROUND(VLOOKUP($B14,SportslineData!$BC:$BM,8,0),0)</f>
        <v>1</v>
      </c>
      <c r="O14" s="64">
        <f>ROUND(VLOOKUP($B14,SportslineData!$BC:$BM,9,0),0)</f>
        <v>383</v>
      </c>
      <c r="P14" s="117"/>
      <c r="Q14" s="33"/>
      <c r="R14" s="38">
        <f>ROUND((((((((((((((D14*Settings!$F$20)+(E14*Settings!$I$23))+(F14*Settings!$F$23))+(G14*Settings!$I$20))+(H14*Settings!$F$24))+(AA14*Settings!$I$24))+(AB14*Settings!$F$25))+(AC14*Settings!$I$25))+(AD14*Settings!$F$26))+(AF14*Settings!$I$26))+(AG14*Settings!$F$27))+(AH14*Settings!$I$27))+(AI14*Settings!$F$28)),1)</f>
        <v>55</v>
      </c>
      <c r="S14" s="38">
        <f>IF(OR(ISERROR(ROUND(VLOOKUP(A14,ESPNData!$BN:$CA,14,0),1)),(A14="")),0,ROUND(VLOOKUP(A14,ESPNData!$BN:$CA,14,0),1))</f>
        <v>94</v>
      </c>
      <c r="T14" s="38">
        <f>ROUND((((((((((((((J14*Settings!$F$20)+(K14*Settings!$I$23))+(L14*Settings!$F$23))+(M14*Settings!$I$20))+(N14*Settings!$F$24))+(AO14*Settings!$I$24))+(AP14*Settings!$F$25))+(AQ14*Settings!$I$25))+(AR14*Settings!$F$26))+(AT14*Settings!$I$26))+(AU14*Settings!$F$27))+(AV14*Settings!$I$27))+(AW14*Settings!$F$28)),1)</f>
        <v>100</v>
      </c>
      <c r="U14" s="66">
        <f>ROUND((((R14*Settings!$B$21)+(S14*Settings!$B$22))+(T14*Settings!$B$23)),1)</f>
        <v>83.2</v>
      </c>
      <c r="V14" s="66">
        <f>IF(ISERROR(VLOOKUP(RANK(U14,U$4:U$182),V$4:V13,1,0)),RANK(U14,U$4:U$182),IF(ISERROR(VLOOKUP((RANK(U14,U$4:U$182)+1),V$4:V13,1,0)),(RANK(U14,U$4:U$182)+1),IF(ISERROR(VLOOKUP((RANK(U14,U$4:U$182)+2),V$4:V13,1,0)),(RANK(U14,U$4:U$182)+2),(RANK(U14,U$4:U$182)+3))))</f>
        <v>15</v>
      </c>
      <c r="W14" s="33" t="str">
        <f t="shared" si="1"/>
        <v>Buccaneers</v>
      </c>
      <c r="X14" s="33"/>
      <c r="Y14" s="33">
        <f t="shared" si="2"/>
        <v>25.9375</v>
      </c>
      <c r="Z14" s="131">
        <f t="shared" si="3"/>
        <v>2.8139826586283792</v>
      </c>
      <c r="AA14" s="33">
        <f t="shared" si="4"/>
        <v>0</v>
      </c>
      <c r="AB14" s="33">
        <f>ROUND((16*NORMDIST(AB$3,$Y14,$Z14,1)),0)-SUM($AA14:AA14)</f>
        <v>0</v>
      </c>
      <c r="AC14" s="33">
        <f>ROUND((16*NORMDIST(AC$3,$Y14,$Z14,1)),0)-SUM($AA14:AB14)</f>
        <v>0</v>
      </c>
      <c r="AD14" s="33">
        <f>ROUND((16*NORMDIST(AD$3,$Y14,$Z14,1)),0)-SUM($AA14:AC14)</f>
        <v>0</v>
      </c>
      <c r="AE14" s="33">
        <f>ROUND((16*NORMDIST(AE$3,$Y14,$Z14,1)),0)-SUM($AA14:AD14)</f>
        <v>1</v>
      </c>
      <c r="AF14" s="33">
        <f>ROUND((16*NORMDIST(AF$3,$Y14,$Z14,1)),0)-SUM($AA14:AE14)</f>
        <v>9</v>
      </c>
      <c r="AG14" s="33">
        <f>ROUND((16*NORMDIST(AG$3,$Y14,$Z14,1)),0)-SUM($AA14:AF14)</f>
        <v>6</v>
      </c>
      <c r="AH14" s="33">
        <f>ROUND((16*NORMDIST(AH$3,$Y14,$Z14,1)),0)-SUM($AA14:AG14)</f>
        <v>0</v>
      </c>
      <c r="AI14">
        <f t="shared" si="5"/>
        <v>0</v>
      </c>
      <c r="AK14" s="33">
        <f>(((((((AA14*Settings!$I$24)+(AB14*Settings!$F$25))+(AC14*Settings!$I$25))+(AD14*Settings!$F$26))+(AF14*Settings!$I$26))+(AG14*Settings!$F$27))+(AH14*Settings!$I$27))+(AI14*Settings!$F$28)</f>
        <v>-33</v>
      </c>
      <c r="AM14" s="33">
        <f t="shared" si="6"/>
        <v>23.9375</v>
      </c>
      <c r="AN14" s="131">
        <f t="shared" si="7"/>
        <v>3.280179811619456</v>
      </c>
      <c r="AO14" s="33">
        <f t="shared" si="8"/>
        <v>0</v>
      </c>
      <c r="AP14" s="33">
        <f>ROUND((16*NORMDIST(AP$3,$AM14,$AN14,1)),0)-SUM($AO14:AO14)</f>
        <v>0</v>
      </c>
      <c r="AQ14" s="33">
        <f>ROUND((16*NORMDIST(AQ$3,$AM14,$AN14,1)),0)-SUM($AO14:AP14)</f>
        <v>0</v>
      </c>
      <c r="AR14" s="33">
        <f>ROUND((16*NORMDIST(AR$3,$AM14,$AN14,1)),0)-SUM($AO14:AQ14)</f>
        <v>0</v>
      </c>
      <c r="AS14" s="33">
        <f>ROUND((16*NORMDIST(AS$3,$AM14,$AN14,1)),0)-SUM($AO14:AR14)</f>
        <v>3</v>
      </c>
      <c r="AT14" s="33">
        <f>ROUND((16*NORMDIST(AT$3,$AM14,$AN14,1)),0)-SUM($AO14:AS14)</f>
        <v>10</v>
      </c>
      <c r="AU14" s="33">
        <f>ROUND((16*NORMDIST(AU$3,$AM14,$AN14,1)),0)-SUM($AO14:AT14)</f>
        <v>3</v>
      </c>
      <c r="AV14" s="33">
        <f>ROUND((16*NORMDIST(AV$3,$AM14,$AN14,1)),0)-SUM($AO14:AU14)</f>
        <v>0</v>
      </c>
      <c r="AW14">
        <f t="shared" si="9"/>
        <v>0</v>
      </c>
      <c r="AY14" s="33">
        <f>(((((((AO14*Settings!$I$24)+(AP14*Settings!$F$25))+(AQ14*Settings!$I$25))+(AR14*Settings!$F$26))+(AT14*Settings!$I$26))+(AU14*Settings!$F$27))+(AV14*Settings!$I$27))+(AW14*Settings!$F$28)</f>
        <v>-22</v>
      </c>
    </row>
    <row r="15" spans="1:51" ht="12.75" customHeight="1">
      <c r="A15" s="33" t="str">
        <f>ESPNData!BN14</f>
        <v>Saints D/ST D/ST</v>
      </c>
      <c r="B15" s="33" t="str">
        <f t="shared" si="0"/>
        <v>Saints</v>
      </c>
      <c r="C15" s="64" t="str">
        <f>VLOOKUP(B15,Settings!$K$2:$M$33,3,0)</f>
        <v>NO</v>
      </c>
      <c r="D15" s="117">
        <f>VLOOKUP(VLOOKUP($B15,Settings!$K$2:$L$33,2,0),FFTodayData!$BH:$BS,3,0)</f>
        <v>46</v>
      </c>
      <c r="E15" s="33">
        <f>VLOOKUP(VLOOKUP($B15,Settings!$K$2:$L$33,2,0),FFTodayData!$BH:$BS,4,0)</f>
        <v>8</v>
      </c>
      <c r="F15" s="33">
        <f>VLOOKUP(VLOOKUP($B15,Settings!$K$2:$L$33,2,0),FFTodayData!$BH:$BS,5,0)</f>
        <v>13</v>
      </c>
      <c r="G15" s="33">
        <f>VLOOKUP(VLOOKUP($B15,Settings!$K$2:$L$33,2,0),FFTodayData!$BH:$BS,6,0)</f>
        <v>2</v>
      </c>
      <c r="H15" s="33">
        <f>VLOOKUP(VLOOKUP($B15,Settings!$K$2:$L$33,2,0),FFTodayData!$BH:$BS,10,0)</f>
        <v>1</v>
      </c>
      <c r="I15" s="64">
        <f>VLOOKUP(VLOOKUP($B15,Settings!$K$2:$L$33,2,0),FFTodayData!$BH:$BS,7,0)</f>
        <v>355</v>
      </c>
      <c r="J15" s="117">
        <f>ROUND(VLOOKUP($B15,SportslineData!$BC:$BM,6,0),0)</f>
        <v>42</v>
      </c>
      <c r="K15" s="33">
        <f>ROUND(VLOOKUP($B15,SportslineData!$BC:$BM,4,0),0)</f>
        <v>10</v>
      </c>
      <c r="L15" s="33">
        <f>ROUND(VLOOKUP($B15,SportslineData!$BC:$BM,3,0),0)</f>
        <v>17</v>
      </c>
      <c r="M15" s="33">
        <f>ROUND(VLOOKUP($B15,SportslineData!$BC:$BM,7,0),0)</f>
        <v>4</v>
      </c>
      <c r="N15" s="33">
        <f>ROUND(VLOOKUP($B15,SportslineData!$BC:$BM,8,0),0)</f>
        <v>1</v>
      </c>
      <c r="O15" s="64">
        <f>ROUND(VLOOKUP($B15,SportslineData!$BC:$BM,9,0),0)</f>
        <v>356</v>
      </c>
      <c r="P15" s="117"/>
      <c r="Q15" s="33"/>
      <c r="R15" s="38">
        <f>ROUND((((((((((((((D15*Settings!$F$20)+(E15*Settings!$I$23))+(F15*Settings!$F$23))+(G15*Settings!$I$20))+(H15*Settings!$F$24))+(AA15*Settings!$I$24))+(AB15*Settings!$F$25))+(AC15*Settings!$I$25))+(AD15*Settings!$F$26))+(AF15*Settings!$I$26))+(AG15*Settings!$F$27))+(AH15*Settings!$I$27))+(AI15*Settings!$F$28)),1)</f>
        <v>85</v>
      </c>
      <c r="S15" s="38">
        <f>IF(OR(ISERROR(ROUND(VLOOKUP(A15,ESPNData!$BN:$CA,14,0),1)),(A15="")),0,ROUND(VLOOKUP(A15,ESPNData!$BN:$CA,14,0),1))</f>
        <v>83</v>
      </c>
      <c r="T15" s="38">
        <f>ROUND((((((((((((((J15*Settings!$F$20)+(K15*Settings!$I$23))+(L15*Settings!$F$23))+(M15*Settings!$I$20))+(N15*Settings!$F$24))+(AO15*Settings!$I$24))+(AP15*Settings!$F$25))+(AQ15*Settings!$I$25))+(AR15*Settings!$F$26))+(AT15*Settings!$I$26))+(AU15*Settings!$F$27))+(AV15*Settings!$I$27))+(AW15*Settings!$F$28)),1)</f>
        <v>101</v>
      </c>
      <c r="U15" s="66">
        <f>ROUND((((R15*Settings!$B$21)+(S15*Settings!$B$22))+(T15*Settings!$B$23)),1)</f>
        <v>89.8</v>
      </c>
      <c r="V15" s="66">
        <f>IF(ISERROR(VLOOKUP(RANK(U15,U$4:U$182),V$4:V14,1,0)),RANK(U15,U$4:U$182),IF(ISERROR(VLOOKUP((RANK(U15,U$4:U$182)+1),V$4:V14,1,0)),(RANK(U15,U$4:U$182)+1),IF(ISERROR(VLOOKUP((RANK(U15,U$4:U$182)+2),V$4:V14,1,0)),(RANK(U15,U$4:U$182)+2),(RANK(U15,U$4:U$182)+3))))</f>
        <v>11</v>
      </c>
      <c r="W15" s="33" t="str">
        <f t="shared" si="1"/>
        <v>Saints</v>
      </c>
      <c r="X15" s="33"/>
      <c r="Y15" s="33">
        <f t="shared" si="2"/>
        <v>22.1875</v>
      </c>
      <c r="Z15" s="131">
        <f t="shared" si="3"/>
        <v>2.4071417923206613</v>
      </c>
      <c r="AA15" s="33">
        <f t="shared" si="4"/>
        <v>0</v>
      </c>
      <c r="AB15" s="33">
        <f>ROUND((16*NORMDIST(AB$3,$Y15,$Z15,1)),0)-SUM($AA15:AA15)</f>
        <v>0</v>
      </c>
      <c r="AC15" s="33">
        <f>ROUND((16*NORMDIST(AC$3,$Y15,$Z15,1)),0)-SUM($AA15:AB15)</f>
        <v>0</v>
      </c>
      <c r="AD15" s="33">
        <f>ROUND((16*NORMDIST(AD$3,$Y15,$Z15,1)),0)-SUM($AA15:AC15)</f>
        <v>0</v>
      </c>
      <c r="AE15" s="33">
        <f>ROUND((16*NORMDIST(AE$3,$Y15,$Z15,1)),0)-SUM($AA15:AD15)</f>
        <v>5</v>
      </c>
      <c r="AF15" s="33">
        <f>ROUND((16*NORMDIST(AF$3,$Y15,$Z15,1)),0)-SUM($AA15:AE15)</f>
        <v>11</v>
      </c>
      <c r="AG15" s="33">
        <f>ROUND((16*NORMDIST(AG$3,$Y15,$Z15,1)),0)-SUM($AA15:AF15)</f>
        <v>0</v>
      </c>
      <c r="AH15" s="33">
        <f>ROUND((16*NORMDIST(AH$3,$Y15,$Z15,1)),0)-SUM($AA15:AG15)</f>
        <v>0</v>
      </c>
      <c r="AI15">
        <f t="shared" si="5"/>
        <v>0</v>
      </c>
      <c r="AK15" s="33">
        <f>(((((((AA15*Settings!$I$24)+(AB15*Settings!$F$25))+(AC15*Settings!$I$25))+(AD15*Settings!$F$26))+(AF15*Settings!$I$26))+(AG15*Settings!$F$27))+(AH15*Settings!$I$27))+(AI15*Settings!$F$28)</f>
        <v>-11</v>
      </c>
      <c r="AM15" s="33">
        <f t="shared" si="6"/>
        <v>22.25</v>
      </c>
      <c r="AN15" s="131">
        <f t="shared" si="7"/>
        <v>3.0489399815575098</v>
      </c>
      <c r="AO15" s="33">
        <f t="shared" si="8"/>
        <v>0</v>
      </c>
      <c r="AP15" s="33">
        <f>ROUND((16*NORMDIST(AP$3,$AM15,$AN15,1)),0)-SUM($AO15:AO15)</f>
        <v>0</v>
      </c>
      <c r="AQ15" s="33">
        <f>ROUND((16*NORMDIST(AQ$3,$AM15,$AN15,1)),0)-SUM($AO15:AP15)</f>
        <v>0</v>
      </c>
      <c r="AR15" s="33">
        <f>ROUND((16*NORMDIST(AR$3,$AM15,$AN15,1)),0)-SUM($AO15:AQ15)</f>
        <v>1</v>
      </c>
      <c r="AS15" s="33">
        <f>ROUND((16*NORMDIST(AS$3,$AM15,$AN15,1)),0)-SUM($AO15:AR15)</f>
        <v>4</v>
      </c>
      <c r="AT15" s="33">
        <f>ROUND((16*NORMDIST(AT$3,$AM15,$AN15,1)),0)-SUM($AO15:AS15)</f>
        <v>10</v>
      </c>
      <c r="AU15" s="33">
        <f>ROUND((16*NORMDIST(AU$3,$AM15,$AN15,1)),0)-SUM($AO15:AT15)</f>
        <v>1</v>
      </c>
      <c r="AV15" s="33">
        <f>ROUND((16*NORMDIST(AV$3,$AM15,$AN15,1)),0)-SUM($AO15:AU15)</f>
        <v>0</v>
      </c>
      <c r="AW15">
        <f t="shared" si="9"/>
        <v>0</v>
      </c>
      <c r="AY15" s="33">
        <f>(((((((AO15*Settings!$I$24)+(AP15*Settings!$F$25))+(AQ15*Settings!$I$25))+(AR15*Settings!$F$26))+(AT15*Settings!$I$26))+(AU15*Settings!$F$27))+(AV15*Settings!$I$27))+(AW15*Settings!$F$28)</f>
        <v>-13</v>
      </c>
    </row>
    <row r="16" spans="1:51" ht="12.75" customHeight="1">
      <c r="A16" s="33" t="str">
        <f>ESPNData!BN15</f>
        <v>Texans D/ST D/ST</v>
      </c>
      <c r="B16" s="33" t="str">
        <f t="shared" si="0"/>
        <v>Texans</v>
      </c>
      <c r="C16" s="64" t="str">
        <f>VLOOKUP(B16,Settings!$K$2:$M$33,3,0)</f>
        <v>HOU</v>
      </c>
      <c r="D16" s="117">
        <f>VLOOKUP(VLOOKUP($B16,Settings!$K$2:$L$33,2,0),FFTodayData!$BH:$BS,3,0)</f>
        <v>38</v>
      </c>
      <c r="E16" s="33">
        <f>VLOOKUP(VLOOKUP($B16,Settings!$K$2:$L$33,2,0),FFTodayData!$BH:$BS,4,0)</f>
        <v>11</v>
      </c>
      <c r="F16" s="33">
        <f>VLOOKUP(VLOOKUP($B16,Settings!$K$2:$L$33,2,0),FFTodayData!$BH:$BS,5,0)</f>
        <v>12</v>
      </c>
      <c r="G16" s="33">
        <f>VLOOKUP(VLOOKUP($B16,Settings!$K$2:$L$33,2,0),FFTodayData!$BH:$BS,6,0)</f>
        <v>3</v>
      </c>
      <c r="H16" s="33">
        <f>VLOOKUP(VLOOKUP($B16,Settings!$K$2:$L$33,2,0),FFTodayData!$BH:$BS,10,0)</f>
        <v>0</v>
      </c>
      <c r="I16" s="64">
        <f>VLOOKUP(VLOOKUP($B16,Settings!$K$2:$L$33,2,0),FFTodayData!$BH:$BS,7,0)</f>
        <v>421</v>
      </c>
      <c r="J16" s="117">
        <f>ROUND(VLOOKUP($B16,SportslineData!$BC:$BM,6,0),0)</f>
        <v>42</v>
      </c>
      <c r="K16" s="33">
        <f>ROUND(VLOOKUP($B16,SportslineData!$BC:$BM,4,0),0)</f>
        <v>10</v>
      </c>
      <c r="L16" s="33">
        <f>ROUND(VLOOKUP($B16,SportslineData!$BC:$BM,3,0),0)</f>
        <v>15</v>
      </c>
      <c r="M16" s="33">
        <f>ROUND(VLOOKUP($B16,SportslineData!$BC:$BM,7,0),0)</f>
        <v>4</v>
      </c>
      <c r="N16" s="33">
        <f>ROUND(VLOOKUP($B16,SportslineData!$BC:$BM,8,0),0)</f>
        <v>2</v>
      </c>
      <c r="O16" s="64">
        <f>ROUND(VLOOKUP($B16,SportslineData!$BC:$BM,9,0),0)</f>
        <v>359</v>
      </c>
      <c r="P16" s="117"/>
      <c r="Q16" s="33"/>
      <c r="R16" s="38">
        <f>ROUND((((((((((((((D16*Settings!$F$20)+(E16*Settings!$I$23))+(F16*Settings!$F$23))+(G16*Settings!$I$20))+(H16*Settings!$F$24))+(AA16*Settings!$I$24))+(AB16*Settings!$F$25))+(AC16*Settings!$I$25))+(AD16*Settings!$F$26))+(AF16*Settings!$I$26))+(AG16*Settings!$F$27))+(AH16*Settings!$I$27))+(AI16*Settings!$F$28)),1)</f>
        <v>58</v>
      </c>
      <c r="S16" s="38">
        <f>IF(OR(ISERROR(ROUND(VLOOKUP(A16,ESPNData!$BN:$CA,14,0),1)),(A16="")),0,ROUND(VLOOKUP(A16,ESPNData!$BN:$CA,14,0),1))</f>
        <v>82</v>
      </c>
      <c r="T16" s="38">
        <f>ROUND((((((((((((((J16*Settings!$F$20)+(K16*Settings!$I$23))+(L16*Settings!$F$23))+(M16*Settings!$I$20))+(N16*Settings!$F$24))+(AO16*Settings!$I$24))+(AP16*Settings!$F$25))+(AQ16*Settings!$I$25))+(AR16*Settings!$F$26))+(AT16*Settings!$I$26))+(AU16*Settings!$F$27))+(AV16*Settings!$I$27))+(AW16*Settings!$F$28)),1)</f>
        <v>101</v>
      </c>
      <c r="U16" s="66">
        <f>ROUND((((R16*Settings!$B$21)+(S16*Settings!$B$22))+(T16*Settings!$B$23)),1)</f>
        <v>80.5</v>
      </c>
      <c r="V16" s="66">
        <f>IF(ISERROR(VLOOKUP(RANK(U16,U$4:U$182),V$4:V15,1,0)),RANK(U16,U$4:U$182),IF(ISERROR(VLOOKUP((RANK(U16,U$4:U$182)+1),V$4:V15,1,0)),(RANK(U16,U$4:U$182)+1),IF(ISERROR(VLOOKUP((RANK(U16,U$4:U$182)+2),V$4:V15,1,0)),(RANK(U16,U$4:U$182)+2),(RANK(U16,U$4:U$182)+3))))</f>
        <v>17</v>
      </c>
      <c r="W16" s="33" t="str">
        <f t="shared" si="1"/>
        <v>Texans</v>
      </c>
      <c r="X16" s="33"/>
      <c r="Y16" s="33">
        <f t="shared" si="2"/>
        <v>26.3125</v>
      </c>
      <c r="Z16" s="131">
        <f t="shared" si="3"/>
        <v>2.8546667452591508</v>
      </c>
      <c r="AA16" s="33">
        <f t="shared" si="4"/>
        <v>0</v>
      </c>
      <c r="AB16" s="33">
        <f>ROUND((16*NORMDIST(AB$3,$Y16,$Z16,1)),0)-SUM($AA16:AA16)</f>
        <v>0</v>
      </c>
      <c r="AC16" s="33">
        <f>ROUND((16*NORMDIST(AC$3,$Y16,$Z16,1)),0)-SUM($AA16:AB16)</f>
        <v>0</v>
      </c>
      <c r="AD16" s="33">
        <f>ROUND((16*NORMDIST(AD$3,$Y16,$Z16,1)),0)-SUM($AA16:AC16)</f>
        <v>0</v>
      </c>
      <c r="AE16" s="33">
        <f>ROUND((16*NORMDIST(AE$3,$Y16,$Z16,1)),0)-SUM($AA16:AD16)</f>
        <v>1</v>
      </c>
      <c r="AF16" s="33">
        <f>ROUND((16*NORMDIST(AF$3,$Y16,$Z16,1)),0)-SUM($AA16:AE16)</f>
        <v>9</v>
      </c>
      <c r="AG16" s="33">
        <f>ROUND((16*NORMDIST(AG$3,$Y16,$Z16,1)),0)-SUM($AA16:AF16)</f>
        <v>6</v>
      </c>
      <c r="AH16" s="33">
        <f>ROUND((16*NORMDIST(AH$3,$Y16,$Z16,1)),0)-SUM($AA16:AG16)</f>
        <v>0</v>
      </c>
      <c r="AI16">
        <f t="shared" si="5"/>
        <v>0</v>
      </c>
      <c r="AK16" s="33">
        <f>(((((((AA16*Settings!$I$24)+(AB16*Settings!$F$25))+(AC16*Settings!$I$25))+(AD16*Settings!$F$26))+(AF16*Settings!$I$26))+(AG16*Settings!$F$27))+(AH16*Settings!$I$27))+(AI16*Settings!$F$28)</f>
        <v>-33</v>
      </c>
      <c r="AM16" s="33">
        <f t="shared" si="6"/>
        <v>22.4375</v>
      </c>
      <c r="AN16" s="131">
        <f t="shared" si="7"/>
        <v>3.0746332960088374</v>
      </c>
      <c r="AO16" s="33">
        <f t="shared" si="8"/>
        <v>0</v>
      </c>
      <c r="AP16" s="33">
        <f>ROUND((16*NORMDIST(AP$3,$AM16,$AN16,1)),0)-SUM($AO16:AO16)</f>
        <v>0</v>
      </c>
      <c r="AQ16" s="33">
        <f>ROUND((16*NORMDIST(AQ$3,$AM16,$AN16,1)),0)-SUM($AO16:AP16)</f>
        <v>0</v>
      </c>
      <c r="AR16" s="33">
        <f>ROUND((16*NORMDIST(AR$3,$AM16,$AN16,1)),0)-SUM($AO16:AQ16)</f>
        <v>1</v>
      </c>
      <c r="AS16" s="33">
        <f>ROUND((16*NORMDIST(AS$3,$AM16,$AN16,1)),0)-SUM($AO16:AR16)</f>
        <v>4</v>
      </c>
      <c r="AT16" s="33">
        <f>ROUND((16*NORMDIST(AT$3,$AM16,$AN16,1)),0)-SUM($AO16:AS16)</f>
        <v>10</v>
      </c>
      <c r="AU16" s="33">
        <f>ROUND((16*NORMDIST(AU$3,$AM16,$AN16,1)),0)-SUM($AO16:AT16)</f>
        <v>1</v>
      </c>
      <c r="AV16" s="33">
        <f>ROUND((16*NORMDIST(AV$3,$AM16,$AN16,1)),0)-SUM($AO16:AU16)</f>
        <v>0</v>
      </c>
      <c r="AW16">
        <f t="shared" si="9"/>
        <v>0</v>
      </c>
      <c r="AY16" s="33">
        <f>(((((((AO16*Settings!$I$24)+(AP16*Settings!$F$25))+(AQ16*Settings!$I$25))+(AR16*Settings!$F$26))+(AT16*Settings!$I$26))+(AU16*Settings!$F$27))+(AV16*Settings!$I$27))+(AW16*Settings!$F$28)</f>
        <v>-13</v>
      </c>
    </row>
    <row r="17" spans="1:51" ht="12.75" customHeight="1">
      <c r="A17" s="33" t="str">
        <f>ESPNData!BN16</f>
        <v>Ravens D/ST D/ST</v>
      </c>
      <c r="B17" s="33" t="str">
        <f t="shared" si="0"/>
        <v>Ravens</v>
      </c>
      <c r="C17" s="64" t="str">
        <f>VLOOKUP(B17,Settings!$K$2:$M$33,3,0)</f>
        <v>BAL</v>
      </c>
      <c r="D17" s="117">
        <f>VLOOKUP(VLOOKUP($B17,Settings!$K$2:$L$33,2,0),FFTodayData!$BH:$BS,3,0)</f>
        <v>41</v>
      </c>
      <c r="E17" s="33">
        <f>VLOOKUP(VLOOKUP($B17,Settings!$K$2:$L$33,2,0),FFTodayData!$BH:$BS,4,0)</f>
        <v>10</v>
      </c>
      <c r="F17" s="33">
        <f>VLOOKUP(VLOOKUP($B17,Settings!$K$2:$L$33,2,0),FFTodayData!$BH:$BS,5,0)</f>
        <v>14</v>
      </c>
      <c r="G17" s="33">
        <f>VLOOKUP(VLOOKUP($B17,Settings!$K$2:$L$33,2,0),FFTodayData!$BH:$BS,6,0)</f>
        <v>1</v>
      </c>
      <c r="H17" s="33">
        <f>VLOOKUP(VLOOKUP($B17,Settings!$K$2:$L$33,2,0),FFTodayData!$BH:$BS,10,0)</f>
        <v>1</v>
      </c>
      <c r="I17" s="64">
        <f>VLOOKUP(VLOOKUP($B17,Settings!$K$2:$L$33,2,0),FFTodayData!$BH:$BS,7,0)</f>
        <v>356</v>
      </c>
      <c r="J17" s="117">
        <f>ROUND(VLOOKUP($B17,SportslineData!$BC:$BM,6,0),0)</f>
        <v>42</v>
      </c>
      <c r="K17" s="33">
        <f>ROUND(VLOOKUP($B17,SportslineData!$BC:$BM,4,0),0)</f>
        <v>11</v>
      </c>
      <c r="L17" s="33">
        <f>ROUND(VLOOKUP($B17,SportslineData!$BC:$BM,3,0),0)</f>
        <v>16</v>
      </c>
      <c r="M17" s="33">
        <f>ROUND(VLOOKUP($B17,SportslineData!$BC:$BM,7,0),0)</f>
        <v>4</v>
      </c>
      <c r="N17" s="33">
        <f>ROUND(VLOOKUP($B17,SportslineData!$BC:$BM,8,0),0)</f>
        <v>1</v>
      </c>
      <c r="O17" s="64">
        <f>ROUND(VLOOKUP($B17,SportslineData!$BC:$BM,9,0),0)</f>
        <v>365</v>
      </c>
      <c r="P17" s="117"/>
      <c r="Q17" s="33"/>
      <c r="R17" s="38">
        <f>ROUND((((((((((((((D17*Settings!$F$20)+(E17*Settings!$I$23))+(F17*Settings!$F$23))+(G17*Settings!$I$20))+(H17*Settings!$F$24))+(AA17*Settings!$I$24))+(AB17*Settings!$F$25))+(AC17*Settings!$I$25))+(AD17*Settings!$F$26))+(AF17*Settings!$I$26))+(AG17*Settings!$F$27))+(AH17*Settings!$I$27))+(AI17*Settings!$F$28)),1)</f>
        <v>78</v>
      </c>
      <c r="S17" s="38">
        <f>IF(OR(ISERROR(ROUND(VLOOKUP(A17,ESPNData!$BN:$CA,14,0),1)),(A17="")),0,ROUND(VLOOKUP(A17,ESPNData!$BN:$CA,14,0),1))</f>
        <v>77</v>
      </c>
      <c r="T17" s="38">
        <f>ROUND((((((((((((((J17*Settings!$F$20)+(K17*Settings!$I$23))+(L17*Settings!$F$23))+(M17*Settings!$I$20))+(N17*Settings!$F$24))+(AO17*Settings!$I$24))+(AP17*Settings!$F$25))+(AQ17*Settings!$I$25))+(AR17*Settings!$F$26))+(AT17*Settings!$I$26))+(AU17*Settings!$F$27))+(AV17*Settings!$I$27))+(AW17*Settings!$F$28)),1)</f>
        <v>99</v>
      </c>
      <c r="U17" s="66">
        <f>ROUND((((R17*Settings!$B$21)+(S17*Settings!$B$22))+(T17*Settings!$B$23)),1)</f>
        <v>84.8</v>
      </c>
      <c r="V17" s="66">
        <f>IF(ISERROR(VLOOKUP(RANK(U17,U$4:U$182),V$4:V16,1,0)),RANK(U17,U$4:U$182),IF(ISERROR(VLOOKUP((RANK(U17,U$4:U$182)+1),V$4:V16,1,0)),(RANK(U17,U$4:U$182)+1),IF(ISERROR(VLOOKUP((RANK(U17,U$4:U$182)+2),V$4:V16,1,0)),(RANK(U17,U$4:U$182)+2),(RANK(U17,U$4:U$182)+3))))</f>
        <v>14</v>
      </c>
      <c r="W17" s="33" t="str">
        <f t="shared" si="1"/>
        <v>Ravens</v>
      </c>
      <c r="X17" s="33"/>
      <c r="Y17" s="33">
        <f t="shared" si="2"/>
        <v>22.25</v>
      </c>
      <c r="Z17" s="131">
        <f t="shared" si="3"/>
        <v>2.41392247342579</v>
      </c>
      <c r="AA17" s="33">
        <f t="shared" si="4"/>
        <v>0</v>
      </c>
      <c r="AB17" s="33">
        <f>ROUND((16*NORMDIST(AB$3,$Y17,$Z17,1)),0)-SUM($AA17:AA17)</f>
        <v>0</v>
      </c>
      <c r="AC17" s="33">
        <f>ROUND((16*NORMDIST(AC$3,$Y17,$Z17,1)),0)-SUM($AA17:AB17)</f>
        <v>0</v>
      </c>
      <c r="AD17" s="33">
        <f>ROUND((16*NORMDIST(AD$3,$Y17,$Z17,1)),0)-SUM($AA17:AC17)</f>
        <v>0</v>
      </c>
      <c r="AE17" s="33">
        <f>ROUND((16*NORMDIST(AE$3,$Y17,$Z17,1)),0)-SUM($AA17:AD17)</f>
        <v>5</v>
      </c>
      <c r="AF17" s="33">
        <f>ROUND((16*NORMDIST(AF$3,$Y17,$Z17,1)),0)-SUM($AA17:AE17)</f>
        <v>11</v>
      </c>
      <c r="AG17" s="33">
        <f>ROUND((16*NORMDIST(AG$3,$Y17,$Z17,1)),0)-SUM($AA17:AF17)</f>
        <v>0</v>
      </c>
      <c r="AH17" s="33">
        <f>ROUND((16*NORMDIST(AH$3,$Y17,$Z17,1)),0)-SUM($AA17:AG17)</f>
        <v>0</v>
      </c>
      <c r="AI17">
        <f t="shared" si="5"/>
        <v>0</v>
      </c>
      <c r="AK17" s="33">
        <f>(((((((AA17*Settings!$I$24)+(AB17*Settings!$F$25))+(AC17*Settings!$I$25))+(AD17*Settings!$F$26))+(AF17*Settings!$I$26))+(AG17*Settings!$F$27))+(AH17*Settings!$I$27))+(AI17*Settings!$F$28)</f>
        <v>-11</v>
      </c>
      <c r="AM17" s="33">
        <f t="shared" si="6"/>
        <v>22.8125</v>
      </c>
      <c r="AN17" s="131">
        <f t="shared" si="7"/>
        <v>3.1260199249114917</v>
      </c>
      <c r="AO17" s="33">
        <f t="shared" si="8"/>
        <v>0</v>
      </c>
      <c r="AP17" s="33">
        <f>ROUND((16*NORMDIST(AP$3,$AM17,$AN17,1)),0)-SUM($AO17:AO17)</f>
        <v>0</v>
      </c>
      <c r="AQ17" s="33">
        <f>ROUND((16*NORMDIST(AQ$3,$AM17,$AN17,1)),0)-SUM($AO17:AP17)</f>
        <v>0</v>
      </c>
      <c r="AR17" s="33">
        <f>ROUND((16*NORMDIST(AR$3,$AM17,$AN17,1)),0)-SUM($AO17:AQ17)</f>
        <v>1</v>
      </c>
      <c r="AS17" s="33">
        <f>ROUND((16*NORMDIST(AS$3,$AM17,$AN17,1)),0)-SUM($AO17:AR17)</f>
        <v>3</v>
      </c>
      <c r="AT17" s="33">
        <f>ROUND((16*NORMDIST(AT$3,$AM17,$AN17,1)),0)-SUM($AO17:AS17)</f>
        <v>11</v>
      </c>
      <c r="AU17" s="33">
        <f>ROUND((16*NORMDIST(AU$3,$AM17,$AN17,1)),0)-SUM($AO17:AT17)</f>
        <v>1</v>
      </c>
      <c r="AV17" s="33">
        <f>ROUND((16*NORMDIST(AV$3,$AM17,$AN17,1)),0)-SUM($AO17:AU17)</f>
        <v>0</v>
      </c>
      <c r="AW17">
        <f t="shared" si="9"/>
        <v>0</v>
      </c>
      <c r="AY17" s="33">
        <f>(((((((AO17*Settings!$I$24)+(AP17*Settings!$F$25))+(AQ17*Settings!$I$25))+(AR17*Settings!$F$26))+(AT17*Settings!$I$26))+(AU17*Settings!$F$27))+(AV17*Settings!$I$27))+(AW17*Settings!$F$28)</f>
        <v>-14</v>
      </c>
    </row>
    <row r="18" spans="1:51" ht="12.75" customHeight="1">
      <c r="A18" s="33" t="str">
        <f>ESPNData!BN17</f>
        <v>Browns D/ST D/ST</v>
      </c>
      <c r="B18" s="33" t="str">
        <f t="shared" si="0"/>
        <v>Browns</v>
      </c>
      <c r="C18" s="64" t="str">
        <f>VLOOKUP(B18,Settings!$K$2:$M$33,3,0)</f>
        <v>CLE</v>
      </c>
      <c r="D18" s="117">
        <f>VLOOKUP(VLOOKUP($B18,Settings!$K$2:$L$33,2,0),FFTodayData!$BH:$BS,3,0)</f>
        <v>41</v>
      </c>
      <c r="E18" s="33">
        <f>VLOOKUP(VLOOKUP($B18,Settings!$K$2:$L$33,2,0),FFTodayData!$BH:$BS,4,0)</f>
        <v>9</v>
      </c>
      <c r="F18" s="33">
        <f>VLOOKUP(VLOOKUP($B18,Settings!$K$2:$L$33,2,0),FFTodayData!$BH:$BS,5,0)</f>
        <v>16</v>
      </c>
      <c r="G18" s="33">
        <f>VLOOKUP(VLOOKUP($B18,Settings!$K$2:$L$33,2,0),FFTodayData!$BH:$BS,6,0)</f>
        <v>3</v>
      </c>
      <c r="H18" s="33">
        <f>VLOOKUP(VLOOKUP($B18,Settings!$K$2:$L$33,2,0),FFTodayData!$BH:$BS,10,0)</f>
        <v>0</v>
      </c>
      <c r="I18" s="64">
        <f>VLOOKUP(VLOOKUP($B18,Settings!$K$2:$L$33,2,0),FFTodayData!$BH:$BS,7,0)</f>
        <v>387</v>
      </c>
      <c r="J18" s="117">
        <f>ROUND(VLOOKUP($B18,SportslineData!$BC:$BM,6,0),0)</f>
        <v>42</v>
      </c>
      <c r="K18" s="33">
        <f>ROUND(VLOOKUP($B18,SportslineData!$BC:$BM,4,0),0)</f>
        <v>10</v>
      </c>
      <c r="L18" s="33">
        <f>ROUND(VLOOKUP($B18,SportslineData!$BC:$BM,3,0),0)</f>
        <v>18</v>
      </c>
      <c r="M18" s="33">
        <f>ROUND(VLOOKUP($B18,SportslineData!$BC:$BM,7,0),0)</f>
        <v>4</v>
      </c>
      <c r="N18" s="33">
        <f>ROUND(VLOOKUP($B18,SportslineData!$BC:$BM,8,0),0)</f>
        <v>1</v>
      </c>
      <c r="O18" s="64">
        <f>ROUND(VLOOKUP($B18,SportslineData!$BC:$BM,9,0),0)</f>
        <v>380</v>
      </c>
      <c r="P18" s="117"/>
      <c r="Q18" s="33"/>
      <c r="R18" s="38">
        <f>ROUND((((((((((((((D18*Settings!$F$20)+(E18*Settings!$I$23))+(F18*Settings!$F$23))+(G18*Settings!$I$20))+(H18*Settings!$F$24))+(AA18*Settings!$I$24))+(AB18*Settings!$F$25))+(AC18*Settings!$I$25))+(AD18*Settings!$F$26))+(AF18*Settings!$I$26))+(AG18*Settings!$F$27))+(AH18*Settings!$I$27))+(AI18*Settings!$F$28)),1)</f>
        <v>80</v>
      </c>
      <c r="S18" s="38">
        <f>IF(OR(ISERROR(ROUND(VLOOKUP(A18,ESPNData!$BN:$CA,14,0),1)),(A18="")),0,ROUND(VLOOKUP(A18,ESPNData!$BN:$CA,14,0),1))</f>
        <v>86</v>
      </c>
      <c r="T18" s="38">
        <f>ROUND((((((((((((((J18*Settings!$F$20)+(K18*Settings!$I$23))+(L18*Settings!$F$23))+(M18*Settings!$I$20))+(N18*Settings!$F$24))+(AO18*Settings!$I$24))+(AP18*Settings!$F$25))+(AQ18*Settings!$I$25))+(AR18*Settings!$F$26))+(AT18*Settings!$I$26))+(AU18*Settings!$F$27))+(AV18*Settings!$I$27))+(AW18*Settings!$F$28)),1)</f>
        <v>94</v>
      </c>
      <c r="U18" s="66">
        <f>ROUND((((R18*Settings!$B$21)+(S18*Settings!$B$22))+(T18*Settings!$B$23)),1)</f>
        <v>86.7</v>
      </c>
      <c r="V18" s="66">
        <f>IF(ISERROR(VLOOKUP(RANK(U18,U$4:U$182),V$4:V17,1,0)),RANK(U18,U$4:U$182),IF(ISERROR(VLOOKUP((RANK(U18,U$4:U$182)+1),V$4:V17,1,0)),(RANK(U18,U$4:U$182)+1),IF(ISERROR(VLOOKUP((RANK(U18,U$4:U$182)+2),V$4:V17,1,0)),(RANK(U18,U$4:U$182)+2),(RANK(U18,U$4:U$182)+3))))</f>
        <v>13</v>
      </c>
      <c r="W18" s="33" t="str">
        <f t="shared" si="1"/>
        <v>Browns</v>
      </c>
      <c r="X18" s="33"/>
      <c r="Y18" s="33">
        <f t="shared" si="2"/>
        <v>24.1875</v>
      </c>
      <c r="Z18" s="131">
        <f t="shared" si="3"/>
        <v>2.6241235876847777</v>
      </c>
      <c r="AA18" s="33">
        <f t="shared" si="4"/>
        <v>0</v>
      </c>
      <c r="AB18" s="33">
        <f>ROUND((16*NORMDIST(AB$3,$Y18,$Z18,1)),0)-SUM($AA18:AA18)</f>
        <v>0</v>
      </c>
      <c r="AC18" s="33">
        <f>ROUND((16*NORMDIST(AC$3,$Y18,$Z18,1)),0)-SUM($AA18:AB18)</f>
        <v>0</v>
      </c>
      <c r="AD18" s="33">
        <f>ROUND((16*NORMDIST(AD$3,$Y18,$Z18,1)),0)-SUM($AA18:AC18)</f>
        <v>0</v>
      </c>
      <c r="AE18" s="33">
        <f>ROUND((16*NORMDIST(AE$3,$Y18,$Z18,1)),0)-SUM($AA18:AD18)</f>
        <v>2</v>
      </c>
      <c r="AF18" s="33">
        <f>ROUND((16*NORMDIST(AF$3,$Y18,$Z18,1)),0)-SUM($AA18:AE18)</f>
        <v>12</v>
      </c>
      <c r="AG18" s="33">
        <f>ROUND((16*NORMDIST(AG$3,$Y18,$Z18,1)),0)-SUM($AA18:AF18)</f>
        <v>2</v>
      </c>
      <c r="AH18" s="33">
        <f>ROUND((16*NORMDIST(AH$3,$Y18,$Z18,1)),0)-SUM($AA18:AG18)</f>
        <v>0</v>
      </c>
      <c r="AI18">
        <f t="shared" si="5"/>
        <v>0</v>
      </c>
      <c r="AK18" s="33">
        <f>(((((((AA18*Settings!$I$24)+(AB18*Settings!$F$25))+(AC18*Settings!$I$25))+(AD18*Settings!$F$26))+(AF18*Settings!$I$26))+(AG18*Settings!$F$27))+(AH18*Settings!$I$27))+(AI18*Settings!$F$28)</f>
        <v>-20</v>
      </c>
      <c r="AM18" s="33">
        <f t="shared" si="6"/>
        <v>23.75</v>
      </c>
      <c r="AN18" s="131">
        <f t="shared" si="7"/>
        <v>3.2544864971681284</v>
      </c>
      <c r="AO18" s="33">
        <f t="shared" si="8"/>
        <v>0</v>
      </c>
      <c r="AP18" s="33">
        <f>ROUND((16*NORMDIST(AP$3,$AM18,$AN18,1)),0)-SUM($AO18:AO18)</f>
        <v>0</v>
      </c>
      <c r="AQ18" s="33">
        <f>ROUND((16*NORMDIST(AQ$3,$AM18,$AN18,1)),0)-SUM($AO18:AP18)</f>
        <v>0</v>
      </c>
      <c r="AR18" s="33">
        <f>ROUND((16*NORMDIST(AR$3,$AM18,$AN18,1)),0)-SUM($AO18:AQ18)</f>
        <v>0</v>
      </c>
      <c r="AS18" s="33">
        <f>ROUND((16*NORMDIST(AS$3,$AM18,$AN18,1)),0)-SUM($AO18:AR18)</f>
        <v>3</v>
      </c>
      <c r="AT18" s="33">
        <f>ROUND((16*NORMDIST(AT$3,$AM18,$AN18,1)),0)-SUM($AO18:AS18)</f>
        <v>10</v>
      </c>
      <c r="AU18" s="33">
        <f>ROUND((16*NORMDIST(AU$3,$AM18,$AN18,1)),0)-SUM($AO18:AT18)</f>
        <v>3</v>
      </c>
      <c r="AV18" s="33">
        <f>ROUND((16*NORMDIST(AV$3,$AM18,$AN18,1)),0)-SUM($AO18:AU18)</f>
        <v>0</v>
      </c>
      <c r="AW18">
        <f t="shared" si="9"/>
        <v>0</v>
      </c>
      <c r="AY18" s="33">
        <f>(((((((AO18*Settings!$I$24)+(AP18*Settings!$F$25))+(AQ18*Settings!$I$25))+(AR18*Settings!$F$26))+(AT18*Settings!$I$26))+(AU18*Settings!$F$27))+(AV18*Settings!$I$27))+(AW18*Settings!$F$28)</f>
        <v>-22</v>
      </c>
    </row>
    <row r="19" spans="1:51" ht="12.75" customHeight="1">
      <c r="A19" s="33" t="str">
        <f>ESPNData!BN18</f>
        <v>Steelers D/ST D/ST</v>
      </c>
      <c r="B19" s="33" t="str">
        <f t="shared" si="0"/>
        <v>Steelers</v>
      </c>
      <c r="C19" s="64" t="str">
        <f>VLOOKUP(B19,Settings!$K$2:$M$33,3,0)</f>
        <v>PIT</v>
      </c>
      <c r="D19" s="117">
        <f>VLOOKUP(VLOOKUP($B19,Settings!$K$2:$L$33,2,0),FFTodayData!$BH:$BS,3,0)</f>
        <v>40</v>
      </c>
      <c r="E19" s="33">
        <f>VLOOKUP(VLOOKUP($B19,Settings!$K$2:$L$33,2,0),FFTodayData!$BH:$BS,4,0)</f>
        <v>10</v>
      </c>
      <c r="F19" s="33">
        <f>VLOOKUP(VLOOKUP($B19,Settings!$K$2:$L$33,2,0),FFTodayData!$BH:$BS,5,0)</f>
        <v>13</v>
      </c>
      <c r="G19" s="33">
        <f>VLOOKUP(VLOOKUP($B19,Settings!$K$2:$L$33,2,0),FFTodayData!$BH:$BS,6,0)</f>
        <v>4</v>
      </c>
      <c r="H19" s="33">
        <f>VLOOKUP(VLOOKUP($B19,Settings!$K$2:$L$33,2,0),FFTodayData!$BH:$BS,10,0)</f>
        <v>0</v>
      </c>
      <c r="I19" s="64">
        <f>VLOOKUP(VLOOKUP($B19,Settings!$K$2:$L$33,2,0),FFTodayData!$BH:$BS,7,0)</f>
        <v>356</v>
      </c>
      <c r="J19" s="117">
        <f>ROUND(VLOOKUP($B19,SportslineData!$BC:$BM,6,0),0)</f>
        <v>44</v>
      </c>
      <c r="K19" s="33">
        <f>ROUND(VLOOKUP($B19,SportslineData!$BC:$BM,4,0),0)</f>
        <v>10</v>
      </c>
      <c r="L19" s="33">
        <f>ROUND(VLOOKUP($B19,SportslineData!$BC:$BM,3,0),0)</f>
        <v>17</v>
      </c>
      <c r="M19" s="33">
        <f>ROUND(VLOOKUP($B19,SportslineData!$BC:$BM,7,0),0)</f>
        <v>4</v>
      </c>
      <c r="N19" s="33">
        <f>ROUND(VLOOKUP($B19,SportslineData!$BC:$BM,8,0),0)</f>
        <v>1</v>
      </c>
      <c r="O19" s="64">
        <f>ROUND(VLOOKUP($B19,SportslineData!$BC:$BM,9,0),0)</f>
        <v>361</v>
      </c>
      <c r="P19" s="117"/>
      <c r="Q19" s="33"/>
      <c r="R19" s="38">
        <f>ROUND((((((((((((((D19*Settings!$F$20)+(E19*Settings!$I$23))+(F19*Settings!$F$23))+(G19*Settings!$I$20))+(H19*Settings!$F$24))+(AA19*Settings!$I$24))+(AB19*Settings!$F$25))+(AC19*Settings!$I$25))+(AD19*Settings!$F$26))+(AF19*Settings!$I$26))+(AG19*Settings!$F$27))+(AH19*Settings!$I$27))+(AI19*Settings!$F$28)),1)</f>
        <v>89</v>
      </c>
      <c r="S19" s="38">
        <f>IF(OR(ISERROR(ROUND(VLOOKUP(A19,ESPNData!$BN:$CA,14,0),1)),(A19="")),0,ROUND(VLOOKUP(A19,ESPNData!$BN:$CA,14,0),1))</f>
        <v>70</v>
      </c>
      <c r="T19" s="38">
        <f>ROUND((((((((((((((J19*Settings!$F$20)+(K19*Settings!$I$23))+(L19*Settings!$F$23))+(M19*Settings!$I$20))+(N19*Settings!$F$24))+(AO19*Settings!$I$24))+(AP19*Settings!$F$25))+(AQ19*Settings!$I$25))+(AR19*Settings!$F$26))+(AT19*Settings!$I$26))+(AU19*Settings!$F$27))+(AV19*Settings!$I$27))+(AW19*Settings!$F$28)),1)</f>
        <v>103</v>
      </c>
      <c r="U19" s="66">
        <f>ROUND((((R19*Settings!$B$21)+(S19*Settings!$B$22))+(T19*Settings!$B$23)),1)</f>
        <v>87.5</v>
      </c>
      <c r="V19" s="66">
        <f>IF(ISERROR(VLOOKUP(RANK(U19,U$4:U$182),V$4:V18,1,0)),RANK(U19,U$4:U$182),IF(ISERROR(VLOOKUP((RANK(U19,U$4:U$182)+1),V$4:V18,1,0)),(RANK(U19,U$4:U$182)+1),IF(ISERROR(VLOOKUP((RANK(U19,U$4:U$182)+2),V$4:V18,1,0)),(RANK(U19,U$4:U$182)+2),(RANK(U19,U$4:U$182)+3))))</f>
        <v>12</v>
      </c>
      <c r="W19" s="33" t="str">
        <f t="shared" si="1"/>
        <v>Steelers</v>
      </c>
      <c r="X19" s="33"/>
      <c r="Y19" s="33">
        <f t="shared" si="2"/>
        <v>22.25</v>
      </c>
      <c r="Z19" s="131">
        <f t="shared" si="3"/>
        <v>2.41392247342579</v>
      </c>
      <c r="AA19" s="33">
        <f t="shared" si="4"/>
        <v>0</v>
      </c>
      <c r="AB19" s="33">
        <f>ROUND((16*NORMDIST(AB$3,$Y19,$Z19,1)),0)-SUM($AA19:AA19)</f>
        <v>0</v>
      </c>
      <c r="AC19" s="33">
        <f>ROUND((16*NORMDIST(AC$3,$Y19,$Z19,1)),0)-SUM($AA19:AB19)</f>
        <v>0</v>
      </c>
      <c r="AD19" s="33">
        <f>ROUND((16*NORMDIST(AD$3,$Y19,$Z19,1)),0)-SUM($AA19:AC19)</f>
        <v>0</v>
      </c>
      <c r="AE19" s="33">
        <f>ROUND((16*NORMDIST(AE$3,$Y19,$Z19,1)),0)-SUM($AA19:AD19)</f>
        <v>5</v>
      </c>
      <c r="AF19" s="33">
        <f>ROUND((16*NORMDIST(AF$3,$Y19,$Z19,1)),0)-SUM($AA19:AE19)</f>
        <v>11</v>
      </c>
      <c r="AG19" s="33">
        <f>ROUND((16*NORMDIST(AG$3,$Y19,$Z19,1)),0)-SUM($AA19:AF19)</f>
        <v>0</v>
      </c>
      <c r="AH19" s="33">
        <f>ROUND((16*NORMDIST(AH$3,$Y19,$Z19,1)),0)-SUM($AA19:AG19)</f>
        <v>0</v>
      </c>
      <c r="AI19">
        <f t="shared" si="5"/>
        <v>0</v>
      </c>
      <c r="AK19" s="33">
        <f>(((((((AA19*Settings!$I$24)+(AB19*Settings!$F$25))+(AC19*Settings!$I$25))+(AD19*Settings!$F$26))+(AF19*Settings!$I$26))+(AG19*Settings!$F$27))+(AH19*Settings!$I$27))+(AI19*Settings!$F$28)</f>
        <v>-11</v>
      </c>
      <c r="AM19" s="33">
        <f t="shared" si="6"/>
        <v>22.5625</v>
      </c>
      <c r="AN19" s="131">
        <f t="shared" si="7"/>
        <v>3.0917621723097217</v>
      </c>
      <c r="AO19" s="33">
        <f t="shared" si="8"/>
        <v>0</v>
      </c>
      <c r="AP19" s="33">
        <f>ROUND((16*NORMDIST(AP$3,$AM19,$AN19,1)),0)-SUM($AO19:AO19)</f>
        <v>0</v>
      </c>
      <c r="AQ19" s="33">
        <f>ROUND((16*NORMDIST(AQ$3,$AM19,$AN19,1)),0)-SUM($AO19:AP19)</f>
        <v>0</v>
      </c>
      <c r="AR19" s="33">
        <f>ROUND((16*NORMDIST(AR$3,$AM19,$AN19,1)),0)-SUM($AO19:AQ19)</f>
        <v>1</v>
      </c>
      <c r="AS19" s="33">
        <f>ROUND((16*NORMDIST(AS$3,$AM19,$AN19,1)),0)-SUM($AO19:AR19)</f>
        <v>4</v>
      </c>
      <c r="AT19" s="33">
        <f>ROUND((16*NORMDIST(AT$3,$AM19,$AN19,1)),0)-SUM($AO19:AS19)</f>
        <v>10</v>
      </c>
      <c r="AU19" s="33">
        <f>ROUND((16*NORMDIST(AU$3,$AM19,$AN19,1)),0)-SUM($AO19:AT19)</f>
        <v>1</v>
      </c>
      <c r="AV19" s="33">
        <f>ROUND((16*NORMDIST(AV$3,$AM19,$AN19,1)),0)-SUM($AO19:AU19)</f>
        <v>0</v>
      </c>
      <c r="AW19">
        <f t="shared" si="9"/>
        <v>0</v>
      </c>
      <c r="AY19" s="33">
        <f>(((((((AO19*Settings!$I$24)+(AP19*Settings!$F$25))+(AQ19*Settings!$I$25))+(AR19*Settings!$F$26))+(AT19*Settings!$I$26))+(AU19*Settings!$F$27))+(AV19*Settings!$I$27))+(AW19*Settings!$F$28)</f>
        <v>-13</v>
      </c>
    </row>
    <row r="20" spans="1:51" ht="12.75" customHeight="1">
      <c r="A20" s="33" t="str">
        <f>ESPNData!BN19</f>
        <v>Giants D/ST D/ST</v>
      </c>
      <c r="B20" s="33" t="str">
        <f t="shared" si="0"/>
        <v>Giants</v>
      </c>
      <c r="C20" s="64" t="str">
        <f>VLOOKUP(B20,Settings!$K$2:$M$33,3,0)</f>
        <v>NYG</v>
      </c>
      <c r="D20" s="117">
        <f>VLOOKUP(VLOOKUP($B20,Settings!$K$2:$L$33,2,0),FFTodayData!$BH:$BS,3,0)</f>
        <v>31</v>
      </c>
      <c r="E20" s="33">
        <f>VLOOKUP(VLOOKUP($B20,Settings!$K$2:$L$33,2,0),FFTodayData!$BH:$BS,4,0)</f>
        <v>10</v>
      </c>
      <c r="F20" s="33">
        <f>VLOOKUP(VLOOKUP($B20,Settings!$K$2:$L$33,2,0),FFTodayData!$BH:$BS,5,0)</f>
        <v>13</v>
      </c>
      <c r="G20" s="33">
        <f>VLOOKUP(VLOOKUP($B20,Settings!$K$2:$L$33,2,0),FFTodayData!$BH:$BS,6,0)</f>
        <v>2</v>
      </c>
      <c r="H20" s="33">
        <f>VLOOKUP(VLOOKUP($B20,Settings!$K$2:$L$33,2,0),FFTodayData!$BH:$BS,10,0)</f>
        <v>1</v>
      </c>
      <c r="I20" s="64">
        <f>VLOOKUP(VLOOKUP($B20,Settings!$K$2:$L$33,2,0),FFTodayData!$BH:$BS,7,0)</f>
        <v>395</v>
      </c>
      <c r="J20" s="117">
        <f>ROUND(VLOOKUP($B20,SportslineData!$BC:$BM,6,0),0)</f>
        <v>38</v>
      </c>
      <c r="K20" s="33">
        <f>ROUND(VLOOKUP($B20,SportslineData!$BC:$BM,4,0),0)</f>
        <v>9</v>
      </c>
      <c r="L20" s="33">
        <f>ROUND(VLOOKUP($B20,SportslineData!$BC:$BM,3,0),0)</f>
        <v>18</v>
      </c>
      <c r="M20" s="33">
        <f>ROUND(VLOOKUP($B20,SportslineData!$BC:$BM,7,0),0)</f>
        <v>3</v>
      </c>
      <c r="N20" s="33">
        <f>ROUND(VLOOKUP($B20,SportslineData!$BC:$BM,8,0),0)</f>
        <v>0</v>
      </c>
      <c r="O20" s="64">
        <f>ROUND(VLOOKUP($B20,SportslineData!$BC:$BM,9,0),0)</f>
        <v>376</v>
      </c>
      <c r="P20" s="117"/>
      <c r="Q20" s="33"/>
      <c r="R20" s="38">
        <f>ROUND((((((((((((((D20*Settings!$F$20)+(E20*Settings!$I$23))+(F20*Settings!$F$23))+(G20*Settings!$I$20))+(H20*Settings!$F$24))+(AA20*Settings!$I$24))+(AB20*Settings!$F$25))+(AC20*Settings!$I$25))+(AD20*Settings!$F$26))+(AF20*Settings!$I$26))+(AG20*Settings!$F$27))+(AH20*Settings!$I$27))+(AI20*Settings!$F$28)),1)</f>
        <v>59</v>
      </c>
      <c r="S20" s="38">
        <f>IF(OR(ISERROR(ROUND(VLOOKUP(A20,ESPNData!$BN:$CA,14,0),1)),(A20="")),0,ROUND(VLOOKUP(A20,ESPNData!$BN:$CA,14,0),1))</f>
        <v>71</v>
      </c>
      <c r="T20" s="38">
        <f>ROUND((((((((((((((J20*Settings!$F$20)+(K20*Settings!$I$23))+(L20*Settings!$F$23))+(M20*Settings!$I$20))+(N20*Settings!$F$24))+(AO20*Settings!$I$24))+(AP20*Settings!$F$25))+(AQ20*Settings!$I$25))+(AR20*Settings!$F$26))+(AT20*Settings!$I$26))+(AU20*Settings!$F$27))+(AV20*Settings!$I$27))+(AW20*Settings!$F$28)),1)</f>
        <v>83</v>
      </c>
      <c r="U20" s="66">
        <f>ROUND((((R20*Settings!$B$21)+(S20*Settings!$B$22))+(T20*Settings!$B$23)),1)</f>
        <v>71.099999999999994</v>
      </c>
      <c r="V20" s="66">
        <f>IF(ISERROR(VLOOKUP(RANK(U20,U$4:U$182),V$4:V19,1,0)),RANK(U20,U$4:U$182),IF(ISERROR(VLOOKUP((RANK(U20,U$4:U$182)+1),V$4:V19,1,0)),(RANK(U20,U$4:U$182)+1),IF(ISERROR(VLOOKUP((RANK(U20,U$4:U$182)+2),V$4:V19,1,0)),(RANK(U20,U$4:U$182)+2),(RANK(U20,U$4:U$182)+3))))</f>
        <v>22</v>
      </c>
      <c r="W20" s="33" t="str">
        <f t="shared" si="1"/>
        <v>Giants</v>
      </c>
      <c r="X20" s="33"/>
      <c r="Y20" s="33">
        <f t="shared" si="2"/>
        <v>24.6875</v>
      </c>
      <c r="Z20" s="131">
        <f t="shared" si="3"/>
        <v>2.6783690365258064</v>
      </c>
      <c r="AA20" s="33">
        <f t="shared" si="4"/>
        <v>0</v>
      </c>
      <c r="AB20" s="33">
        <f>ROUND((16*NORMDIST(AB$3,$Y20,$Z20,1)),0)-SUM($AA20:AA20)</f>
        <v>0</v>
      </c>
      <c r="AC20" s="33">
        <f>ROUND((16*NORMDIST(AC$3,$Y20,$Z20,1)),0)-SUM($AA20:AB20)</f>
        <v>0</v>
      </c>
      <c r="AD20" s="33">
        <f>ROUND((16*NORMDIST(AD$3,$Y20,$Z20,1)),0)-SUM($AA20:AC20)</f>
        <v>0</v>
      </c>
      <c r="AE20" s="33">
        <f>ROUND((16*NORMDIST(AE$3,$Y20,$Z20,1)),0)-SUM($AA20:AD20)</f>
        <v>1</v>
      </c>
      <c r="AF20" s="33">
        <f>ROUND((16*NORMDIST(AF$3,$Y20,$Z20,1)),0)-SUM($AA20:AE20)</f>
        <v>12</v>
      </c>
      <c r="AG20" s="33">
        <f>ROUND((16*NORMDIST(AG$3,$Y20,$Z20,1)),0)-SUM($AA20:AF20)</f>
        <v>3</v>
      </c>
      <c r="AH20" s="33">
        <f>ROUND((16*NORMDIST(AH$3,$Y20,$Z20,1)),0)-SUM($AA20:AG20)</f>
        <v>0</v>
      </c>
      <c r="AI20">
        <f t="shared" si="5"/>
        <v>0</v>
      </c>
      <c r="AK20" s="33">
        <f>(((((((AA20*Settings!$I$24)+(AB20*Settings!$F$25))+(AC20*Settings!$I$25))+(AD20*Settings!$F$26))+(AF20*Settings!$I$26))+(AG20*Settings!$F$27))+(AH20*Settings!$I$27))+(AI20*Settings!$F$28)</f>
        <v>-24</v>
      </c>
      <c r="AM20" s="33">
        <f t="shared" si="6"/>
        <v>23.5</v>
      </c>
      <c r="AN20" s="131">
        <f t="shared" si="7"/>
        <v>3.2202287445663584</v>
      </c>
      <c r="AO20" s="33">
        <f t="shared" si="8"/>
        <v>0</v>
      </c>
      <c r="AP20" s="33">
        <f>ROUND((16*NORMDIST(AP$3,$AM20,$AN20,1)),0)-SUM($AO20:AO20)</f>
        <v>0</v>
      </c>
      <c r="AQ20" s="33">
        <f>ROUND((16*NORMDIST(AQ$3,$AM20,$AN20,1)),0)-SUM($AO20:AP20)</f>
        <v>0</v>
      </c>
      <c r="AR20" s="33">
        <f>ROUND((16*NORMDIST(AR$3,$AM20,$AN20,1)),0)-SUM($AO20:AQ20)</f>
        <v>0</v>
      </c>
      <c r="AS20" s="33">
        <f>ROUND((16*NORMDIST(AS$3,$AM20,$AN20,1)),0)-SUM($AO20:AR20)</f>
        <v>4</v>
      </c>
      <c r="AT20" s="33">
        <f>ROUND((16*NORMDIST(AT$3,$AM20,$AN20,1)),0)-SUM($AO20:AS20)</f>
        <v>10</v>
      </c>
      <c r="AU20" s="33">
        <f>ROUND((16*NORMDIST(AU$3,$AM20,$AN20,1)),0)-SUM($AO20:AT20)</f>
        <v>2</v>
      </c>
      <c r="AV20" s="33">
        <f>ROUND((16*NORMDIST(AV$3,$AM20,$AN20,1)),0)-SUM($AO20:AU20)</f>
        <v>0</v>
      </c>
      <c r="AW20">
        <f t="shared" si="9"/>
        <v>0</v>
      </c>
      <c r="AY20" s="33">
        <f>(((((((AO20*Settings!$I$24)+(AP20*Settings!$F$25))+(AQ20*Settings!$I$25))+(AR20*Settings!$F$26))+(AT20*Settings!$I$26))+(AU20*Settings!$F$27))+(AV20*Settings!$I$27))+(AW20*Settings!$F$28)</f>
        <v>-18</v>
      </c>
    </row>
    <row r="21" spans="1:51" ht="12.75" customHeight="1">
      <c r="A21" s="33" t="str">
        <f>ESPNData!BN20</f>
        <v>Eagles D/ST D/ST</v>
      </c>
      <c r="B21" s="33" t="str">
        <f t="shared" si="0"/>
        <v>Eagles</v>
      </c>
      <c r="C21" s="64" t="str">
        <f>VLOOKUP(B21,Settings!$K$2:$M$33,3,0)</f>
        <v>PHI</v>
      </c>
      <c r="D21" s="117">
        <f>VLOOKUP(VLOOKUP($B21,Settings!$K$2:$L$33,2,0),FFTodayData!$BH:$BS,3,0)</f>
        <v>36</v>
      </c>
      <c r="E21" s="33">
        <f>VLOOKUP(VLOOKUP($B21,Settings!$K$2:$L$33,2,0),FFTodayData!$BH:$BS,4,0)</f>
        <v>11</v>
      </c>
      <c r="F21" s="33">
        <f>VLOOKUP(VLOOKUP($B21,Settings!$K$2:$L$33,2,0),FFTodayData!$BH:$BS,5,0)</f>
        <v>16</v>
      </c>
      <c r="G21" s="33">
        <f>VLOOKUP(VLOOKUP($B21,Settings!$K$2:$L$33,2,0),FFTodayData!$BH:$BS,6,0)</f>
        <v>2</v>
      </c>
      <c r="H21" s="33">
        <f>VLOOKUP(VLOOKUP($B21,Settings!$K$2:$L$33,2,0),FFTodayData!$BH:$BS,10,0)</f>
        <v>0</v>
      </c>
      <c r="I21" s="64">
        <f>VLOOKUP(VLOOKUP($B21,Settings!$K$2:$L$33,2,0),FFTodayData!$BH:$BS,7,0)</f>
        <v>412</v>
      </c>
      <c r="J21" s="117">
        <f>ROUND(VLOOKUP($B21,SportslineData!$BC:$BM,6,0),0)</f>
        <v>37</v>
      </c>
      <c r="K21" s="33">
        <f>ROUND(VLOOKUP($B21,SportslineData!$BC:$BM,4,0),0)</f>
        <v>9</v>
      </c>
      <c r="L21" s="33">
        <f>ROUND(VLOOKUP($B21,SportslineData!$BC:$BM,3,0),0)</f>
        <v>17</v>
      </c>
      <c r="M21" s="33">
        <f>ROUND(VLOOKUP($B21,SportslineData!$BC:$BM,7,0),0)</f>
        <v>4</v>
      </c>
      <c r="N21" s="33">
        <f>ROUND(VLOOKUP($B21,SportslineData!$BC:$BM,8,0),0)</f>
        <v>1</v>
      </c>
      <c r="O21" s="64">
        <f>ROUND(VLOOKUP($B21,SportslineData!$BC:$BM,9,0),0)</f>
        <v>385</v>
      </c>
      <c r="P21" s="117"/>
      <c r="Q21" s="33"/>
      <c r="R21" s="38">
        <f>ROUND((((((((((((((D21*Settings!$F$20)+(E21*Settings!$I$23))+(F21*Settings!$F$23))+(G21*Settings!$I$20))+(H21*Settings!$F$24))+(AA21*Settings!$I$24))+(AB21*Settings!$F$25))+(AC21*Settings!$I$25))+(AD21*Settings!$F$26))+(AF21*Settings!$I$26))+(AG21*Settings!$F$27))+(AH21*Settings!$I$27))+(AI21*Settings!$F$28)),1)</f>
        <v>61</v>
      </c>
      <c r="S21" s="38">
        <f>IF(OR(ISERROR(ROUND(VLOOKUP(A21,ESPNData!$BN:$CA,14,0),1)),(A21="")),0,ROUND(VLOOKUP(A21,ESPNData!$BN:$CA,14,0),1))</f>
        <v>27</v>
      </c>
      <c r="T21" s="38">
        <f>ROUND((((((((((((((J21*Settings!$F$20)+(K21*Settings!$I$23))+(L21*Settings!$F$23))+(M21*Settings!$I$20))+(N21*Settings!$F$24))+(AO21*Settings!$I$24))+(AP21*Settings!$F$25))+(AQ21*Settings!$I$25))+(AR21*Settings!$F$26))+(AT21*Settings!$I$26))+(AU21*Settings!$F$27))+(AV21*Settings!$I$27))+(AW21*Settings!$F$28)),1)</f>
        <v>86</v>
      </c>
      <c r="U21" s="66">
        <f>ROUND((((R21*Settings!$B$21)+(S21*Settings!$B$22))+(T21*Settings!$B$23)),1)</f>
        <v>58.3</v>
      </c>
      <c r="V21" s="66">
        <f>IF(ISERROR(VLOOKUP(RANK(U21,U$4:U$182),V$4:V20,1,0)),RANK(U21,U$4:U$182),IF(ISERROR(VLOOKUP((RANK(U21,U$4:U$182)+1),V$4:V20,1,0)),(RANK(U21,U$4:U$182)+1),IF(ISERROR(VLOOKUP((RANK(U21,U$4:U$182)+2),V$4:V20,1,0)),(RANK(U21,U$4:U$182)+2),(RANK(U21,U$4:U$182)+3))))</f>
        <v>28</v>
      </c>
      <c r="W21" s="33" t="str">
        <f t="shared" si="1"/>
        <v>Eagles</v>
      </c>
      <c r="X21" s="33"/>
      <c r="Y21" s="33">
        <f t="shared" si="2"/>
        <v>25.75</v>
      </c>
      <c r="Z21" s="131">
        <f t="shared" si="3"/>
        <v>2.7936406153129929</v>
      </c>
      <c r="AA21" s="33">
        <f t="shared" si="4"/>
        <v>0</v>
      </c>
      <c r="AB21" s="33">
        <f>ROUND((16*NORMDIST(AB$3,$Y21,$Z21,1)),0)-SUM($AA21:AA21)</f>
        <v>0</v>
      </c>
      <c r="AC21" s="33">
        <f>ROUND((16*NORMDIST(AC$3,$Y21,$Z21,1)),0)-SUM($AA21:AB21)</f>
        <v>0</v>
      </c>
      <c r="AD21" s="33">
        <f>ROUND((16*NORMDIST(AD$3,$Y21,$Z21,1)),0)-SUM($AA21:AC21)</f>
        <v>0</v>
      </c>
      <c r="AE21" s="33">
        <f>ROUND((16*NORMDIST(AE$3,$Y21,$Z21,1)),0)-SUM($AA21:AD21)</f>
        <v>1</v>
      </c>
      <c r="AF21" s="33">
        <f>ROUND((16*NORMDIST(AF$3,$Y21,$Z21,1)),0)-SUM($AA21:AE21)</f>
        <v>10</v>
      </c>
      <c r="AG21" s="33">
        <f>ROUND((16*NORMDIST(AG$3,$Y21,$Z21,1)),0)-SUM($AA21:AF21)</f>
        <v>5</v>
      </c>
      <c r="AH21" s="33">
        <f>ROUND((16*NORMDIST(AH$3,$Y21,$Z21,1)),0)-SUM($AA21:AG21)</f>
        <v>0</v>
      </c>
      <c r="AI21">
        <f t="shared" si="5"/>
        <v>0</v>
      </c>
      <c r="AK21" s="33">
        <f>(((((((AA21*Settings!$I$24)+(AB21*Settings!$F$25))+(AC21*Settings!$I$25))+(AD21*Settings!$F$26))+(AF21*Settings!$I$26))+(AG21*Settings!$F$27))+(AH21*Settings!$I$27))+(AI21*Settings!$F$28)</f>
        <v>-30</v>
      </c>
      <c r="AM21" s="33">
        <f t="shared" si="6"/>
        <v>24.0625</v>
      </c>
      <c r="AN21" s="131">
        <f t="shared" si="7"/>
        <v>3.2973086879203404</v>
      </c>
      <c r="AO21" s="33">
        <f t="shared" si="8"/>
        <v>0</v>
      </c>
      <c r="AP21" s="33">
        <f>ROUND((16*NORMDIST(AP$3,$AM21,$AN21,1)),0)-SUM($AO21:AO21)</f>
        <v>0</v>
      </c>
      <c r="AQ21" s="33">
        <f>ROUND((16*NORMDIST(AQ$3,$AM21,$AN21,1)),0)-SUM($AO21:AP21)</f>
        <v>0</v>
      </c>
      <c r="AR21" s="33">
        <f>ROUND((16*NORMDIST(AR$3,$AM21,$AN21,1)),0)-SUM($AO21:AQ21)</f>
        <v>0</v>
      </c>
      <c r="AS21" s="33">
        <f>ROUND((16*NORMDIST(AS$3,$AM21,$AN21,1)),0)-SUM($AO21:AR21)</f>
        <v>3</v>
      </c>
      <c r="AT21" s="33">
        <f>ROUND((16*NORMDIST(AT$3,$AM21,$AN21,1)),0)-SUM($AO21:AS21)</f>
        <v>10</v>
      </c>
      <c r="AU21" s="33">
        <f>ROUND((16*NORMDIST(AU$3,$AM21,$AN21,1)),0)-SUM($AO21:AT21)</f>
        <v>3</v>
      </c>
      <c r="AV21" s="33">
        <f>ROUND((16*NORMDIST(AV$3,$AM21,$AN21,1)),0)-SUM($AO21:AU21)</f>
        <v>0</v>
      </c>
      <c r="AW21">
        <f t="shared" si="9"/>
        <v>0</v>
      </c>
      <c r="AY21" s="33">
        <f>(((((((AO21*Settings!$I$24)+(AP21*Settings!$F$25))+(AQ21*Settings!$I$25))+(AR21*Settings!$F$26))+(AT21*Settings!$I$26))+(AU21*Settings!$F$27))+(AV21*Settings!$I$27))+(AW21*Settings!$F$28)</f>
        <v>-22</v>
      </c>
    </row>
    <row r="22" spans="1:51" ht="12.75" customHeight="1">
      <c r="A22" s="33" t="str">
        <f>ESPNData!BN21</f>
        <v>Lions D/ST D/ST</v>
      </c>
      <c r="B22" s="33" t="str">
        <f t="shared" si="0"/>
        <v>Lions</v>
      </c>
      <c r="C22" s="64" t="str">
        <f>VLOOKUP(B22,Settings!$K$2:$M$33,3,0)</f>
        <v>DET</v>
      </c>
      <c r="D22" s="117">
        <f>VLOOKUP(VLOOKUP($B22,Settings!$K$2:$L$33,2,0),FFTodayData!$BH:$BS,3,0)</f>
        <v>38</v>
      </c>
      <c r="E22" s="33">
        <f>VLOOKUP(VLOOKUP($B22,Settings!$K$2:$L$33,2,0),FFTodayData!$BH:$BS,4,0)</f>
        <v>8</v>
      </c>
      <c r="F22" s="33">
        <f>VLOOKUP(VLOOKUP($B22,Settings!$K$2:$L$33,2,0),FFTodayData!$BH:$BS,5,0)</f>
        <v>13</v>
      </c>
      <c r="G22" s="33">
        <f>VLOOKUP(VLOOKUP($B22,Settings!$K$2:$L$33,2,0),FFTodayData!$BH:$BS,6,0)</f>
        <v>2</v>
      </c>
      <c r="H22" s="33">
        <f>VLOOKUP(VLOOKUP($B22,Settings!$K$2:$L$33,2,0),FFTodayData!$BH:$BS,10,0)</f>
        <v>1</v>
      </c>
      <c r="I22" s="64">
        <f>VLOOKUP(VLOOKUP($B22,Settings!$K$2:$L$33,2,0),FFTodayData!$BH:$BS,7,0)</f>
        <v>388</v>
      </c>
      <c r="J22" s="117">
        <f>ROUND(VLOOKUP($B22,SportslineData!$BC:$BM,6,0),0)</f>
        <v>36</v>
      </c>
      <c r="K22" s="33">
        <f>ROUND(VLOOKUP($B22,SportslineData!$BC:$BM,4,0),0)</f>
        <v>9</v>
      </c>
      <c r="L22" s="33">
        <f>ROUND(VLOOKUP($B22,SportslineData!$BC:$BM,3,0),0)</f>
        <v>15</v>
      </c>
      <c r="M22" s="33">
        <f>ROUND(VLOOKUP($B22,SportslineData!$BC:$BM,7,0),0)</f>
        <v>4</v>
      </c>
      <c r="N22" s="33">
        <f>ROUND(VLOOKUP($B22,SportslineData!$BC:$BM,8,0),0)</f>
        <v>1</v>
      </c>
      <c r="O22" s="64">
        <f>ROUND(VLOOKUP($B22,SportslineData!$BC:$BM,9,0),0)</f>
        <v>383</v>
      </c>
      <c r="P22" s="117"/>
      <c r="Q22" s="33"/>
      <c r="R22" s="38">
        <f>ROUND((((((((((((((D22*Settings!$F$20)+(E22*Settings!$I$23))+(F22*Settings!$F$23))+(G22*Settings!$I$20))+(H22*Settings!$F$24))+(AA22*Settings!$I$24))+(AB22*Settings!$F$25))+(AC22*Settings!$I$25))+(AD22*Settings!$F$26))+(AF22*Settings!$I$26))+(AG22*Settings!$F$27))+(AH22*Settings!$I$27))+(AI22*Settings!$F$28)),1)</f>
        <v>68</v>
      </c>
      <c r="S22" s="38">
        <f>IF(OR(ISERROR(ROUND(VLOOKUP(A22,ESPNData!$BN:$CA,14,0),1)),(A22="")),0,ROUND(VLOOKUP(A22,ESPNData!$BN:$CA,14,0),1))</f>
        <v>71</v>
      </c>
      <c r="T22" s="38">
        <f>ROUND((((((((((((((J22*Settings!$F$20)+(K22*Settings!$I$23))+(L22*Settings!$F$23))+(M22*Settings!$I$20))+(N22*Settings!$F$24))+(AO22*Settings!$I$24))+(AP22*Settings!$F$25))+(AQ22*Settings!$I$25))+(AR22*Settings!$F$26))+(AT22*Settings!$I$26))+(AU22*Settings!$F$27))+(AV22*Settings!$I$27))+(AW22*Settings!$F$28)),1)</f>
        <v>81</v>
      </c>
      <c r="U22" s="66">
        <f>ROUND((((R22*Settings!$B$21)+(S22*Settings!$B$22))+(T22*Settings!$B$23)),1)</f>
        <v>73.400000000000006</v>
      </c>
      <c r="V22" s="66">
        <f>IF(ISERROR(VLOOKUP(RANK(U22,U$4:U$182),V$4:V21,1,0)),RANK(U22,U$4:U$182),IF(ISERROR(VLOOKUP((RANK(U22,U$4:U$182)+1),V$4:V21,1,0)),(RANK(U22,U$4:U$182)+1),IF(ISERROR(VLOOKUP((RANK(U22,U$4:U$182)+2),V$4:V21,1,0)),(RANK(U22,U$4:U$182)+2),(RANK(U22,U$4:U$182)+3))))</f>
        <v>20</v>
      </c>
      <c r="W22" s="33" t="str">
        <f t="shared" si="1"/>
        <v>Lions</v>
      </c>
      <c r="X22" s="33"/>
      <c r="Y22" s="33">
        <f t="shared" si="2"/>
        <v>24.25</v>
      </c>
      <c r="Z22" s="131">
        <f t="shared" si="3"/>
        <v>2.630904268789906</v>
      </c>
      <c r="AA22" s="33">
        <f t="shared" si="4"/>
        <v>0</v>
      </c>
      <c r="AB22" s="33">
        <f>ROUND((16*NORMDIST(AB$3,$Y22,$Z22,1)),0)-SUM($AA22:AA22)</f>
        <v>0</v>
      </c>
      <c r="AC22" s="33">
        <f>ROUND((16*NORMDIST(AC$3,$Y22,$Z22,1)),0)-SUM($AA22:AB22)</f>
        <v>0</v>
      </c>
      <c r="AD22" s="33">
        <f>ROUND((16*NORMDIST(AD$3,$Y22,$Z22,1)),0)-SUM($AA22:AC22)</f>
        <v>0</v>
      </c>
      <c r="AE22" s="33">
        <f>ROUND((16*NORMDIST(AE$3,$Y22,$Z22,1)),0)-SUM($AA22:AD22)</f>
        <v>2</v>
      </c>
      <c r="AF22" s="33">
        <f>ROUND((16*NORMDIST(AF$3,$Y22,$Z22,1)),0)-SUM($AA22:AE22)</f>
        <v>12</v>
      </c>
      <c r="AG22" s="33">
        <f>ROUND((16*NORMDIST(AG$3,$Y22,$Z22,1)),0)-SUM($AA22:AF22)</f>
        <v>2</v>
      </c>
      <c r="AH22" s="33">
        <f>ROUND((16*NORMDIST(AH$3,$Y22,$Z22,1)),0)-SUM($AA22:AG22)</f>
        <v>0</v>
      </c>
      <c r="AI22">
        <f t="shared" si="5"/>
        <v>0</v>
      </c>
      <c r="AK22" s="33">
        <f>(((((((AA22*Settings!$I$24)+(AB22*Settings!$F$25))+(AC22*Settings!$I$25))+(AD22*Settings!$F$26))+(AF22*Settings!$I$26))+(AG22*Settings!$F$27))+(AH22*Settings!$I$27))+(AI22*Settings!$F$28)</f>
        <v>-20</v>
      </c>
      <c r="AM22" s="33">
        <f t="shared" si="6"/>
        <v>23.9375</v>
      </c>
      <c r="AN22" s="131">
        <f t="shared" si="7"/>
        <v>3.280179811619456</v>
      </c>
      <c r="AO22" s="33">
        <f t="shared" si="8"/>
        <v>0</v>
      </c>
      <c r="AP22" s="33">
        <f>ROUND((16*NORMDIST(AP$3,$AM22,$AN22,1)),0)-SUM($AO22:AO22)</f>
        <v>0</v>
      </c>
      <c r="AQ22" s="33">
        <f>ROUND((16*NORMDIST(AQ$3,$AM22,$AN22,1)),0)-SUM($AO22:AP22)</f>
        <v>0</v>
      </c>
      <c r="AR22" s="33">
        <f>ROUND((16*NORMDIST(AR$3,$AM22,$AN22,1)),0)-SUM($AO22:AQ22)</f>
        <v>0</v>
      </c>
      <c r="AS22" s="33">
        <f>ROUND((16*NORMDIST(AS$3,$AM22,$AN22,1)),0)-SUM($AO22:AR22)</f>
        <v>3</v>
      </c>
      <c r="AT22" s="33">
        <f>ROUND((16*NORMDIST(AT$3,$AM22,$AN22,1)),0)-SUM($AO22:AS22)</f>
        <v>10</v>
      </c>
      <c r="AU22" s="33">
        <f>ROUND((16*NORMDIST(AU$3,$AM22,$AN22,1)),0)-SUM($AO22:AT22)</f>
        <v>3</v>
      </c>
      <c r="AV22" s="33">
        <f>ROUND((16*NORMDIST(AV$3,$AM22,$AN22,1)),0)-SUM($AO22:AU22)</f>
        <v>0</v>
      </c>
      <c r="AW22">
        <f t="shared" si="9"/>
        <v>0</v>
      </c>
      <c r="AY22" s="33">
        <f>(((((((AO22*Settings!$I$24)+(AP22*Settings!$F$25))+(AQ22*Settings!$I$25))+(AR22*Settings!$F$26))+(AT22*Settings!$I$26))+(AU22*Settings!$F$27))+(AV22*Settings!$I$27))+(AW22*Settings!$F$28)</f>
        <v>-22</v>
      </c>
    </row>
    <row r="23" spans="1:51" ht="12.75" customHeight="1">
      <c r="A23" s="33" t="str">
        <f>ESPNData!BN22</f>
        <v>Colts D/ST D/ST</v>
      </c>
      <c r="B23" s="33" t="str">
        <f t="shared" si="0"/>
        <v>Colts</v>
      </c>
      <c r="C23" s="64" t="str">
        <f>VLOOKUP(B23,Settings!$K$2:$M$33,3,0)</f>
        <v>IND</v>
      </c>
      <c r="D23" s="117">
        <f>VLOOKUP(VLOOKUP($B23,Settings!$K$2:$L$33,2,0),FFTodayData!$BH:$BS,3,0)</f>
        <v>41</v>
      </c>
      <c r="E23" s="33">
        <f>VLOOKUP(VLOOKUP($B23,Settings!$K$2:$L$33,2,0),FFTodayData!$BH:$BS,4,0)</f>
        <v>11</v>
      </c>
      <c r="F23" s="33">
        <f>VLOOKUP(VLOOKUP($B23,Settings!$K$2:$L$33,2,0),FFTodayData!$BH:$BS,5,0)</f>
        <v>15</v>
      </c>
      <c r="G23" s="33">
        <f>VLOOKUP(VLOOKUP($B23,Settings!$K$2:$L$33,2,0),FFTodayData!$BH:$BS,6,0)</f>
        <v>2</v>
      </c>
      <c r="H23" s="33">
        <f>VLOOKUP(VLOOKUP($B23,Settings!$K$2:$L$33,2,0),FFTodayData!$BH:$BS,10,0)</f>
        <v>0</v>
      </c>
      <c r="I23" s="64">
        <f>VLOOKUP(VLOOKUP($B23,Settings!$K$2:$L$33,2,0),FFTodayData!$BH:$BS,7,0)</f>
        <v>377</v>
      </c>
      <c r="J23" s="117">
        <f>ROUND(VLOOKUP($B23,SportslineData!$BC:$BM,6,0),0)</f>
        <v>35</v>
      </c>
      <c r="K23" s="33">
        <f>ROUND(VLOOKUP($B23,SportslineData!$BC:$BM,4,0),0)</f>
        <v>8</v>
      </c>
      <c r="L23" s="33">
        <f>ROUND(VLOOKUP($B23,SportslineData!$BC:$BM,3,0),0)</f>
        <v>13</v>
      </c>
      <c r="M23" s="33">
        <f>ROUND(VLOOKUP($B23,SportslineData!$BC:$BM,7,0),0)</f>
        <v>3</v>
      </c>
      <c r="N23" s="33">
        <f>ROUND(VLOOKUP($B23,SportslineData!$BC:$BM,8,0),0)</f>
        <v>1</v>
      </c>
      <c r="O23" s="64">
        <f>ROUND(VLOOKUP($B23,SportslineData!$BC:$BM,9,0),0)</f>
        <v>384</v>
      </c>
      <c r="P23" s="117"/>
      <c r="Q23" s="33"/>
      <c r="R23" s="38">
        <f>ROUND((((((((((((((D23*Settings!$F$20)+(E23*Settings!$I$23))+(F23*Settings!$F$23))+(G23*Settings!$I$20))+(H23*Settings!$F$24))+(AA23*Settings!$I$24))+(AB23*Settings!$F$25))+(AC23*Settings!$I$25))+(AD23*Settings!$F$26))+(AF23*Settings!$I$26))+(AG23*Settings!$F$27))+(AH23*Settings!$I$27))+(AI23*Settings!$F$28)),1)</f>
        <v>78</v>
      </c>
      <c r="S23" s="38">
        <f>IF(OR(ISERROR(ROUND(VLOOKUP(A23,ESPNData!$BN:$CA,14,0),1)),(A23="")),0,ROUND(VLOOKUP(A23,ESPNData!$BN:$CA,14,0),1))</f>
        <v>73</v>
      </c>
      <c r="T23" s="38">
        <f>ROUND((((((((((((((J23*Settings!$F$20)+(K23*Settings!$I$23))+(L23*Settings!$F$23))+(M23*Settings!$I$20))+(N23*Settings!$F$24))+(AO23*Settings!$I$24))+(AP23*Settings!$F$25))+(AQ23*Settings!$I$25))+(AR23*Settings!$F$26))+(AT23*Settings!$I$26))+(AU23*Settings!$F$27))+(AV23*Settings!$I$27))+(AW23*Settings!$F$28)),1)</f>
        <v>69</v>
      </c>
      <c r="U23" s="66">
        <f>ROUND((((R23*Settings!$B$21)+(S23*Settings!$B$22))+(T23*Settings!$B$23)),1)</f>
        <v>73.3</v>
      </c>
      <c r="V23" s="66">
        <f>IF(ISERROR(VLOOKUP(RANK(U23,U$4:U$182),V$4:V22,1,0)),RANK(U23,U$4:U$182),IF(ISERROR(VLOOKUP((RANK(U23,U$4:U$182)+1),V$4:V22,1,0)),(RANK(U23,U$4:U$182)+1),IF(ISERROR(VLOOKUP((RANK(U23,U$4:U$182)+2),V$4:V22,1,0)),(RANK(U23,U$4:U$182)+2),(RANK(U23,U$4:U$182)+3))))</f>
        <v>21</v>
      </c>
      <c r="W23" s="33" t="str">
        <f t="shared" si="1"/>
        <v>Colts</v>
      </c>
      <c r="X23" s="33"/>
      <c r="Y23" s="33">
        <f t="shared" si="2"/>
        <v>23.5625</v>
      </c>
      <c r="Z23" s="131">
        <f t="shared" si="3"/>
        <v>2.5563167766334915</v>
      </c>
      <c r="AA23" s="33">
        <f t="shared" si="4"/>
        <v>0</v>
      </c>
      <c r="AB23" s="33">
        <f>ROUND((16*NORMDIST(AB$3,$Y23,$Z23,1)),0)-SUM($AA23:AA23)</f>
        <v>0</v>
      </c>
      <c r="AC23" s="33">
        <f>ROUND((16*NORMDIST(AC$3,$Y23,$Z23,1)),0)-SUM($AA23:AB23)</f>
        <v>0</v>
      </c>
      <c r="AD23" s="33">
        <f>ROUND((16*NORMDIST(AD$3,$Y23,$Z23,1)),0)-SUM($AA23:AC23)</f>
        <v>0</v>
      </c>
      <c r="AE23" s="33">
        <f>ROUND((16*NORMDIST(AE$3,$Y23,$Z23,1)),0)-SUM($AA23:AD23)</f>
        <v>3</v>
      </c>
      <c r="AF23" s="33">
        <f>ROUND((16*NORMDIST(AF$3,$Y23,$Z23,1)),0)-SUM($AA23:AE23)</f>
        <v>12</v>
      </c>
      <c r="AG23" s="33">
        <f>ROUND((16*NORMDIST(AG$3,$Y23,$Z23,1)),0)-SUM($AA23:AF23)</f>
        <v>1</v>
      </c>
      <c r="AH23" s="33">
        <f>ROUND((16*NORMDIST(AH$3,$Y23,$Z23,1)),0)-SUM($AA23:AG23)</f>
        <v>0</v>
      </c>
      <c r="AI23">
        <f t="shared" si="5"/>
        <v>0</v>
      </c>
      <c r="AK23" s="33">
        <f>(((((((AA23*Settings!$I$24)+(AB23*Settings!$F$25))+(AC23*Settings!$I$25))+(AD23*Settings!$F$26))+(AF23*Settings!$I$26))+(AG23*Settings!$F$27))+(AH23*Settings!$I$27))+(AI23*Settings!$F$28)</f>
        <v>-16</v>
      </c>
      <c r="AM23" s="33">
        <f t="shared" si="6"/>
        <v>24</v>
      </c>
      <c r="AN23" s="131">
        <f t="shared" si="7"/>
        <v>3.2887442497698984</v>
      </c>
      <c r="AO23" s="33">
        <f t="shared" si="8"/>
        <v>0</v>
      </c>
      <c r="AP23" s="33">
        <f>ROUND((16*NORMDIST(AP$3,$AM23,$AN23,1)),0)-SUM($AO23:AO23)</f>
        <v>0</v>
      </c>
      <c r="AQ23" s="33">
        <f>ROUND((16*NORMDIST(AQ$3,$AM23,$AN23,1)),0)-SUM($AO23:AP23)</f>
        <v>0</v>
      </c>
      <c r="AR23" s="33">
        <f>ROUND((16*NORMDIST(AR$3,$AM23,$AN23,1)),0)-SUM($AO23:AQ23)</f>
        <v>0</v>
      </c>
      <c r="AS23" s="33">
        <f>ROUND((16*NORMDIST(AS$3,$AM23,$AN23,1)),0)-SUM($AO23:AR23)</f>
        <v>3</v>
      </c>
      <c r="AT23" s="33">
        <f>ROUND((16*NORMDIST(AT$3,$AM23,$AN23,1)),0)-SUM($AO23:AS23)</f>
        <v>10</v>
      </c>
      <c r="AU23" s="33">
        <f>ROUND((16*NORMDIST(AU$3,$AM23,$AN23,1)),0)-SUM($AO23:AT23)</f>
        <v>3</v>
      </c>
      <c r="AV23" s="33">
        <f>ROUND((16*NORMDIST(AV$3,$AM23,$AN23,1)),0)-SUM($AO23:AU23)</f>
        <v>0</v>
      </c>
      <c r="AW23">
        <f t="shared" si="9"/>
        <v>0</v>
      </c>
      <c r="AY23" s="33">
        <f>(((((((AO23*Settings!$I$24)+(AP23*Settings!$F$25))+(AQ23*Settings!$I$25))+(AR23*Settings!$F$26))+(AT23*Settings!$I$26))+(AU23*Settings!$F$27))+(AV23*Settings!$I$27))+(AW23*Settings!$F$28)</f>
        <v>-22</v>
      </c>
    </row>
    <row r="24" spans="1:51" ht="12.75" customHeight="1">
      <c r="A24" s="33" t="str">
        <f>ESPNData!BN23</f>
        <v>Bears D/ST D/ST</v>
      </c>
      <c r="B24" s="33" t="str">
        <f t="shared" si="0"/>
        <v>Bears</v>
      </c>
      <c r="C24" s="64" t="str">
        <f>VLOOKUP(B24,Settings!$K$2:$M$33,3,0)</f>
        <v>CHI</v>
      </c>
      <c r="D24" s="117">
        <f>VLOOKUP(VLOOKUP($B24,Settings!$K$2:$L$33,2,0),FFTodayData!$BH:$BS,3,0)</f>
        <v>36</v>
      </c>
      <c r="E24" s="33">
        <f>VLOOKUP(VLOOKUP($B24,Settings!$K$2:$L$33,2,0),FFTodayData!$BH:$BS,4,0)</f>
        <v>14</v>
      </c>
      <c r="F24" s="33">
        <f>VLOOKUP(VLOOKUP($B24,Settings!$K$2:$L$33,2,0),FFTodayData!$BH:$BS,5,0)</f>
        <v>19</v>
      </c>
      <c r="G24" s="33">
        <f>VLOOKUP(VLOOKUP($B24,Settings!$K$2:$L$33,2,0),FFTodayData!$BH:$BS,6,0)</f>
        <v>5</v>
      </c>
      <c r="H24" s="33">
        <f>VLOOKUP(VLOOKUP($B24,Settings!$K$2:$L$33,2,0),FFTodayData!$BH:$BS,10,0)</f>
        <v>0</v>
      </c>
      <c r="I24" s="64">
        <f>VLOOKUP(VLOOKUP($B24,Settings!$K$2:$L$33,2,0),FFTodayData!$BH:$BS,7,0)</f>
        <v>405</v>
      </c>
      <c r="J24" s="117">
        <f>ROUND(VLOOKUP($B24,SportslineData!$BC:$BM,6,0),0)</f>
        <v>37</v>
      </c>
      <c r="K24" s="33">
        <f>ROUND(VLOOKUP($B24,SportslineData!$BC:$BM,4,0),0)</f>
        <v>11</v>
      </c>
      <c r="L24" s="33">
        <f>ROUND(VLOOKUP($B24,SportslineData!$BC:$BM,3,0),0)</f>
        <v>19</v>
      </c>
      <c r="M24" s="33">
        <f>ROUND(VLOOKUP($B24,SportslineData!$BC:$BM,7,0),0)</f>
        <v>5</v>
      </c>
      <c r="N24" s="33">
        <f>ROUND(VLOOKUP($B24,SportslineData!$BC:$BM,8,0),0)</f>
        <v>1</v>
      </c>
      <c r="O24" s="64">
        <f>ROUND(VLOOKUP($B24,SportslineData!$BC:$BM,9,0),0)</f>
        <v>408</v>
      </c>
      <c r="P24" s="117"/>
      <c r="Q24" s="33"/>
      <c r="R24" s="38">
        <f>ROUND((((((((((((((D24*Settings!$F$20)+(E24*Settings!$I$23))+(F24*Settings!$F$23))+(G24*Settings!$I$20))+(H24*Settings!$F$24))+(AA24*Settings!$I$24))+(AB24*Settings!$F$25))+(AC24*Settings!$I$25))+(AD24*Settings!$F$26))+(AF24*Settings!$I$26))+(AG24*Settings!$F$27))+(AH24*Settings!$I$27))+(AI24*Settings!$F$28)),1)</f>
        <v>91</v>
      </c>
      <c r="S24" s="38">
        <f>IF(OR(ISERROR(ROUND(VLOOKUP(A24,ESPNData!$BN:$CA,14,0),1)),(A24="")),0,ROUND(VLOOKUP(A24,ESPNData!$BN:$CA,14,0),1))</f>
        <v>24</v>
      </c>
      <c r="T24" s="38">
        <f>ROUND((((((((((((((J24*Settings!$F$20)+(K24*Settings!$I$23))+(L24*Settings!$F$23))+(M24*Settings!$I$20))+(N24*Settings!$F$24))+(AO24*Settings!$I$24))+(AP24*Settings!$F$25))+(AQ24*Settings!$I$25))+(AR24*Settings!$F$26))+(AT24*Settings!$I$26))+(AU24*Settings!$F$27))+(AV24*Settings!$I$27))+(AW24*Settings!$F$28)),1)</f>
        <v>91</v>
      </c>
      <c r="U24" s="66">
        <f>ROUND((((R24*Settings!$B$21)+(S24*Settings!$B$22))+(T24*Settings!$B$23)),1)</f>
        <v>68.900000000000006</v>
      </c>
      <c r="V24" s="66">
        <f>IF(ISERROR(VLOOKUP(RANK(U24,U$4:U$182),V$4:V23,1,0)),RANK(U24,U$4:U$182),IF(ISERROR(VLOOKUP((RANK(U24,U$4:U$182)+1),V$4:V23,1,0)),(RANK(U24,U$4:U$182)+1),IF(ISERROR(VLOOKUP((RANK(U24,U$4:U$182)+2),V$4:V23,1,0)),(RANK(U24,U$4:U$182)+2),(RANK(U24,U$4:U$182)+3))))</f>
        <v>23</v>
      </c>
      <c r="W24" s="33" t="str">
        <f t="shared" si="1"/>
        <v>Bears</v>
      </c>
      <c r="X24" s="33"/>
      <c r="Y24" s="33">
        <f t="shared" si="2"/>
        <v>25.3125</v>
      </c>
      <c r="Z24" s="131">
        <f t="shared" si="3"/>
        <v>2.7461758475770925</v>
      </c>
      <c r="AA24" s="33">
        <f t="shared" si="4"/>
        <v>0</v>
      </c>
      <c r="AB24" s="33">
        <f>ROUND((16*NORMDIST(AB$3,$Y24,$Z24,1)),0)-SUM($AA24:AA24)</f>
        <v>0</v>
      </c>
      <c r="AC24" s="33">
        <f>ROUND((16*NORMDIST(AC$3,$Y24,$Z24,1)),0)-SUM($AA24:AB24)</f>
        <v>0</v>
      </c>
      <c r="AD24" s="33">
        <f>ROUND((16*NORMDIST(AD$3,$Y24,$Z24,1)),0)-SUM($AA24:AC24)</f>
        <v>0</v>
      </c>
      <c r="AE24" s="33">
        <f>ROUND((16*NORMDIST(AE$3,$Y24,$Z24,1)),0)-SUM($AA24:AD24)</f>
        <v>1</v>
      </c>
      <c r="AF24" s="33">
        <f>ROUND((16*NORMDIST(AF$3,$Y24,$Z24,1)),0)-SUM($AA24:AE24)</f>
        <v>11</v>
      </c>
      <c r="AG24" s="33">
        <f>ROUND((16*NORMDIST(AG$3,$Y24,$Z24,1)),0)-SUM($AA24:AF24)</f>
        <v>4</v>
      </c>
      <c r="AH24" s="33">
        <f>ROUND((16*NORMDIST(AH$3,$Y24,$Z24,1)),0)-SUM($AA24:AG24)</f>
        <v>0</v>
      </c>
      <c r="AI24">
        <f t="shared" si="5"/>
        <v>0</v>
      </c>
      <c r="AK24" s="33">
        <f>(((((((AA24*Settings!$I$24)+(AB24*Settings!$F$25))+(AC24*Settings!$I$25))+(AD24*Settings!$F$26))+(AF24*Settings!$I$26))+(AG24*Settings!$F$27))+(AH24*Settings!$I$27))+(AI24*Settings!$F$28)</f>
        <v>-27</v>
      </c>
      <c r="AM24" s="33">
        <f t="shared" si="6"/>
        <v>25.5</v>
      </c>
      <c r="AN24" s="131">
        <f t="shared" si="7"/>
        <v>3.4942907653805166</v>
      </c>
      <c r="AO24" s="33">
        <f t="shared" si="8"/>
        <v>0</v>
      </c>
      <c r="AP24" s="33">
        <f>ROUND((16*NORMDIST(AP$3,$AM24,$AN24,1)),0)-SUM($AO24:AO24)</f>
        <v>0</v>
      </c>
      <c r="AQ24" s="33">
        <f>ROUND((16*NORMDIST(AQ$3,$AM24,$AN24,1)),0)-SUM($AO24:AP24)</f>
        <v>0</v>
      </c>
      <c r="AR24" s="33">
        <f>ROUND((16*NORMDIST(AR$3,$AM24,$AN24,1)),0)-SUM($AO24:AQ24)</f>
        <v>0</v>
      </c>
      <c r="AS24" s="33">
        <f>ROUND((16*NORMDIST(AS$3,$AM24,$AN24,1)),0)-SUM($AO24:AR24)</f>
        <v>2</v>
      </c>
      <c r="AT24" s="33">
        <f>ROUND((16*NORMDIST(AT$3,$AM24,$AN24,1)),0)-SUM($AO24:AS24)</f>
        <v>9</v>
      </c>
      <c r="AU24" s="33">
        <f>ROUND((16*NORMDIST(AU$3,$AM24,$AN24,1)),0)-SUM($AO24:AT24)</f>
        <v>5</v>
      </c>
      <c r="AV24" s="33">
        <f>ROUND((16*NORMDIST(AV$3,$AM24,$AN24,1)),0)-SUM($AO24:AU24)</f>
        <v>0</v>
      </c>
      <c r="AW24">
        <f t="shared" si="9"/>
        <v>0</v>
      </c>
      <c r="AY24" s="33">
        <f>(((((((AO24*Settings!$I$24)+(AP24*Settings!$F$25))+(AQ24*Settings!$I$25))+(AR24*Settings!$F$26))+(AT24*Settings!$I$26))+(AU24*Settings!$F$27))+(AV24*Settings!$I$27))+(AW24*Settings!$F$28)</f>
        <v>-29</v>
      </c>
    </row>
    <row r="25" spans="1:51" ht="12.75" customHeight="1">
      <c r="A25" s="33" t="str">
        <f>ESPNData!BN24</f>
        <v>Raiders D/ST D/ST</v>
      </c>
      <c r="B25" s="33" t="str">
        <f t="shared" si="0"/>
        <v>Raiders</v>
      </c>
      <c r="C25" s="64" t="str">
        <f>VLOOKUP(B25,Settings!$K$2:$M$33,3,0)</f>
        <v>OAK</v>
      </c>
      <c r="D25" s="117">
        <f>VLOOKUP(VLOOKUP($B25,Settings!$K$2:$L$33,2,0),FFTodayData!$BH:$BS,3,0)</f>
        <v>42</v>
      </c>
      <c r="E25" s="33">
        <f>VLOOKUP(VLOOKUP($B25,Settings!$K$2:$L$33,2,0),FFTodayData!$BH:$BS,4,0)</f>
        <v>14</v>
      </c>
      <c r="F25" s="33">
        <f>VLOOKUP(VLOOKUP($B25,Settings!$K$2:$L$33,2,0),FFTodayData!$BH:$BS,5,0)</f>
        <v>13</v>
      </c>
      <c r="G25" s="33">
        <f>VLOOKUP(VLOOKUP($B25,Settings!$K$2:$L$33,2,0),FFTodayData!$BH:$BS,6,0)</f>
        <v>3</v>
      </c>
      <c r="H25" s="33">
        <f>VLOOKUP(VLOOKUP($B25,Settings!$K$2:$L$33,2,0),FFTodayData!$BH:$BS,10,0)</f>
        <v>0</v>
      </c>
      <c r="I25" s="64">
        <f>VLOOKUP(VLOOKUP($B25,Settings!$K$2:$L$33,2,0),FFTodayData!$BH:$BS,7,0)</f>
        <v>385</v>
      </c>
      <c r="J25" s="117">
        <f>ROUND(VLOOKUP($B25,SportslineData!$BC:$BM,6,0),0)</f>
        <v>35</v>
      </c>
      <c r="K25" s="33">
        <f>ROUND(VLOOKUP($B25,SportslineData!$BC:$BM,4,0),0)</f>
        <v>10</v>
      </c>
      <c r="L25" s="33">
        <f>ROUND(VLOOKUP($B25,SportslineData!$BC:$BM,3,0),0)</f>
        <v>12</v>
      </c>
      <c r="M25" s="33">
        <f>ROUND(VLOOKUP($B25,SportslineData!$BC:$BM,7,0),0)</f>
        <v>2</v>
      </c>
      <c r="N25" s="33">
        <f>ROUND(VLOOKUP($B25,SportslineData!$BC:$BM,8,0),0)</f>
        <v>1</v>
      </c>
      <c r="O25" s="64">
        <f>ROUND(VLOOKUP($B25,SportslineData!$BC:$BM,9,0),0)</f>
        <v>443</v>
      </c>
      <c r="P25" s="117"/>
      <c r="Q25" s="33"/>
      <c r="R25" s="38">
        <f>ROUND((((((((((((((D25*Settings!$F$20)+(E25*Settings!$I$23))+(F25*Settings!$F$23))+(G25*Settings!$I$20))+(H25*Settings!$F$24))+(AA25*Settings!$I$24))+(AB25*Settings!$F$25))+(AC25*Settings!$I$25))+(AD25*Settings!$F$26))+(AF25*Settings!$I$26))+(AG25*Settings!$F$27))+(AH25*Settings!$I$27))+(AI25*Settings!$F$28)),1)</f>
        <v>80</v>
      </c>
      <c r="S25" s="38">
        <f>IF(OR(ISERROR(ROUND(VLOOKUP(A25,ESPNData!$BN:$CA,14,0),1)),(A25="")),0,ROUND(VLOOKUP(A25,ESPNData!$BN:$CA,14,0),1))</f>
        <v>17</v>
      </c>
      <c r="T25" s="38">
        <f>ROUND((((((((((((((J25*Settings!$F$20)+(K25*Settings!$I$23))+(L25*Settings!$F$23))+(M25*Settings!$I$20))+(N25*Settings!$F$24))+(AO25*Settings!$I$24))+(AP25*Settings!$F$25))+(AQ25*Settings!$I$25))+(AR25*Settings!$F$26))+(AT25*Settings!$I$26))+(AU25*Settings!$F$27))+(AV25*Settings!$I$27))+(AW25*Settings!$F$28)),1)</f>
        <v>40</v>
      </c>
      <c r="U25" s="66">
        <f>ROUND((((R25*Settings!$B$21)+(S25*Settings!$B$22))+(T25*Settings!$B$23)),1)</f>
        <v>45.6</v>
      </c>
      <c r="V25" s="66">
        <f>IF(ISERROR(VLOOKUP(RANK(U25,U$4:U$182),V$4:V24,1,0)),RANK(U25,U$4:U$182),IF(ISERROR(VLOOKUP((RANK(U25,U$4:U$182)+1),V$4:V24,1,0)),(RANK(U25,U$4:U$182)+1),IF(ISERROR(VLOOKUP((RANK(U25,U$4:U$182)+2),V$4:V24,1,0)),(RANK(U25,U$4:U$182)+2),(RANK(U25,U$4:U$182)+3))))</f>
        <v>30</v>
      </c>
      <c r="W25" s="33" t="str">
        <f t="shared" si="1"/>
        <v>Raiders</v>
      </c>
      <c r="X25" s="33"/>
      <c r="Y25" s="33">
        <f t="shared" si="2"/>
        <v>24.0625</v>
      </c>
      <c r="Z25" s="131">
        <f t="shared" si="3"/>
        <v>2.6105622254745202</v>
      </c>
      <c r="AA25" s="33">
        <f t="shared" si="4"/>
        <v>0</v>
      </c>
      <c r="AB25" s="33">
        <f>ROUND((16*NORMDIST(AB$3,$Y25,$Z25,1)),0)-SUM($AA25:AA25)</f>
        <v>0</v>
      </c>
      <c r="AC25" s="33">
        <f>ROUND((16*NORMDIST(AC$3,$Y25,$Z25,1)),0)-SUM($AA25:AB25)</f>
        <v>0</v>
      </c>
      <c r="AD25" s="33">
        <f>ROUND((16*NORMDIST(AD$3,$Y25,$Z25,1)),0)-SUM($AA25:AC25)</f>
        <v>0</v>
      </c>
      <c r="AE25" s="33">
        <f>ROUND((16*NORMDIST(AE$3,$Y25,$Z25,1)),0)-SUM($AA25:AD25)</f>
        <v>2</v>
      </c>
      <c r="AF25" s="33">
        <f>ROUND((16*NORMDIST(AF$3,$Y25,$Z25,1)),0)-SUM($AA25:AE25)</f>
        <v>12</v>
      </c>
      <c r="AG25" s="33">
        <f>ROUND((16*NORMDIST(AG$3,$Y25,$Z25,1)),0)-SUM($AA25:AF25)</f>
        <v>2</v>
      </c>
      <c r="AH25" s="33">
        <f>ROUND((16*NORMDIST(AH$3,$Y25,$Z25,1)),0)-SUM($AA25:AG25)</f>
        <v>0</v>
      </c>
      <c r="AI25">
        <f t="shared" si="5"/>
        <v>0</v>
      </c>
      <c r="AK25" s="33">
        <f>(((((((AA25*Settings!$I$24)+(AB25*Settings!$F$25))+(AC25*Settings!$I$25))+(AD25*Settings!$F$26))+(AF25*Settings!$I$26))+(AG25*Settings!$F$27))+(AH25*Settings!$I$27))+(AI25*Settings!$F$28)</f>
        <v>-20</v>
      </c>
      <c r="AM25" s="33">
        <f t="shared" si="6"/>
        <v>27.6875</v>
      </c>
      <c r="AN25" s="131">
        <f t="shared" si="7"/>
        <v>3.794046100646002</v>
      </c>
      <c r="AO25" s="33">
        <f t="shared" si="8"/>
        <v>0</v>
      </c>
      <c r="AP25" s="33">
        <f>ROUND((16*NORMDIST(AP$3,$AM25,$AN25,1)),0)-SUM($AO25:AO25)</f>
        <v>0</v>
      </c>
      <c r="AQ25" s="33">
        <f>ROUND((16*NORMDIST(AQ$3,$AM25,$AN25,1)),0)-SUM($AO25:AP25)</f>
        <v>0</v>
      </c>
      <c r="AR25" s="33">
        <f>ROUND((16*NORMDIST(AR$3,$AM25,$AN25,1)),0)-SUM($AO25:AQ25)</f>
        <v>0</v>
      </c>
      <c r="AS25" s="33">
        <f>ROUND((16*NORMDIST(AS$3,$AM25,$AN25,1)),0)-SUM($AO25:AR25)</f>
        <v>1</v>
      </c>
      <c r="AT25" s="33">
        <f>ROUND((16*NORMDIST(AT$3,$AM25,$AN25,1)),0)-SUM($AO25:AS25)</f>
        <v>6</v>
      </c>
      <c r="AU25" s="33">
        <f>ROUND((16*NORMDIST(AU$3,$AM25,$AN25,1)),0)-SUM($AO25:AT25)</f>
        <v>8</v>
      </c>
      <c r="AV25" s="33">
        <f>ROUND((16*NORMDIST(AV$3,$AM25,$AN25,1)),0)-SUM($AO25:AU25)</f>
        <v>1</v>
      </c>
      <c r="AW25">
        <f t="shared" si="9"/>
        <v>0</v>
      </c>
      <c r="AY25" s="33">
        <f>(((((((AO25*Settings!$I$24)+(AP25*Settings!$F$25))+(AQ25*Settings!$I$25))+(AR25*Settings!$F$26))+(AT25*Settings!$I$26))+(AU25*Settings!$F$27))+(AV25*Settings!$I$27))+(AW25*Settings!$F$28)</f>
        <v>-45</v>
      </c>
    </row>
    <row r="26" spans="1:51" ht="12.75" customHeight="1">
      <c r="A26" s="33" t="str">
        <f>ESPNData!BN25</f>
        <v>Jaguars D/ST D/ST</v>
      </c>
      <c r="B26" s="33" t="str">
        <f t="shared" si="0"/>
        <v>Jaguars</v>
      </c>
      <c r="C26" s="64" t="str">
        <f>VLOOKUP(B26,Settings!$K$2:$M$33,3,0)</f>
        <v>JAC</v>
      </c>
      <c r="D26" s="117">
        <f>VLOOKUP(VLOOKUP($B26,Settings!$K$2:$L$33,2,0),FFTodayData!$BH:$BS,3,0)</f>
        <v>36</v>
      </c>
      <c r="E26" s="33">
        <f>VLOOKUP(VLOOKUP($B26,Settings!$K$2:$L$33,2,0),FFTodayData!$BH:$BS,4,0)</f>
        <v>13</v>
      </c>
      <c r="F26" s="33">
        <f>VLOOKUP(VLOOKUP($B26,Settings!$K$2:$L$33,2,0),FFTodayData!$BH:$BS,5,0)</f>
        <v>11</v>
      </c>
      <c r="G26" s="33">
        <f>VLOOKUP(VLOOKUP($B26,Settings!$K$2:$L$33,2,0),FFTodayData!$BH:$BS,6,0)</f>
        <v>3</v>
      </c>
      <c r="H26" s="33">
        <f>VLOOKUP(VLOOKUP($B26,Settings!$K$2:$L$33,2,0),FFTodayData!$BH:$BS,10,0)</f>
        <v>0</v>
      </c>
      <c r="I26" s="64">
        <f>VLOOKUP(VLOOKUP($B26,Settings!$K$2:$L$33,2,0),FFTodayData!$BH:$BS,7,0)</f>
        <v>401</v>
      </c>
      <c r="J26" s="117">
        <f>ROUND(VLOOKUP($B26,SportslineData!$BC:$BM,6,0),0)</f>
        <v>32</v>
      </c>
      <c r="K26" s="33">
        <f>ROUND(VLOOKUP($B26,SportslineData!$BC:$BM,4,0),0)</f>
        <v>10</v>
      </c>
      <c r="L26" s="33">
        <f>ROUND(VLOOKUP($B26,SportslineData!$BC:$BM,3,0),0)</f>
        <v>14</v>
      </c>
      <c r="M26" s="33">
        <f>ROUND(VLOOKUP($B26,SportslineData!$BC:$BM,7,0),0)</f>
        <v>3</v>
      </c>
      <c r="N26" s="33">
        <f>ROUND(VLOOKUP($B26,SportslineData!$BC:$BM,8,0),0)</f>
        <v>1</v>
      </c>
      <c r="O26" s="64">
        <f>ROUND(VLOOKUP($B26,SportslineData!$BC:$BM,9,0),0)</f>
        <v>381</v>
      </c>
      <c r="P26" s="117"/>
      <c r="Q26" s="33"/>
      <c r="R26" s="38">
        <f>ROUND((((((((((((((D26*Settings!$F$20)+(E26*Settings!$I$23))+(F26*Settings!$F$23))+(G26*Settings!$I$20))+(H26*Settings!$F$24))+(AA26*Settings!$I$24))+(AB26*Settings!$F$25))+(AC26*Settings!$I$25))+(AD26*Settings!$F$26))+(AF26*Settings!$I$26))+(AG26*Settings!$F$27))+(AH26*Settings!$I$27))+(AI26*Settings!$F$28)),1)</f>
        <v>62</v>
      </c>
      <c r="S26" s="38">
        <f>IF(OR(ISERROR(ROUND(VLOOKUP(A26,ESPNData!$BN:$CA,14,0),1)),(A26="")),0,ROUND(VLOOKUP(A26,ESPNData!$BN:$CA,14,0),1))</f>
        <v>65</v>
      </c>
      <c r="T26" s="38">
        <f>ROUND((((((((((((((J26*Settings!$F$20)+(K26*Settings!$I$23))+(L26*Settings!$F$23))+(M26*Settings!$I$20))+(N26*Settings!$F$24))+(AO26*Settings!$I$24))+(AP26*Settings!$F$25))+(AQ26*Settings!$I$25))+(AR26*Settings!$F$26))+(AT26*Settings!$I$26))+(AU26*Settings!$F$27))+(AV26*Settings!$I$27))+(AW26*Settings!$F$28)),1)</f>
        <v>70</v>
      </c>
      <c r="U26" s="66">
        <f>ROUND((((R26*Settings!$B$21)+(S26*Settings!$B$22))+(T26*Settings!$B$23)),1)</f>
        <v>65.7</v>
      </c>
      <c r="V26" s="66">
        <f>IF(ISERROR(VLOOKUP(RANK(U26,U$4:U$182),V$4:V25,1,0)),RANK(U26,U$4:U$182),IF(ISERROR(VLOOKUP((RANK(U26,U$4:U$182)+1),V$4:V25,1,0)),(RANK(U26,U$4:U$182)+1),IF(ISERROR(VLOOKUP((RANK(U26,U$4:U$182)+2),V$4:V25,1,0)),(RANK(U26,U$4:U$182)+2),(RANK(U26,U$4:U$182)+3))))</f>
        <v>25</v>
      </c>
      <c r="W26" s="33" t="str">
        <f t="shared" si="1"/>
        <v>Jaguars</v>
      </c>
      <c r="X26" s="33"/>
      <c r="Y26" s="33">
        <f t="shared" si="2"/>
        <v>25.0625</v>
      </c>
      <c r="Z26" s="131">
        <f t="shared" si="3"/>
        <v>2.7190531231565784</v>
      </c>
      <c r="AA26" s="33">
        <f t="shared" si="4"/>
        <v>0</v>
      </c>
      <c r="AB26" s="33">
        <f>ROUND((16*NORMDIST(AB$3,$Y26,$Z26,1)),0)-SUM($AA26:AA26)</f>
        <v>0</v>
      </c>
      <c r="AC26" s="33">
        <f>ROUND((16*NORMDIST(AC$3,$Y26,$Z26,1)),0)-SUM($AA26:AB26)</f>
        <v>0</v>
      </c>
      <c r="AD26" s="33">
        <f>ROUND((16*NORMDIST(AD$3,$Y26,$Z26,1)),0)-SUM($AA26:AC26)</f>
        <v>0</v>
      </c>
      <c r="AE26" s="33">
        <f>ROUND((16*NORMDIST(AE$3,$Y26,$Z26,1)),0)-SUM($AA26:AD26)</f>
        <v>1</v>
      </c>
      <c r="AF26" s="33">
        <f>ROUND((16*NORMDIST(AF$3,$Y26,$Z26,1)),0)-SUM($AA26:AE26)</f>
        <v>11</v>
      </c>
      <c r="AG26" s="33">
        <f>ROUND((16*NORMDIST(AG$3,$Y26,$Z26,1)),0)-SUM($AA26:AF26)</f>
        <v>4</v>
      </c>
      <c r="AH26" s="33">
        <f>ROUND((16*NORMDIST(AH$3,$Y26,$Z26,1)),0)-SUM($AA26:AG26)</f>
        <v>0</v>
      </c>
      <c r="AI26">
        <f t="shared" si="5"/>
        <v>0</v>
      </c>
      <c r="AK26" s="33">
        <f>(((((((AA26*Settings!$I$24)+(AB26*Settings!$F$25))+(AC26*Settings!$I$25))+(AD26*Settings!$F$26))+(AF26*Settings!$I$26))+(AG26*Settings!$F$27))+(AH26*Settings!$I$27))+(AI26*Settings!$F$28)</f>
        <v>-27</v>
      </c>
      <c r="AM26" s="33">
        <f t="shared" si="6"/>
        <v>23.8125</v>
      </c>
      <c r="AN26" s="131">
        <f t="shared" si="7"/>
        <v>3.2630509353185708</v>
      </c>
      <c r="AO26" s="33">
        <f t="shared" si="8"/>
        <v>0</v>
      </c>
      <c r="AP26" s="33">
        <f>ROUND((16*NORMDIST(AP$3,$AM26,$AN26,1)),0)-SUM($AO26:AO26)</f>
        <v>0</v>
      </c>
      <c r="AQ26" s="33">
        <f>ROUND((16*NORMDIST(AQ$3,$AM26,$AN26,1)),0)-SUM($AO26:AP26)</f>
        <v>0</v>
      </c>
      <c r="AR26" s="33">
        <f>ROUND((16*NORMDIST(AR$3,$AM26,$AN26,1)),0)-SUM($AO26:AQ26)</f>
        <v>0</v>
      </c>
      <c r="AS26" s="33">
        <f>ROUND((16*NORMDIST(AS$3,$AM26,$AN26,1)),0)-SUM($AO26:AR26)</f>
        <v>3</v>
      </c>
      <c r="AT26" s="33">
        <f>ROUND((16*NORMDIST(AT$3,$AM26,$AN26,1)),0)-SUM($AO26:AS26)</f>
        <v>10</v>
      </c>
      <c r="AU26" s="33">
        <f>ROUND((16*NORMDIST(AU$3,$AM26,$AN26,1)),0)-SUM($AO26:AT26)</f>
        <v>3</v>
      </c>
      <c r="AV26" s="33">
        <f>ROUND((16*NORMDIST(AV$3,$AM26,$AN26,1)),0)-SUM($AO26:AU26)</f>
        <v>0</v>
      </c>
      <c r="AW26">
        <f t="shared" si="9"/>
        <v>0</v>
      </c>
      <c r="AY26" s="33">
        <f>(((((((AO26*Settings!$I$24)+(AP26*Settings!$F$25))+(AQ26*Settings!$I$25))+(AR26*Settings!$F$26))+(AT26*Settings!$I$26))+(AU26*Settings!$F$27))+(AV26*Settings!$I$27))+(AW26*Settings!$F$28)</f>
        <v>-22</v>
      </c>
    </row>
    <row r="27" spans="1:51" ht="12.75" customHeight="1">
      <c r="A27" s="33" t="str">
        <f>ESPNData!BN26</f>
        <v>Packers D/ST D/ST</v>
      </c>
      <c r="B27" s="33" t="str">
        <f t="shared" si="0"/>
        <v>Packers</v>
      </c>
      <c r="C27" s="64" t="str">
        <f>VLOOKUP(B27,Settings!$K$2:$M$33,3,0)</f>
        <v>GB</v>
      </c>
      <c r="D27" s="117">
        <f>VLOOKUP(VLOOKUP($B27,Settings!$K$2:$L$33,2,0),FFTodayData!$BH:$BS,3,0)</f>
        <v>46</v>
      </c>
      <c r="E27" s="33">
        <f>VLOOKUP(VLOOKUP($B27,Settings!$K$2:$L$33,2,0),FFTodayData!$BH:$BS,4,0)</f>
        <v>13</v>
      </c>
      <c r="F27" s="33">
        <f>VLOOKUP(VLOOKUP($B27,Settings!$K$2:$L$33,2,0),FFTodayData!$BH:$BS,5,0)</f>
        <v>14</v>
      </c>
      <c r="G27" s="33">
        <f>VLOOKUP(VLOOKUP($B27,Settings!$K$2:$L$33,2,0),FFTodayData!$BH:$BS,6,0)</f>
        <v>3</v>
      </c>
      <c r="H27" s="33">
        <f>VLOOKUP(VLOOKUP($B27,Settings!$K$2:$L$33,2,0),FFTodayData!$BH:$BS,10,0)</f>
        <v>0</v>
      </c>
      <c r="I27" s="64">
        <f>VLOOKUP(VLOOKUP($B27,Settings!$K$2:$L$33,2,0),FFTodayData!$BH:$BS,7,0)</f>
        <v>414</v>
      </c>
      <c r="J27" s="117">
        <f>ROUND(VLOOKUP($B27,SportslineData!$BC:$BM,6,0),0)</f>
        <v>42</v>
      </c>
      <c r="K27" s="33">
        <f>ROUND(VLOOKUP($B27,SportslineData!$BC:$BM,4,0),0)</f>
        <v>10</v>
      </c>
      <c r="L27" s="33">
        <f>ROUND(VLOOKUP($B27,SportslineData!$BC:$BM,3,0),0)</f>
        <v>18</v>
      </c>
      <c r="M27" s="33">
        <f>ROUND(VLOOKUP($B27,SportslineData!$BC:$BM,7,0),0)</f>
        <v>5</v>
      </c>
      <c r="N27" s="33">
        <f>ROUND(VLOOKUP($B27,SportslineData!$BC:$BM,8,0),0)</f>
        <v>1</v>
      </c>
      <c r="O27" s="64">
        <f>ROUND(VLOOKUP($B27,SportslineData!$BC:$BM,9,0),0)</f>
        <v>393</v>
      </c>
      <c r="P27" s="117"/>
      <c r="Q27" s="33"/>
      <c r="R27" s="38">
        <f>ROUND((((((((((((((D27*Settings!$F$20)+(E27*Settings!$I$23))+(F27*Settings!$F$23))+(G27*Settings!$I$20))+(H27*Settings!$F$24))+(AA27*Settings!$I$24))+(AB27*Settings!$F$25))+(AC27*Settings!$I$25))+(AD27*Settings!$F$26))+(AF27*Settings!$I$26))+(AG27*Settings!$F$27))+(AH27*Settings!$I$27))+(AI27*Settings!$F$28)),1)</f>
        <v>72</v>
      </c>
      <c r="S27" s="38">
        <f>IF(OR(ISERROR(ROUND(VLOOKUP(A27,ESPNData!$BN:$CA,14,0),1)),(A27="")),0,ROUND(VLOOKUP(A27,ESPNData!$BN:$CA,14,0),1))</f>
        <v>65</v>
      </c>
      <c r="T27" s="38">
        <f>ROUND((((((((((((((J27*Settings!$F$20)+(K27*Settings!$I$23))+(L27*Settings!$F$23))+(M27*Settings!$I$20))+(N27*Settings!$F$24))+(AO27*Settings!$I$24))+(AP27*Settings!$F$25))+(AQ27*Settings!$I$25))+(AR27*Settings!$F$26))+(AT27*Settings!$I$26))+(AU27*Settings!$F$27))+(AV27*Settings!$I$27))+(AW27*Settings!$F$28)),1)</f>
        <v>96</v>
      </c>
      <c r="U27" s="66">
        <f>ROUND((((R27*Settings!$B$21)+(S27*Settings!$B$22))+(T27*Settings!$B$23)),1)</f>
        <v>77.900000000000006</v>
      </c>
      <c r="V27" s="66">
        <f>IF(ISERROR(VLOOKUP(RANK(U27,U$4:U$182),V$4:V26,1,0)),RANK(U27,U$4:U$182),IF(ISERROR(VLOOKUP((RANK(U27,U$4:U$182)+1),V$4:V26,1,0)),(RANK(U27,U$4:U$182)+1),IF(ISERROR(VLOOKUP((RANK(U27,U$4:U$182)+2),V$4:V26,1,0)),(RANK(U27,U$4:U$182)+2),(RANK(U27,U$4:U$182)+3))))</f>
        <v>18</v>
      </c>
      <c r="W27" s="33" t="str">
        <f t="shared" si="1"/>
        <v>Packers</v>
      </c>
      <c r="X27" s="33"/>
      <c r="Y27" s="33">
        <f t="shared" si="2"/>
        <v>25.875</v>
      </c>
      <c r="Z27" s="131">
        <f t="shared" si="3"/>
        <v>2.8072019775232504</v>
      </c>
      <c r="AA27" s="33">
        <f t="shared" si="4"/>
        <v>0</v>
      </c>
      <c r="AB27" s="33">
        <f>ROUND((16*NORMDIST(AB$3,$Y27,$Z27,1)),0)-SUM($AA27:AA27)</f>
        <v>0</v>
      </c>
      <c r="AC27" s="33">
        <f>ROUND((16*NORMDIST(AC$3,$Y27,$Z27,1)),0)-SUM($AA27:AB27)</f>
        <v>0</v>
      </c>
      <c r="AD27" s="33">
        <f>ROUND((16*NORMDIST(AD$3,$Y27,$Z27,1)),0)-SUM($AA27:AC27)</f>
        <v>0</v>
      </c>
      <c r="AE27" s="33">
        <f>ROUND((16*NORMDIST(AE$3,$Y27,$Z27,1)),0)-SUM($AA27:AD27)</f>
        <v>1</v>
      </c>
      <c r="AF27" s="33">
        <f>ROUND((16*NORMDIST(AF$3,$Y27,$Z27,1)),0)-SUM($AA27:AE27)</f>
        <v>9</v>
      </c>
      <c r="AG27" s="33">
        <f>ROUND((16*NORMDIST(AG$3,$Y27,$Z27,1)),0)-SUM($AA27:AF27)</f>
        <v>6</v>
      </c>
      <c r="AH27" s="33">
        <f>ROUND((16*NORMDIST(AH$3,$Y27,$Z27,1)),0)-SUM($AA27:AG27)</f>
        <v>0</v>
      </c>
      <c r="AI27">
        <f t="shared" si="5"/>
        <v>0</v>
      </c>
      <c r="AK27" s="33">
        <f>(((((((AA27*Settings!$I$24)+(AB27*Settings!$F$25))+(AC27*Settings!$I$25))+(AD27*Settings!$F$26))+(AF27*Settings!$I$26))+(AG27*Settings!$F$27))+(AH27*Settings!$I$27))+(AI27*Settings!$F$28)</f>
        <v>-33</v>
      </c>
      <c r="AM27" s="33">
        <f t="shared" si="6"/>
        <v>24.5625</v>
      </c>
      <c r="AN27" s="131">
        <f t="shared" si="7"/>
        <v>3.3658241931238804</v>
      </c>
      <c r="AO27" s="33">
        <f t="shared" si="8"/>
        <v>0</v>
      </c>
      <c r="AP27" s="33">
        <f>ROUND((16*NORMDIST(AP$3,$AM27,$AN27,1)),0)-SUM($AO27:AO27)</f>
        <v>0</v>
      </c>
      <c r="AQ27" s="33">
        <f>ROUND((16*NORMDIST(AQ$3,$AM27,$AN27,1)),0)-SUM($AO27:AP27)</f>
        <v>0</v>
      </c>
      <c r="AR27" s="33">
        <f>ROUND((16*NORMDIST(AR$3,$AM27,$AN27,1)),0)-SUM($AO27:AQ27)</f>
        <v>0</v>
      </c>
      <c r="AS27" s="33">
        <f>ROUND((16*NORMDIST(AS$3,$AM27,$AN27,1)),0)-SUM($AO27:AR27)</f>
        <v>2</v>
      </c>
      <c r="AT27" s="33">
        <f>ROUND((16*NORMDIST(AT$3,$AM27,$AN27,1)),0)-SUM($AO27:AS27)</f>
        <v>10</v>
      </c>
      <c r="AU27" s="33">
        <f>ROUND((16*NORMDIST(AU$3,$AM27,$AN27,1)),0)-SUM($AO27:AT27)</f>
        <v>4</v>
      </c>
      <c r="AV27" s="33">
        <f>ROUND((16*NORMDIST(AV$3,$AM27,$AN27,1)),0)-SUM($AO27:AU27)</f>
        <v>0</v>
      </c>
      <c r="AW27">
        <f t="shared" si="9"/>
        <v>0</v>
      </c>
      <c r="AY27" s="33">
        <f>(((((((AO27*Settings!$I$24)+(AP27*Settings!$F$25))+(AQ27*Settings!$I$25))+(AR27*Settings!$F$26))+(AT27*Settings!$I$26))+(AU27*Settings!$F$27))+(AV27*Settings!$I$27))+(AW27*Settings!$F$28)</f>
        <v>-26</v>
      </c>
    </row>
    <row r="28" spans="1:51" ht="12.75" customHeight="1">
      <c r="A28" s="33" t="str">
        <f>ESPNData!BN27</f>
        <v>Titans D/ST D/ST</v>
      </c>
      <c r="B28" s="33" t="str">
        <f t="shared" si="0"/>
        <v>Titans</v>
      </c>
      <c r="C28" s="64" t="str">
        <f>VLOOKUP(B28,Settings!$K$2:$M$33,3,0)</f>
        <v>TEN</v>
      </c>
      <c r="D28" s="117">
        <f>VLOOKUP(VLOOKUP($B28,Settings!$K$2:$L$33,2,0),FFTodayData!$BH:$BS,3,0)</f>
        <v>38</v>
      </c>
      <c r="E28" s="33">
        <f>VLOOKUP(VLOOKUP($B28,Settings!$K$2:$L$33,2,0),FFTodayData!$BH:$BS,4,0)</f>
        <v>9</v>
      </c>
      <c r="F28" s="33">
        <f>VLOOKUP(VLOOKUP($B28,Settings!$K$2:$L$33,2,0),FFTodayData!$BH:$BS,5,0)</f>
        <v>15</v>
      </c>
      <c r="G28" s="33">
        <f>VLOOKUP(VLOOKUP($B28,Settings!$K$2:$L$33,2,0),FFTodayData!$BH:$BS,6,0)</f>
        <v>3</v>
      </c>
      <c r="H28" s="33">
        <f>VLOOKUP(VLOOKUP($B28,Settings!$K$2:$L$33,2,0),FFTodayData!$BH:$BS,10,0)</f>
        <v>0</v>
      </c>
      <c r="I28" s="64">
        <f>VLOOKUP(VLOOKUP($B28,Settings!$K$2:$L$33,2,0),FFTodayData!$BH:$BS,7,0)</f>
        <v>420</v>
      </c>
      <c r="J28" s="117">
        <f>ROUND(VLOOKUP($B28,SportslineData!$BC:$BM,6,0),0)</f>
        <v>32</v>
      </c>
      <c r="K28" s="33">
        <f>ROUND(VLOOKUP($B28,SportslineData!$BC:$BM,4,0),0)</f>
        <v>9</v>
      </c>
      <c r="L28" s="33">
        <f>ROUND(VLOOKUP($B28,SportslineData!$BC:$BM,3,0),0)</f>
        <v>14</v>
      </c>
      <c r="M28" s="33">
        <f>ROUND(VLOOKUP($B28,SportslineData!$BC:$BM,7,0),0)</f>
        <v>3</v>
      </c>
      <c r="N28" s="33">
        <f>ROUND(VLOOKUP($B28,SportslineData!$BC:$BM,8,0),0)</f>
        <v>1</v>
      </c>
      <c r="O28" s="64">
        <f>ROUND(VLOOKUP($B28,SportslineData!$BC:$BM,9,0),0)</f>
        <v>389</v>
      </c>
      <c r="P28" s="117"/>
      <c r="Q28" s="33"/>
      <c r="R28" s="38">
        <f>ROUND((((((((((((((D28*Settings!$F$20)+(E28*Settings!$I$23))+(F28*Settings!$F$23))+(G28*Settings!$I$20))+(H28*Settings!$F$24))+(AA28*Settings!$I$24))+(AB28*Settings!$F$25))+(AC28*Settings!$I$25))+(AD28*Settings!$F$26))+(AF28*Settings!$I$26))+(AG28*Settings!$F$27))+(AH28*Settings!$I$27))+(AI28*Settings!$F$28)),1)</f>
        <v>62</v>
      </c>
      <c r="S28" s="38">
        <f>IF(OR(ISERROR(ROUND(VLOOKUP(A28,ESPNData!$BN:$CA,14,0),1)),(A28="")),0,ROUND(VLOOKUP(A28,ESPNData!$BN:$CA,14,0),1))</f>
        <v>60</v>
      </c>
      <c r="T28" s="38">
        <f>ROUND((((((((((((((J28*Settings!$F$20)+(K28*Settings!$I$23))+(L28*Settings!$F$23))+(M28*Settings!$I$20))+(N28*Settings!$F$24))+(AO28*Settings!$I$24))+(AP28*Settings!$F$25))+(AQ28*Settings!$I$25))+(AR28*Settings!$F$26))+(AT28*Settings!$I$26))+(AU28*Settings!$F$27))+(AV28*Settings!$I$27))+(AW28*Settings!$F$28)),1)</f>
        <v>69</v>
      </c>
      <c r="U28" s="66">
        <f>ROUND((((R28*Settings!$B$21)+(S28*Settings!$B$22))+(T28*Settings!$B$23)),1)</f>
        <v>63.7</v>
      </c>
      <c r="V28" s="66">
        <f>IF(ISERROR(VLOOKUP(RANK(U28,U$4:U$182),V$4:V27,1,0)),RANK(U28,U$4:U$182),IF(ISERROR(VLOOKUP((RANK(U28,U$4:U$182)+1),V$4:V27,1,0)),(RANK(U28,U$4:U$182)+1),IF(ISERROR(VLOOKUP((RANK(U28,U$4:U$182)+2),V$4:V27,1,0)),(RANK(U28,U$4:U$182)+2),(RANK(U28,U$4:U$182)+3))))</f>
        <v>26</v>
      </c>
      <c r="W28" s="33" t="str">
        <f t="shared" si="1"/>
        <v>Titans</v>
      </c>
      <c r="X28" s="33"/>
      <c r="Y28" s="33">
        <f t="shared" si="2"/>
        <v>26.25</v>
      </c>
      <c r="Z28" s="131">
        <f t="shared" si="3"/>
        <v>2.847886064154022</v>
      </c>
      <c r="AA28" s="33">
        <f t="shared" si="4"/>
        <v>0</v>
      </c>
      <c r="AB28" s="33">
        <f>ROUND((16*NORMDIST(AB$3,$Y28,$Z28,1)),0)-SUM($AA28:AA28)</f>
        <v>0</v>
      </c>
      <c r="AC28" s="33">
        <f>ROUND((16*NORMDIST(AC$3,$Y28,$Z28,1)),0)-SUM($AA28:AB28)</f>
        <v>0</v>
      </c>
      <c r="AD28" s="33">
        <f>ROUND((16*NORMDIST(AD$3,$Y28,$Z28,1)),0)-SUM($AA28:AC28)</f>
        <v>0</v>
      </c>
      <c r="AE28" s="33">
        <f>ROUND((16*NORMDIST(AE$3,$Y28,$Z28,1)),0)-SUM($AA28:AD28)</f>
        <v>1</v>
      </c>
      <c r="AF28" s="33">
        <f>ROUND((16*NORMDIST(AF$3,$Y28,$Z28,1)),0)-SUM($AA28:AE28)</f>
        <v>9</v>
      </c>
      <c r="AG28" s="33">
        <f>ROUND((16*NORMDIST(AG$3,$Y28,$Z28,1)),0)-SUM($AA28:AF28)</f>
        <v>6</v>
      </c>
      <c r="AH28" s="33">
        <f>ROUND((16*NORMDIST(AH$3,$Y28,$Z28,1)),0)-SUM($AA28:AG28)</f>
        <v>0</v>
      </c>
      <c r="AI28">
        <f t="shared" si="5"/>
        <v>0</v>
      </c>
      <c r="AK28" s="33">
        <f>(((((((AA28*Settings!$I$24)+(AB28*Settings!$F$25))+(AC28*Settings!$I$25))+(AD28*Settings!$F$26))+(AF28*Settings!$I$26))+(AG28*Settings!$F$27))+(AH28*Settings!$I$27))+(AI28*Settings!$F$28)</f>
        <v>-33</v>
      </c>
      <c r="AM28" s="33">
        <f t="shared" si="6"/>
        <v>24.3125</v>
      </c>
      <c r="AN28" s="131">
        <f t="shared" si="7"/>
        <v>3.3315664405221104</v>
      </c>
      <c r="AO28" s="33">
        <f t="shared" si="8"/>
        <v>0</v>
      </c>
      <c r="AP28" s="33">
        <f>ROUND((16*NORMDIST(AP$3,$AM28,$AN28,1)),0)-SUM($AO28:AO28)</f>
        <v>0</v>
      </c>
      <c r="AQ28" s="33">
        <f>ROUND((16*NORMDIST(AQ$3,$AM28,$AN28,1)),0)-SUM($AO28:AP28)</f>
        <v>0</v>
      </c>
      <c r="AR28" s="33">
        <f>ROUND((16*NORMDIST(AR$3,$AM28,$AN28,1)),0)-SUM($AO28:AQ28)</f>
        <v>0</v>
      </c>
      <c r="AS28" s="33">
        <f>ROUND((16*NORMDIST(AS$3,$AM28,$AN28,1)),0)-SUM($AO28:AR28)</f>
        <v>3</v>
      </c>
      <c r="AT28" s="33">
        <f>ROUND((16*NORMDIST(AT$3,$AM28,$AN28,1)),0)-SUM($AO28:AS28)</f>
        <v>10</v>
      </c>
      <c r="AU28" s="33">
        <f>ROUND((16*NORMDIST(AU$3,$AM28,$AN28,1)),0)-SUM($AO28:AT28)</f>
        <v>3</v>
      </c>
      <c r="AV28" s="33">
        <f>ROUND((16*NORMDIST(AV$3,$AM28,$AN28,1)),0)-SUM($AO28:AU28)</f>
        <v>0</v>
      </c>
      <c r="AW28">
        <f t="shared" si="9"/>
        <v>0</v>
      </c>
      <c r="AY28" s="33">
        <f>(((((((AO28*Settings!$I$24)+(AP28*Settings!$F$25))+(AQ28*Settings!$I$25))+(AR28*Settings!$F$26))+(AT28*Settings!$I$26))+(AU28*Settings!$F$27))+(AV28*Settings!$I$27))+(AW28*Settings!$F$28)</f>
        <v>-22</v>
      </c>
    </row>
    <row r="29" spans="1:51" ht="12.75" customHeight="1">
      <c r="A29" s="33" t="str">
        <f>ESPNData!BN28</f>
        <v>Jets D/ST D/ST</v>
      </c>
      <c r="B29" s="33" t="str">
        <f t="shared" si="0"/>
        <v>Jets</v>
      </c>
      <c r="C29" s="64" t="str">
        <f>VLOOKUP(B29,Settings!$K$2:$M$33,3,0)</f>
        <v>NYJ</v>
      </c>
      <c r="D29" s="117">
        <f>VLOOKUP(VLOOKUP($B29,Settings!$K$2:$L$33,2,0),FFTodayData!$BH:$BS,3,0)</f>
        <v>39</v>
      </c>
      <c r="E29" s="33">
        <f>VLOOKUP(VLOOKUP($B29,Settings!$K$2:$L$33,2,0),FFTodayData!$BH:$BS,4,0)</f>
        <v>10</v>
      </c>
      <c r="F29" s="33">
        <f>VLOOKUP(VLOOKUP($B29,Settings!$K$2:$L$33,2,0),FFTodayData!$BH:$BS,5,0)</f>
        <v>11</v>
      </c>
      <c r="G29" s="33">
        <f>VLOOKUP(VLOOKUP($B29,Settings!$K$2:$L$33,2,0),FFTodayData!$BH:$BS,6,0)</f>
        <v>2</v>
      </c>
      <c r="H29" s="33">
        <f>VLOOKUP(VLOOKUP($B29,Settings!$K$2:$L$33,2,0),FFTodayData!$BH:$BS,10,0)</f>
        <v>1</v>
      </c>
      <c r="I29" s="64">
        <f>VLOOKUP(VLOOKUP($B29,Settings!$K$2:$L$33,2,0),FFTodayData!$BH:$BS,7,0)</f>
        <v>388</v>
      </c>
      <c r="J29" s="117">
        <f>ROUND(VLOOKUP($B29,SportslineData!$BC:$BM,6,0),0)</f>
        <v>37</v>
      </c>
      <c r="K29" s="33">
        <f>ROUND(VLOOKUP($B29,SportslineData!$BC:$BM,4,0),0)</f>
        <v>8</v>
      </c>
      <c r="L29" s="33">
        <f>ROUND(VLOOKUP($B29,SportslineData!$BC:$BM,3,0),0)</f>
        <v>15</v>
      </c>
      <c r="M29" s="33">
        <f>ROUND(VLOOKUP($B29,SportslineData!$BC:$BM,7,0),0)</f>
        <v>3</v>
      </c>
      <c r="N29" s="33">
        <f>ROUND(VLOOKUP($B29,SportslineData!$BC:$BM,8,0),0)</f>
        <v>2</v>
      </c>
      <c r="O29" s="64">
        <f>ROUND(VLOOKUP($B29,SportslineData!$BC:$BM,9,0),0)</f>
        <v>381</v>
      </c>
      <c r="P29" s="117"/>
      <c r="Q29" s="33"/>
      <c r="R29" s="38">
        <f>ROUND((((((((((((((D29*Settings!$F$20)+(E29*Settings!$I$23))+(F29*Settings!$F$23))+(G29*Settings!$I$20))+(H29*Settings!$F$24))+(AA29*Settings!$I$24))+(AB29*Settings!$F$25))+(AC29*Settings!$I$25))+(AD29*Settings!$F$26))+(AF29*Settings!$I$26))+(AG29*Settings!$F$27))+(AH29*Settings!$I$27))+(AI29*Settings!$F$28)),1)</f>
        <v>67</v>
      </c>
      <c r="S29" s="38">
        <f>IF(OR(ISERROR(ROUND(VLOOKUP(A29,ESPNData!$BN:$CA,14,0),1)),(A29="")),0,ROUND(VLOOKUP(A29,ESPNData!$BN:$CA,14,0),1))</f>
        <v>60</v>
      </c>
      <c r="T29" s="38">
        <f>ROUND((((((((((((((J29*Settings!$F$20)+(K29*Settings!$I$23))+(L29*Settings!$F$23))+(M29*Settings!$I$20))+(N29*Settings!$F$24))+(AO29*Settings!$I$24))+(AP29*Settings!$F$25))+(AQ29*Settings!$I$25))+(AR29*Settings!$F$26))+(AT29*Settings!$I$26))+(AU29*Settings!$F$27))+(AV29*Settings!$I$27))+(AW29*Settings!$F$28)),1)</f>
        <v>79</v>
      </c>
      <c r="U29" s="66">
        <f>ROUND((((R29*Settings!$B$21)+(S29*Settings!$B$22))+(T29*Settings!$B$23)),1)</f>
        <v>68.8</v>
      </c>
      <c r="V29" s="66">
        <f>IF(ISERROR(VLOOKUP(RANK(U29,U$4:U$182),V$4:V28,1,0)),RANK(U29,U$4:U$182),IF(ISERROR(VLOOKUP((RANK(U29,U$4:U$182)+1),V$4:V28,1,0)),(RANK(U29,U$4:U$182)+1),IF(ISERROR(VLOOKUP((RANK(U29,U$4:U$182)+2),V$4:V28,1,0)),(RANK(U29,U$4:U$182)+2),(RANK(U29,U$4:U$182)+3))))</f>
        <v>24</v>
      </c>
      <c r="W29" s="33" t="str">
        <f t="shared" si="1"/>
        <v>Jets</v>
      </c>
      <c r="X29" s="33"/>
      <c r="Y29" s="33">
        <f t="shared" si="2"/>
        <v>24.25</v>
      </c>
      <c r="Z29" s="131">
        <f t="shared" si="3"/>
        <v>2.630904268789906</v>
      </c>
      <c r="AA29" s="33">
        <f t="shared" si="4"/>
        <v>0</v>
      </c>
      <c r="AB29" s="33">
        <f>ROUND((16*NORMDIST(AB$3,$Y29,$Z29,1)),0)-SUM($AA29:AA29)</f>
        <v>0</v>
      </c>
      <c r="AC29" s="33">
        <f>ROUND((16*NORMDIST(AC$3,$Y29,$Z29,1)),0)-SUM($AA29:AB29)</f>
        <v>0</v>
      </c>
      <c r="AD29" s="33">
        <f>ROUND((16*NORMDIST(AD$3,$Y29,$Z29,1)),0)-SUM($AA29:AC29)</f>
        <v>0</v>
      </c>
      <c r="AE29" s="33">
        <f>ROUND((16*NORMDIST(AE$3,$Y29,$Z29,1)),0)-SUM($AA29:AD29)</f>
        <v>2</v>
      </c>
      <c r="AF29" s="33">
        <f>ROUND((16*NORMDIST(AF$3,$Y29,$Z29,1)),0)-SUM($AA29:AE29)</f>
        <v>12</v>
      </c>
      <c r="AG29" s="33">
        <f>ROUND((16*NORMDIST(AG$3,$Y29,$Z29,1)),0)-SUM($AA29:AF29)</f>
        <v>2</v>
      </c>
      <c r="AH29" s="33">
        <f>ROUND((16*NORMDIST(AH$3,$Y29,$Z29,1)),0)-SUM($AA29:AG29)</f>
        <v>0</v>
      </c>
      <c r="AI29">
        <f t="shared" si="5"/>
        <v>0</v>
      </c>
      <c r="AK29" s="33">
        <f>(((((((AA29*Settings!$I$24)+(AB29*Settings!$F$25))+(AC29*Settings!$I$25))+(AD29*Settings!$F$26))+(AF29*Settings!$I$26))+(AG29*Settings!$F$27))+(AH29*Settings!$I$27))+(AI29*Settings!$F$28)</f>
        <v>-20</v>
      </c>
      <c r="AM29" s="33">
        <f t="shared" si="6"/>
        <v>23.8125</v>
      </c>
      <c r="AN29" s="131">
        <f t="shared" si="7"/>
        <v>3.2630509353185708</v>
      </c>
      <c r="AO29" s="33">
        <f t="shared" si="8"/>
        <v>0</v>
      </c>
      <c r="AP29" s="33">
        <f>ROUND((16*NORMDIST(AP$3,$AM29,$AN29,1)),0)-SUM($AO29:AO29)</f>
        <v>0</v>
      </c>
      <c r="AQ29" s="33">
        <f>ROUND((16*NORMDIST(AQ$3,$AM29,$AN29,1)),0)-SUM($AO29:AP29)</f>
        <v>0</v>
      </c>
      <c r="AR29" s="33">
        <f>ROUND((16*NORMDIST(AR$3,$AM29,$AN29,1)),0)-SUM($AO29:AQ29)</f>
        <v>0</v>
      </c>
      <c r="AS29" s="33">
        <f>ROUND((16*NORMDIST(AS$3,$AM29,$AN29,1)),0)-SUM($AO29:AR29)</f>
        <v>3</v>
      </c>
      <c r="AT29" s="33">
        <f>ROUND((16*NORMDIST(AT$3,$AM29,$AN29,1)),0)-SUM($AO29:AS29)</f>
        <v>10</v>
      </c>
      <c r="AU29" s="33">
        <f>ROUND((16*NORMDIST(AU$3,$AM29,$AN29,1)),0)-SUM($AO29:AT29)</f>
        <v>3</v>
      </c>
      <c r="AV29" s="33">
        <f>ROUND((16*NORMDIST(AV$3,$AM29,$AN29,1)),0)-SUM($AO29:AU29)</f>
        <v>0</v>
      </c>
      <c r="AW29">
        <f t="shared" si="9"/>
        <v>0</v>
      </c>
      <c r="AY29" s="33">
        <f>(((((((AO29*Settings!$I$24)+(AP29*Settings!$F$25))+(AQ29*Settings!$I$25))+(AR29*Settings!$F$26))+(AT29*Settings!$I$26))+(AU29*Settings!$F$27))+(AV29*Settings!$I$27))+(AW29*Settings!$F$28)</f>
        <v>-22</v>
      </c>
    </row>
    <row r="30" spans="1:51" ht="12.75" customHeight="1">
      <c r="A30" s="33" t="str">
        <f>ESPNData!BN29</f>
        <v>Falcons D/ST D/ST</v>
      </c>
      <c r="B30" s="33" t="str">
        <f t="shared" si="0"/>
        <v>Falcons</v>
      </c>
      <c r="C30" s="64" t="str">
        <f>VLOOKUP(B30,Settings!$K$2:$M$33,3,0)</f>
        <v>ATL</v>
      </c>
      <c r="D30" s="117">
        <f>VLOOKUP(VLOOKUP($B30,Settings!$K$2:$L$33,2,0),FFTodayData!$BH:$BS,3,0)</f>
        <v>30</v>
      </c>
      <c r="E30" s="33">
        <f>VLOOKUP(VLOOKUP($B30,Settings!$K$2:$L$33,2,0),FFTodayData!$BH:$BS,4,0)</f>
        <v>11</v>
      </c>
      <c r="F30" s="33">
        <f>VLOOKUP(VLOOKUP($B30,Settings!$K$2:$L$33,2,0),FFTodayData!$BH:$BS,5,0)</f>
        <v>13</v>
      </c>
      <c r="G30" s="33">
        <f>VLOOKUP(VLOOKUP($B30,Settings!$K$2:$L$33,2,0),FFTodayData!$BH:$BS,6,0)</f>
        <v>2</v>
      </c>
      <c r="H30" s="33">
        <f>VLOOKUP(VLOOKUP($B30,Settings!$K$2:$L$33,2,0),FFTodayData!$BH:$BS,10,0)</f>
        <v>0</v>
      </c>
      <c r="I30" s="64">
        <f>VLOOKUP(VLOOKUP($B30,Settings!$K$2:$L$33,2,0),FFTodayData!$BH:$BS,7,0)</f>
        <v>401</v>
      </c>
      <c r="J30" s="117">
        <f>ROUND(VLOOKUP($B30,SportslineData!$BC:$BM,6,0),0)</f>
        <v>31</v>
      </c>
      <c r="K30" s="33">
        <f>ROUND(VLOOKUP($B30,SportslineData!$BC:$BM,4,0),0)</f>
        <v>9</v>
      </c>
      <c r="L30" s="33">
        <f>ROUND(VLOOKUP($B30,SportslineData!$BC:$BM,3,0),0)</f>
        <v>17</v>
      </c>
      <c r="M30" s="33">
        <f>ROUND(VLOOKUP($B30,SportslineData!$BC:$BM,7,0),0)</f>
        <v>3</v>
      </c>
      <c r="N30" s="33">
        <f>ROUND(VLOOKUP($B30,SportslineData!$BC:$BM,8,0),0)</f>
        <v>1</v>
      </c>
      <c r="O30" s="64">
        <f>ROUND(VLOOKUP($B30,SportslineData!$BC:$BM,9,0),0)</f>
        <v>371</v>
      </c>
      <c r="P30" s="117"/>
      <c r="Q30" s="33"/>
      <c r="R30" s="38">
        <f>ROUND((((((((((((((D30*Settings!$F$20)+(E30*Settings!$I$23))+(F30*Settings!$F$23))+(G30*Settings!$I$20))+(H30*Settings!$F$24))+(AA30*Settings!$I$24))+(AB30*Settings!$F$25))+(AC30*Settings!$I$25))+(AD30*Settings!$F$26))+(AF30*Settings!$I$26))+(AG30*Settings!$F$27))+(AH30*Settings!$I$27))+(AI30*Settings!$F$28)),1)</f>
        <v>52</v>
      </c>
      <c r="S30" s="38">
        <f>IF(OR(ISERROR(ROUND(VLOOKUP(A30,ESPNData!$BN:$CA,14,0),1)),(A30="")),0,ROUND(VLOOKUP(A30,ESPNData!$BN:$CA,14,0),1))</f>
        <v>59</v>
      </c>
      <c r="T30" s="38">
        <f>ROUND((((((((((((((J30*Settings!$F$20)+(K30*Settings!$I$23))+(L30*Settings!$F$23))+(M30*Settings!$I$20))+(N30*Settings!$F$24))+(AO30*Settings!$I$24))+(AP30*Settings!$F$25))+(AQ30*Settings!$I$25))+(AR30*Settings!$F$26))+(AT30*Settings!$I$26))+(AU30*Settings!$F$27))+(AV30*Settings!$I$27))+(AW30*Settings!$F$28)),1)</f>
        <v>78</v>
      </c>
      <c r="U30" s="66">
        <f>ROUND((((R30*Settings!$B$21)+(S30*Settings!$B$22))+(T30*Settings!$B$23)),1)</f>
        <v>63.2</v>
      </c>
      <c r="V30" s="66">
        <f>IF(ISERROR(VLOOKUP(RANK(U30,U$4:U$182),V$4:V29,1,0)),RANK(U30,U$4:U$182),IF(ISERROR(VLOOKUP((RANK(U30,U$4:U$182)+1),V$4:V29,1,0)),(RANK(U30,U$4:U$182)+1),IF(ISERROR(VLOOKUP((RANK(U30,U$4:U$182)+2),V$4:V29,1,0)),(RANK(U30,U$4:U$182)+2),(RANK(U30,U$4:U$182)+3))))</f>
        <v>27</v>
      </c>
      <c r="W30" s="33" t="str">
        <f t="shared" si="1"/>
        <v>Falcons</v>
      </c>
      <c r="X30" s="33"/>
      <c r="Y30" s="33">
        <f t="shared" si="2"/>
        <v>25.0625</v>
      </c>
      <c r="Z30" s="131">
        <f t="shared" si="3"/>
        <v>2.7190531231565784</v>
      </c>
      <c r="AA30" s="33">
        <f t="shared" si="4"/>
        <v>0</v>
      </c>
      <c r="AB30" s="33">
        <f>ROUND((16*NORMDIST(AB$3,$Y30,$Z30,1)),0)-SUM($AA30:AA30)</f>
        <v>0</v>
      </c>
      <c r="AC30" s="33">
        <f>ROUND((16*NORMDIST(AC$3,$Y30,$Z30,1)),0)-SUM($AA30:AB30)</f>
        <v>0</v>
      </c>
      <c r="AD30" s="33">
        <f>ROUND((16*NORMDIST(AD$3,$Y30,$Z30,1)),0)-SUM($AA30:AC30)</f>
        <v>0</v>
      </c>
      <c r="AE30" s="33">
        <f>ROUND((16*NORMDIST(AE$3,$Y30,$Z30,1)),0)-SUM($AA30:AD30)</f>
        <v>1</v>
      </c>
      <c r="AF30" s="33">
        <f>ROUND((16*NORMDIST(AF$3,$Y30,$Z30,1)),0)-SUM($AA30:AE30)</f>
        <v>11</v>
      </c>
      <c r="AG30" s="33">
        <f>ROUND((16*NORMDIST(AG$3,$Y30,$Z30,1)),0)-SUM($AA30:AF30)</f>
        <v>4</v>
      </c>
      <c r="AH30" s="33">
        <f>ROUND((16*NORMDIST(AH$3,$Y30,$Z30,1)),0)-SUM($AA30:AG30)</f>
        <v>0</v>
      </c>
      <c r="AI30">
        <f t="shared" si="5"/>
        <v>0</v>
      </c>
      <c r="AK30" s="33">
        <f>(((((((AA30*Settings!$I$24)+(AB30*Settings!$F$25))+(AC30*Settings!$I$25))+(AD30*Settings!$F$26))+(AF30*Settings!$I$26))+(AG30*Settings!$F$27))+(AH30*Settings!$I$27))+(AI30*Settings!$F$28)</f>
        <v>-27</v>
      </c>
      <c r="AM30" s="33">
        <f t="shared" si="6"/>
        <v>23.1875</v>
      </c>
      <c r="AN30" s="131">
        <f t="shared" si="7"/>
        <v>3.1774065538141465</v>
      </c>
      <c r="AO30" s="33">
        <f t="shared" si="8"/>
        <v>0</v>
      </c>
      <c r="AP30" s="33">
        <f>ROUND((16*NORMDIST(AP$3,$AM30,$AN30,1)),0)-SUM($AO30:AO30)</f>
        <v>0</v>
      </c>
      <c r="AQ30" s="33">
        <f>ROUND((16*NORMDIST(AQ$3,$AM30,$AN30,1)),0)-SUM($AO30:AP30)</f>
        <v>0</v>
      </c>
      <c r="AR30" s="33">
        <f>ROUND((16*NORMDIST(AR$3,$AM30,$AN30,1)),0)-SUM($AO30:AQ30)</f>
        <v>0</v>
      </c>
      <c r="AS30" s="33">
        <f>ROUND((16*NORMDIST(AS$3,$AM30,$AN30,1)),0)-SUM($AO30:AR30)</f>
        <v>4</v>
      </c>
      <c r="AT30" s="33">
        <f>ROUND((16*NORMDIST(AT$3,$AM30,$AN30,1)),0)-SUM($AO30:AS30)</f>
        <v>10</v>
      </c>
      <c r="AU30" s="33">
        <f>ROUND((16*NORMDIST(AU$3,$AM30,$AN30,1)),0)-SUM($AO30:AT30)</f>
        <v>2</v>
      </c>
      <c r="AV30" s="33">
        <f>ROUND((16*NORMDIST(AV$3,$AM30,$AN30,1)),0)-SUM($AO30:AU30)</f>
        <v>0</v>
      </c>
      <c r="AW30">
        <f t="shared" si="9"/>
        <v>0</v>
      </c>
      <c r="AY30" s="33">
        <f>(((((((AO30*Settings!$I$24)+(AP30*Settings!$F$25))+(AQ30*Settings!$I$25))+(AR30*Settings!$F$26))+(AT30*Settings!$I$26))+(AU30*Settings!$F$27))+(AV30*Settings!$I$27))+(AW30*Settings!$F$28)</f>
        <v>-18</v>
      </c>
    </row>
    <row r="31" spans="1:51" ht="12.75" customHeight="1">
      <c r="A31" s="33" t="str">
        <f>ESPNData!BN30</f>
        <v>Dolphins D/ST D/ST</v>
      </c>
      <c r="B31" s="33" t="str">
        <f t="shared" si="0"/>
        <v>Dolphins</v>
      </c>
      <c r="C31" s="64" t="str">
        <f>VLOOKUP(B31,Settings!$K$2:$M$33,3,0)</f>
        <v>MIA</v>
      </c>
      <c r="D31" s="117">
        <f>VLOOKUP(VLOOKUP($B31,Settings!$K$2:$L$33,2,0),FFTodayData!$BH:$BS,3,0)</f>
        <v>39</v>
      </c>
      <c r="E31" s="33">
        <f>VLOOKUP(VLOOKUP($B31,Settings!$K$2:$L$33,2,0),FFTodayData!$BH:$BS,4,0)</f>
        <v>7</v>
      </c>
      <c r="F31" s="33">
        <f>VLOOKUP(VLOOKUP($B31,Settings!$K$2:$L$33,2,0),FFTodayData!$BH:$BS,5,0)</f>
        <v>15</v>
      </c>
      <c r="G31" s="33">
        <f>VLOOKUP(VLOOKUP($B31,Settings!$K$2:$L$33,2,0),FFTodayData!$BH:$BS,6,0)</f>
        <v>2</v>
      </c>
      <c r="H31" s="33">
        <f>VLOOKUP(VLOOKUP($B31,Settings!$K$2:$L$33,2,0),FFTodayData!$BH:$BS,10,0)</f>
        <v>1</v>
      </c>
      <c r="I31" s="64">
        <f>VLOOKUP(VLOOKUP($B31,Settings!$K$2:$L$33,2,0),FFTodayData!$BH:$BS,7,0)</f>
        <v>355</v>
      </c>
      <c r="J31" s="117">
        <f>ROUND(VLOOKUP($B31,SportslineData!$BC:$BM,6,0),0)</f>
        <v>41</v>
      </c>
      <c r="K31" s="33">
        <f>ROUND(VLOOKUP($B31,SportslineData!$BC:$BM,4,0),0)</f>
        <v>8</v>
      </c>
      <c r="L31" s="33">
        <f>ROUND(VLOOKUP($B31,SportslineData!$BC:$BM,3,0),0)</f>
        <v>18</v>
      </c>
      <c r="M31" s="33">
        <f>ROUND(VLOOKUP($B31,SportslineData!$BC:$BM,7,0),0)</f>
        <v>4</v>
      </c>
      <c r="N31" s="33">
        <f>ROUND(VLOOKUP($B31,SportslineData!$BC:$BM,8,0),0)</f>
        <v>1</v>
      </c>
      <c r="O31" s="64">
        <f>ROUND(VLOOKUP($B31,SportslineData!$BC:$BM,9,0),0)</f>
        <v>356</v>
      </c>
      <c r="P31" s="117"/>
      <c r="Q31" s="33"/>
      <c r="R31" s="38">
        <f>ROUND((((((((((((((D31*Settings!$F$20)+(E31*Settings!$I$23))+(F31*Settings!$F$23))+(G31*Settings!$I$20))+(H31*Settings!$F$24))+(AA31*Settings!$I$24))+(AB31*Settings!$F$25))+(AC31*Settings!$I$25))+(AD31*Settings!$F$26))+(AF31*Settings!$I$26))+(AG31*Settings!$F$27))+(AH31*Settings!$I$27))+(AI31*Settings!$F$28)),1)</f>
        <v>81</v>
      </c>
      <c r="S31" s="38">
        <f>IF(OR(ISERROR(ROUND(VLOOKUP(A31,ESPNData!$BN:$CA,14,0),1)),(A31="")),0,ROUND(VLOOKUP(A31,ESPNData!$BN:$CA,14,0),1))</f>
        <v>65</v>
      </c>
      <c r="T31" s="38">
        <f>ROUND((((((((((((((J31*Settings!$F$20)+(K31*Settings!$I$23))+(L31*Settings!$F$23))+(M31*Settings!$I$20))+(N31*Settings!$F$24))+(AO31*Settings!$I$24))+(AP31*Settings!$F$25))+(AQ31*Settings!$I$25))+(AR31*Settings!$F$26))+(AT31*Settings!$I$26))+(AU31*Settings!$F$27))+(AV31*Settings!$I$27))+(AW31*Settings!$F$28)),1)</f>
        <v>100</v>
      </c>
      <c r="U31" s="66">
        <f>ROUND((((R31*Settings!$B$21)+(S31*Settings!$B$22))+(T31*Settings!$B$23)),1)</f>
        <v>82.2</v>
      </c>
      <c r="V31" s="66">
        <f>IF(ISERROR(VLOOKUP(RANK(U31,U$4:U$182),V$4:V30,1,0)),RANK(U31,U$4:U$182),IF(ISERROR(VLOOKUP((RANK(U31,U$4:U$182)+1),V$4:V30,1,0)),(RANK(U31,U$4:U$182)+1),IF(ISERROR(VLOOKUP((RANK(U31,U$4:U$182)+2),V$4:V30,1,0)),(RANK(U31,U$4:U$182)+2),(RANK(U31,U$4:U$182)+3))))</f>
        <v>16</v>
      </c>
      <c r="W31" s="33" t="str">
        <f t="shared" si="1"/>
        <v>Dolphins</v>
      </c>
      <c r="X31" s="33"/>
      <c r="Y31" s="33">
        <f t="shared" si="2"/>
        <v>22.1875</v>
      </c>
      <c r="Z31" s="131">
        <f t="shared" si="3"/>
        <v>2.4071417923206613</v>
      </c>
      <c r="AA31" s="33">
        <f t="shared" si="4"/>
        <v>0</v>
      </c>
      <c r="AB31" s="33">
        <f>ROUND((16*NORMDIST(AB$3,$Y31,$Z31,1)),0)-SUM($AA31:AA31)</f>
        <v>0</v>
      </c>
      <c r="AC31" s="33">
        <f>ROUND((16*NORMDIST(AC$3,$Y31,$Z31,1)),0)-SUM($AA31:AB31)</f>
        <v>0</v>
      </c>
      <c r="AD31" s="33">
        <f>ROUND((16*NORMDIST(AD$3,$Y31,$Z31,1)),0)-SUM($AA31:AC31)</f>
        <v>0</v>
      </c>
      <c r="AE31" s="33">
        <f>ROUND((16*NORMDIST(AE$3,$Y31,$Z31,1)),0)-SUM($AA31:AD31)</f>
        <v>5</v>
      </c>
      <c r="AF31" s="33">
        <f>ROUND((16*NORMDIST(AF$3,$Y31,$Z31,1)),0)-SUM($AA31:AE31)</f>
        <v>11</v>
      </c>
      <c r="AG31" s="33">
        <f>ROUND((16*NORMDIST(AG$3,$Y31,$Z31,1)),0)-SUM($AA31:AF31)</f>
        <v>0</v>
      </c>
      <c r="AH31" s="33">
        <f>ROUND((16*NORMDIST(AH$3,$Y31,$Z31,1)),0)-SUM($AA31:AG31)</f>
        <v>0</v>
      </c>
      <c r="AI31">
        <f t="shared" si="5"/>
        <v>0</v>
      </c>
      <c r="AK31" s="33">
        <f>(((((((AA31*Settings!$I$24)+(AB31*Settings!$F$25))+(AC31*Settings!$I$25))+(AD31*Settings!$F$26))+(AF31*Settings!$I$26))+(AG31*Settings!$F$27))+(AH31*Settings!$I$27))+(AI31*Settings!$F$28)</f>
        <v>-11</v>
      </c>
      <c r="AM31" s="33">
        <f t="shared" si="6"/>
        <v>22.25</v>
      </c>
      <c r="AN31" s="131">
        <f t="shared" si="7"/>
        <v>3.0489399815575098</v>
      </c>
      <c r="AO31" s="33">
        <f t="shared" si="8"/>
        <v>0</v>
      </c>
      <c r="AP31" s="33">
        <f>ROUND((16*NORMDIST(AP$3,$AM31,$AN31,1)),0)-SUM($AO31:AO31)</f>
        <v>0</v>
      </c>
      <c r="AQ31" s="33">
        <f>ROUND((16*NORMDIST(AQ$3,$AM31,$AN31,1)),0)-SUM($AO31:AP31)</f>
        <v>0</v>
      </c>
      <c r="AR31" s="33">
        <f>ROUND((16*NORMDIST(AR$3,$AM31,$AN31,1)),0)-SUM($AO31:AQ31)</f>
        <v>1</v>
      </c>
      <c r="AS31" s="33">
        <f>ROUND((16*NORMDIST(AS$3,$AM31,$AN31,1)),0)-SUM($AO31:AR31)</f>
        <v>4</v>
      </c>
      <c r="AT31" s="33">
        <f>ROUND((16*NORMDIST(AT$3,$AM31,$AN31,1)),0)-SUM($AO31:AS31)</f>
        <v>10</v>
      </c>
      <c r="AU31" s="33">
        <f>ROUND((16*NORMDIST(AU$3,$AM31,$AN31,1)),0)-SUM($AO31:AT31)</f>
        <v>1</v>
      </c>
      <c r="AV31" s="33">
        <f>ROUND((16*NORMDIST(AV$3,$AM31,$AN31,1)),0)-SUM($AO31:AU31)</f>
        <v>0</v>
      </c>
      <c r="AW31">
        <f t="shared" si="9"/>
        <v>0</v>
      </c>
      <c r="AY31" s="33">
        <f>(((((((AO31*Settings!$I$24)+(AP31*Settings!$F$25))+(AQ31*Settings!$I$25))+(AR31*Settings!$F$26))+(AT31*Settings!$I$26))+(AU31*Settings!$F$27))+(AV31*Settings!$I$27))+(AW31*Settings!$F$28)</f>
        <v>-13</v>
      </c>
    </row>
    <row r="32" spans="1:51" ht="12.75" customHeight="1">
      <c r="A32" s="33" t="str">
        <f>ESPNData!BN31</f>
        <v>Vikings D/ST D/ST</v>
      </c>
      <c r="B32" s="33" t="str">
        <f t="shared" si="0"/>
        <v>Vikings</v>
      </c>
      <c r="C32" s="64" t="str">
        <f>VLOOKUP(B32,Settings!$K$2:$M$33,3,0)</f>
        <v>MIN</v>
      </c>
      <c r="D32" s="117">
        <f>VLOOKUP(VLOOKUP($B32,Settings!$K$2:$L$33,2,0),FFTodayData!$BH:$BS,3,0)</f>
        <v>34</v>
      </c>
      <c r="E32" s="33">
        <f>VLOOKUP(VLOOKUP($B32,Settings!$K$2:$L$33,2,0),FFTodayData!$BH:$BS,4,0)</f>
        <v>10</v>
      </c>
      <c r="F32" s="33">
        <f>VLOOKUP(VLOOKUP($B32,Settings!$K$2:$L$33,2,0),FFTodayData!$BH:$BS,5,0)</f>
        <v>11</v>
      </c>
      <c r="G32" s="33">
        <f>VLOOKUP(VLOOKUP($B32,Settings!$K$2:$L$33,2,0),FFTodayData!$BH:$BS,6,0)</f>
        <v>1</v>
      </c>
      <c r="H32" s="33">
        <f>VLOOKUP(VLOOKUP($B32,Settings!$K$2:$L$33,2,0),FFTodayData!$BH:$BS,10,0)</f>
        <v>0</v>
      </c>
      <c r="I32" s="64">
        <f>VLOOKUP(VLOOKUP($B32,Settings!$K$2:$L$33,2,0),FFTodayData!$BH:$BS,7,0)</f>
        <v>440</v>
      </c>
      <c r="J32" s="117">
        <f>ROUND(VLOOKUP($B32,SportslineData!$BC:$BM,6,0),0)</f>
        <v>42</v>
      </c>
      <c r="K32" s="33">
        <f>ROUND(VLOOKUP($B32,SportslineData!$BC:$BM,4,0),0)</f>
        <v>12</v>
      </c>
      <c r="L32" s="33">
        <f>ROUND(VLOOKUP($B32,SportslineData!$BC:$BM,3,0),0)</f>
        <v>13</v>
      </c>
      <c r="M32" s="33">
        <f>ROUND(VLOOKUP($B32,SportslineData!$BC:$BM,7,0),0)</f>
        <v>5</v>
      </c>
      <c r="N32" s="33">
        <f>ROUND(VLOOKUP($B32,SportslineData!$BC:$BM,8,0),0)</f>
        <v>1</v>
      </c>
      <c r="O32" s="64">
        <f>ROUND(VLOOKUP($B32,SportslineData!$BC:$BM,9,0),0)</f>
        <v>440</v>
      </c>
      <c r="P32" s="117"/>
      <c r="Q32" s="33"/>
      <c r="R32" s="38">
        <f>ROUND((((((((((((((D32*Settings!$F$20)+(E32*Settings!$I$23))+(F32*Settings!$F$23))+(G32*Settings!$I$20))+(H32*Settings!$F$24))+(AA32*Settings!$I$24))+(AB32*Settings!$F$25))+(AC32*Settings!$I$25))+(AD32*Settings!$F$26))+(AF32*Settings!$I$26))+(AG32*Settings!$F$27))+(AH32*Settings!$I$27))+(AI32*Settings!$F$28)),1)</f>
        <v>29</v>
      </c>
      <c r="S32" s="38">
        <f>IF(OR(ISERROR(ROUND(VLOOKUP(A32,ESPNData!$BN:$CA,14,0),1)),(A32="")),0,ROUND(VLOOKUP(A32,ESPNData!$BN:$CA,14,0),1))</f>
        <v>23</v>
      </c>
      <c r="T32" s="38">
        <f>ROUND((((((((((((((J32*Settings!$F$20)+(K32*Settings!$I$23))+(L32*Settings!$F$23))+(M32*Settings!$I$20))+(N32*Settings!$F$24))+(AO32*Settings!$I$24))+(AP32*Settings!$F$25))+(AQ32*Settings!$I$25))+(AR32*Settings!$F$26))+(AT32*Settings!$I$26))+(AU32*Settings!$F$27))+(AV32*Settings!$I$27))+(AW32*Settings!$F$28)),1)</f>
        <v>69</v>
      </c>
      <c r="U32" s="66">
        <f>ROUND((((R32*Settings!$B$21)+(S32*Settings!$B$22))+(T32*Settings!$B$23)),1)</f>
        <v>40.6</v>
      </c>
      <c r="V32" s="66">
        <f>IF(ISERROR(VLOOKUP(RANK(U32,U$4:U$182),V$4:V31,1,0)),RANK(U32,U$4:U$182),IF(ISERROR(VLOOKUP((RANK(U32,U$4:U$182)+1),V$4:V31,1,0)),(RANK(U32,U$4:U$182)+1),IF(ISERROR(VLOOKUP((RANK(U32,U$4:U$182)+2),V$4:V31,1,0)),(RANK(U32,U$4:U$182)+2),(RANK(U32,U$4:U$182)+3))))</f>
        <v>31</v>
      </c>
      <c r="W32" s="33" t="str">
        <f t="shared" si="1"/>
        <v>Vikings</v>
      </c>
      <c r="X32" s="33"/>
      <c r="Y32" s="33">
        <f t="shared" si="2"/>
        <v>27.5</v>
      </c>
      <c r="Z32" s="131">
        <f t="shared" si="3"/>
        <v>2.9834996862565943</v>
      </c>
      <c r="AA32" s="33">
        <f t="shared" si="4"/>
        <v>0</v>
      </c>
      <c r="AB32" s="33">
        <f>ROUND((16*NORMDIST(AB$3,$Y32,$Z32,1)),0)-SUM($AA32:AA32)</f>
        <v>0</v>
      </c>
      <c r="AC32" s="33">
        <f>ROUND((16*NORMDIST(AC$3,$Y32,$Z32,1)),0)-SUM($AA32:AB32)</f>
        <v>0</v>
      </c>
      <c r="AD32" s="33">
        <f>ROUND((16*NORMDIST(AD$3,$Y32,$Z32,1)),0)-SUM($AA32:AC32)</f>
        <v>0</v>
      </c>
      <c r="AE32" s="33">
        <f>ROUND((16*NORMDIST(AE$3,$Y32,$Z32,1)),0)-SUM($AA32:AD32)</f>
        <v>0</v>
      </c>
      <c r="AF32" s="33">
        <f>ROUND((16*NORMDIST(AF$3,$Y32,$Z32,1)),0)-SUM($AA32:AE32)</f>
        <v>7</v>
      </c>
      <c r="AG32" s="33">
        <f>ROUND((16*NORMDIST(AG$3,$Y32,$Z32,1)),0)-SUM($AA32:AF32)</f>
        <v>9</v>
      </c>
      <c r="AH32" s="33">
        <f>ROUND((16*NORMDIST(AH$3,$Y32,$Z32,1)),0)-SUM($AA32:AG32)</f>
        <v>0</v>
      </c>
      <c r="AI32">
        <f t="shared" si="5"/>
        <v>0</v>
      </c>
      <c r="AK32" s="33">
        <f>(((((((AA32*Settings!$I$24)+(AB32*Settings!$F$25))+(AC32*Settings!$I$25))+(AD32*Settings!$F$26))+(AF32*Settings!$I$26))+(AG32*Settings!$F$27))+(AH32*Settings!$I$27))+(AI32*Settings!$F$28)</f>
        <v>-43</v>
      </c>
      <c r="AM32" s="33">
        <f t="shared" si="6"/>
        <v>27.5</v>
      </c>
      <c r="AN32" s="131">
        <f t="shared" si="7"/>
        <v>3.7683527861946753</v>
      </c>
      <c r="AO32" s="33">
        <f t="shared" si="8"/>
        <v>0</v>
      </c>
      <c r="AP32" s="33">
        <f>ROUND((16*NORMDIST(AP$3,$AM32,$AN32,1)),0)-SUM($AO32:AO32)</f>
        <v>0</v>
      </c>
      <c r="AQ32" s="33">
        <f>ROUND((16*NORMDIST(AQ$3,$AM32,$AN32,1)),0)-SUM($AO32:AP32)</f>
        <v>0</v>
      </c>
      <c r="AR32" s="33">
        <f>ROUND((16*NORMDIST(AR$3,$AM32,$AN32,1)),0)-SUM($AO32:AQ32)</f>
        <v>0</v>
      </c>
      <c r="AS32" s="33">
        <f>ROUND((16*NORMDIST(AS$3,$AM32,$AN32,1)),0)-SUM($AO32:AR32)</f>
        <v>1</v>
      </c>
      <c r="AT32" s="33">
        <f>ROUND((16*NORMDIST(AT$3,$AM32,$AN32,1)),0)-SUM($AO32:AS32)</f>
        <v>6</v>
      </c>
      <c r="AU32" s="33">
        <f>ROUND((16*NORMDIST(AU$3,$AM32,$AN32,1)),0)-SUM($AO32:AT32)</f>
        <v>8</v>
      </c>
      <c r="AV32" s="33">
        <f>ROUND((16*NORMDIST(AV$3,$AM32,$AN32,1)),0)-SUM($AO32:AU32)</f>
        <v>1</v>
      </c>
      <c r="AW32">
        <f t="shared" si="9"/>
        <v>0</v>
      </c>
      <c r="AY32" s="33">
        <f>(((((((AO32*Settings!$I$24)+(AP32*Settings!$F$25))+(AQ32*Settings!$I$25))+(AR32*Settings!$F$26))+(AT32*Settings!$I$26))+(AU32*Settings!$F$27))+(AV32*Settings!$I$27))+(AW32*Settings!$F$28)</f>
        <v>-45</v>
      </c>
    </row>
    <row r="33" spans="1:51" ht="12.75" customHeight="1">
      <c r="A33" s="33" t="str">
        <f>ESPNData!BN32</f>
        <v>Redskins D/ST D/ST</v>
      </c>
      <c r="B33" s="33" t="str">
        <f t="shared" si="0"/>
        <v>Redskins</v>
      </c>
      <c r="C33" s="64" t="str">
        <f>VLOOKUP(B33,Settings!$K$2:$M$33,3,0)</f>
        <v>WSH</v>
      </c>
      <c r="D33" s="117">
        <f>VLOOKUP(VLOOKUP($B33,Settings!$K$2:$L$33,2,0),FFTodayData!$BH:$BS,3,0)</f>
        <v>35</v>
      </c>
      <c r="E33" s="33">
        <f>VLOOKUP(VLOOKUP($B33,Settings!$K$2:$L$33,2,0),FFTodayData!$BH:$BS,4,0)</f>
        <v>10</v>
      </c>
      <c r="F33" s="33">
        <f>VLOOKUP(VLOOKUP($B33,Settings!$K$2:$L$33,2,0),FFTodayData!$BH:$BS,5,0)</f>
        <v>16</v>
      </c>
      <c r="G33" s="33">
        <f>VLOOKUP(VLOOKUP($B33,Settings!$K$2:$L$33,2,0),FFTodayData!$BH:$BS,6,0)</f>
        <v>3</v>
      </c>
      <c r="H33" s="33">
        <f>VLOOKUP(VLOOKUP($B33,Settings!$K$2:$L$33,2,0),FFTodayData!$BH:$BS,10,0)</f>
        <v>1</v>
      </c>
      <c r="I33" s="64">
        <f>VLOOKUP(VLOOKUP($B33,Settings!$K$2:$L$33,2,0),FFTodayData!$BH:$BS,7,0)</f>
        <v>397</v>
      </c>
      <c r="J33" s="117">
        <f>ROUND(VLOOKUP($B33,SportslineData!$BC:$BM,6,0),0)</f>
        <v>32</v>
      </c>
      <c r="K33" s="33">
        <f>ROUND(VLOOKUP($B33,SportslineData!$BC:$BM,4,0),0)</f>
        <v>9</v>
      </c>
      <c r="L33" s="33">
        <f>ROUND(VLOOKUP($B33,SportslineData!$BC:$BM,3,0),0)</f>
        <v>16</v>
      </c>
      <c r="M33" s="33">
        <f>ROUND(VLOOKUP($B33,SportslineData!$BC:$BM,7,0),0)</f>
        <v>3</v>
      </c>
      <c r="N33" s="33">
        <f>ROUND(VLOOKUP($B33,SportslineData!$BC:$BM,8,0),0)</f>
        <v>1</v>
      </c>
      <c r="O33" s="64">
        <f>ROUND(VLOOKUP($B33,SportslineData!$BC:$BM,9,0),0)</f>
        <v>422</v>
      </c>
      <c r="P33" s="117"/>
      <c r="Q33" s="33"/>
      <c r="R33" s="38">
        <f>ROUND((((((((((((((D33*Settings!$F$20)+(E33*Settings!$I$23))+(F33*Settings!$F$23))+(G33*Settings!$I$20))+(H33*Settings!$F$24))+(AA33*Settings!$I$24))+(AB33*Settings!$F$25))+(AC33*Settings!$I$25))+(AD33*Settings!$F$26))+(AF33*Settings!$I$26))+(AG33*Settings!$F$27))+(AH33*Settings!$I$27))+(AI33*Settings!$F$28)),1)</f>
        <v>75</v>
      </c>
      <c r="S33" s="38">
        <f>IF(OR(ISERROR(ROUND(VLOOKUP(A33,ESPNData!$BN:$CA,14,0),1)),(A33="")),0,ROUND(VLOOKUP(A33,ESPNData!$BN:$CA,14,0),1))</f>
        <v>27</v>
      </c>
      <c r="T33" s="38">
        <f>ROUND((((((((((((((J33*Settings!$F$20)+(K33*Settings!$I$23))+(L33*Settings!$F$23))+(M33*Settings!$I$20))+(N33*Settings!$F$24))+(AO33*Settings!$I$24))+(AP33*Settings!$F$25))+(AQ33*Settings!$I$25))+(AR33*Settings!$F$26))+(AT33*Settings!$I$26))+(AU33*Settings!$F$27))+(AV33*Settings!$I$27))+(AW33*Settings!$F$28)),1)</f>
        <v>59</v>
      </c>
      <c r="U33" s="66">
        <f>ROUND((((R33*Settings!$B$21)+(S33*Settings!$B$22))+(T33*Settings!$B$23)),1)</f>
        <v>53.7</v>
      </c>
      <c r="V33" s="66">
        <f>IF(ISERROR(VLOOKUP(RANK(U33,U$4:U$182),V$4:V32,1,0)),RANK(U33,U$4:U$182),IF(ISERROR(VLOOKUP((RANK(U33,U$4:U$182)+1),V$4:V32,1,0)),(RANK(U33,U$4:U$182)+1),IF(ISERROR(VLOOKUP((RANK(U33,U$4:U$182)+2),V$4:V32,1,0)),(RANK(U33,U$4:U$182)+2),(RANK(U33,U$4:U$182)+3))))</f>
        <v>29</v>
      </c>
      <c r="W33" s="33" t="str">
        <f t="shared" si="1"/>
        <v>Redskins</v>
      </c>
      <c r="X33" s="33"/>
      <c r="Y33" s="33">
        <f t="shared" si="2"/>
        <v>24.8125</v>
      </c>
      <c r="Z33" s="131">
        <f t="shared" si="3"/>
        <v>2.6919303987360639</v>
      </c>
      <c r="AA33" s="33">
        <f t="shared" si="4"/>
        <v>0</v>
      </c>
      <c r="AB33" s="33">
        <f>ROUND((16*NORMDIST(AB$3,$Y33,$Z33,1)),0)-SUM($AA33:AA33)</f>
        <v>0</v>
      </c>
      <c r="AC33" s="33">
        <f>ROUND((16*NORMDIST(AC$3,$Y33,$Z33,1)),0)-SUM($AA33:AB33)</f>
        <v>0</v>
      </c>
      <c r="AD33" s="33">
        <f>ROUND((16*NORMDIST(AD$3,$Y33,$Z33,1)),0)-SUM($AA33:AC33)</f>
        <v>0</v>
      </c>
      <c r="AE33" s="33">
        <f>ROUND((16*NORMDIST(AE$3,$Y33,$Z33,1)),0)-SUM($AA33:AD33)</f>
        <v>1</v>
      </c>
      <c r="AF33" s="33">
        <f>ROUND((16*NORMDIST(AF$3,$Y33,$Z33,1)),0)-SUM($AA33:AE33)</f>
        <v>12</v>
      </c>
      <c r="AG33" s="33">
        <f>ROUND((16*NORMDIST(AG$3,$Y33,$Z33,1)),0)-SUM($AA33:AF33)</f>
        <v>3</v>
      </c>
      <c r="AH33" s="33">
        <f>ROUND((16*NORMDIST(AH$3,$Y33,$Z33,1)),0)-SUM($AA33:AG33)</f>
        <v>0</v>
      </c>
      <c r="AI33">
        <f t="shared" si="5"/>
        <v>0</v>
      </c>
      <c r="AK33" s="33">
        <f>(((((((AA33*Settings!$I$24)+(AB33*Settings!$F$25))+(AC33*Settings!$I$25))+(AD33*Settings!$F$26))+(AF33*Settings!$I$26))+(AG33*Settings!$F$27))+(AH33*Settings!$I$27))+(AI33*Settings!$F$28)</f>
        <v>-24</v>
      </c>
      <c r="AM33" s="33">
        <f t="shared" si="6"/>
        <v>26.375</v>
      </c>
      <c r="AN33" s="131">
        <f t="shared" si="7"/>
        <v>3.614192899486711</v>
      </c>
      <c r="AO33" s="33">
        <f t="shared" si="8"/>
        <v>0</v>
      </c>
      <c r="AP33" s="33">
        <f>ROUND((16*NORMDIST(AP$3,$AM33,$AN33,1)),0)-SUM($AO33:AO33)</f>
        <v>0</v>
      </c>
      <c r="AQ33" s="33">
        <f>ROUND((16*NORMDIST(AQ$3,$AM33,$AN33,1)),0)-SUM($AO33:AP33)</f>
        <v>0</v>
      </c>
      <c r="AR33" s="33">
        <f>ROUND((16*NORMDIST(AR$3,$AM33,$AN33,1)),0)-SUM($AO33:AQ33)</f>
        <v>0</v>
      </c>
      <c r="AS33" s="33">
        <f>ROUND((16*NORMDIST(AS$3,$AM33,$AN33,1)),0)-SUM($AO33:AR33)</f>
        <v>1</v>
      </c>
      <c r="AT33" s="33">
        <f>ROUND((16*NORMDIST(AT$3,$AM33,$AN33,1)),0)-SUM($AO33:AS33)</f>
        <v>8</v>
      </c>
      <c r="AU33" s="33">
        <f>ROUND((16*NORMDIST(AU$3,$AM33,$AN33,1)),0)-SUM($AO33:AT33)</f>
        <v>7</v>
      </c>
      <c r="AV33" s="33">
        <f>ROUND((16*NORMDIST(AV$3,$AM33,$AN33,1)),0)-SUM($AO33:AU33)</f>
        <v>0</v>
      </c>
      <c r="AW33">
        <f t="shared" si="9"/>
        <v>0</v>
      </c>
      <c r="AY33" s="33">
        <f>(((((((AO33*Settings!$I$24)+(AP33*Settings!$F$25))+(AQ33*Settings!$I$25))+(AR33*Settings!$F$26))+(AT33*Settings!$I$26))+(AU33*Settings!$F$27))+(AV33*Settings!$I$27))+(AW33*Settings!$F$28)</f>
        <v>-36</v>
      </c>
    </row>
    <row r="34" spans="1:51" ht="12.75" customHeight="1">
      <c r="A34" s="33" t="str">
        <f>ESPNData!BN33</f>
        <v>Chargers D/ST D/ST</v>
      </c>
      <c r="B34" s="33" t="str">
        <f t="shared" si="0"/>
        <v>Chargers</v>
      </c>
      <c r="C34" s="64" t="str">
        <f>VLOOKUP(B34,Settings!$K$2:$M$33,3,0)</f>
        <v>SD</v>
      </c>
      <c r="D34" s="117">
        <f>VLOOKUP(VLOOKUP($B34,Settings!$K$2:$L$33,2,0),FFTodayData!$BH:$BS,3,0)</f>
        <v>37</v>
      </c>
      <c r="E34" s="33">
        <f>VLOOKUP(VLOOKUP($B34,Settings!$K$2:$L$33,2,0),FFTodayData!$BH:$BS,4,0)</f>
        <v>10</v>
      </c>
      <c r="F34" s="33">
        <f>VLOOKUP(VLOOKUP($B34,Settings!$K$2:$L$33,2,0),FFTodayData!$BH:$BS,5,0)</f>
        <v>12</v>
      </c>
      <c r="G34" s="33">
        <f>VLOOKUP(VLOOKUP($B34,Settings!$K$2:$L$33,2,0),FFTodayData!$BH:$BS,6,0)</f>
        <v>2</v>
      </c>
      <c r="H34" s="33">
        <f>VLOOKUP(VLOOKUP($B34,Settings!$K$2:$L$33,2,0),FFTodayData!$BH:$BS,10,0)</f>
        <v>0</v>
      </c>
      <c r="I34" s="64">
        <f>VLOOKUP(VLOOKUP($B34,Settings!$K$2:$L$33,2,0),FFTodayData!$BH:$BS,7,0)</f>
        <v>335</v>
      </c>
      <c r="J34" s="117">
        <f>ROUND(VLOOKUP($B34,SportslineData!$BC:$BM,6,0),0)</f>
        <v>36</v>
      </c>
      <c r="K34" s="33">
        <f>ROUND(VLOOKUP($B34,SportslineData!$BC:$BM,4,0),0)</f>
        <v>9</v>
      </c>
      <c r="L34" s="33">
        <f>ROUND(VLOOKUP($B34,SportslineData!$BC:$BM,3,0),0)</f>
        <v>15</v>
      </c>
      <c r="M34" s="33">
        <f>ROUND(VLOOKUP($B34,SportslineData!$BC:$BM,7,0),0)</f>
        <v>4</v>
      </c>
      <c r="N34" s="33">
        <f>ROUND(VLOOKUP($B34,SportslineData!$BC:$BM,8,0),0)</f>
        <v>1</v>
      </c>
      <c r="O34" s="64">
        <f>ROUND(VLOOKUP($B34,SportslineData!$BC:$BM,9,0),0)</f>
        <v>358</v>
      </c>
      <c r="P34" s="117"/>
      <c r="Q34" s="33"/>
      <c r="R34" s="38">
        <f>ROUND((((((((((((((D34*Settings!$F$20)+(E34*Settings!$I$23))+(F34*Settings!$F$23))+(G34*Settings!$I$20))+(H34*Settings!$F$24))+(AA34*Settings!$I$24))+(AB34*Settings!$F$25))+(AC34*Settings!$I$25))+(AD34*Settings!$F$26))+(AF34*Settings!$I$26))+(AG34*Settings!$F$27))+(AH34*Settings!$I$27))+(AI34*Settings!$F$28)),1)</f>
        <v>76</v>
      </c>
      <c r="S34" s="38">
        <f>IF(OR(ISERROR(ROUND(VLOOKUP(A34,ESPNData!$BN:$CA,14,0),1)),(A34="")),0,ROUND(VLOOKUP(A34,ESPNData!$BN:$CA,14,0),1))</f>
        <v>54</v>
      </c>
      <c r="T34" s="38">
        <f>ROUND((((((((((((((J34*Settings!$F$20)+(K34*Settings!$I$23))+(L34*Settings!$F$23))+(M34*Settings!$I$20))+(N34*Settings!$F$24))+(AO34*Settings!$I$24))+(AP34*Settings!$F$25))+(AQ34*Settings!$I$25))+(AR34*Settings!$F$26))+(AT34*Settings!$I$26))+(AU34*Settings!$F$27))+(AV34*Settings!$I$27))+(AW34*Settings!$F$28)),1)</f>
        <v>90</v>
      </c>
      <c r="U34" s="66">
        <f>ROUND((((R34*Settings!$B$21)+(S34*Settings!$B$22))+(T34*Settings!$B$23)),1)</f>
        <v>73.5</v>
      </c>
      <c r="V34" s="66">
        <f>IF(ISERROR(VLOOKUP(RANK(U34,U$4:U$182),V$4:V33,1,0)),RANK(U34,U$4:U$182),IF(ISERROR(VLOOKUP((RANK(U34,U$4:U$182)+1),V$4:V33,1,0)),(RANK(U34,U$4:U$182)+1),IF(ISERROR(VLOOKUP((RANK(U34,U$4:U$182)+2),V$4:V33,1,0)),(RANK(U34,U$4:U$182)+2),(RANK(U34,U$4:U$182)+3))))</f>
        <v>19</v>
      </c>
      <c r="W34" s="33" t="str">
        <f t="shared" si="1"/>
        <v>Chargers</v>
      </c>
      <c r="X34" s="33"/>
      <c r="Y34" s="33">
        <f t="shared" si="2"/>
        <v>20.9375</v>
      </c>
      <c r="Z34" s="131">
        <f t="shared" si="3"/>
        <v>2.2715281702180889</v>
      </c>
      <c r="AA34" s="33">
        <f t="shared" si="4"/>
        <v>0</v>
      </c>
      <c r="AB34" s="33">
        <f>ROUND((16*NORMDIST(AB$3,$Y34,$Z34,1)),0)-SUM($AA34:AA34)</f>
        <v>0</v>
      </c>
      <c r="AC34" s="33">
        <f>ROUND((16*NORMDIST(AC$3,$Y34,$Z34,1)),0)-SUM($AA34:AB34)</f>
        <v>0</v>
      </c>
      <c r="AD34" s="33">
        <f>ROUND((16*NORMDIST(AD$3,$Y34,$Z34,1)),0)-SUM($AA34:AC34)</f>
        <v>1</v>
      </c>
      <c r="AE34" s="33">
        <f>ROUND((16*NORMDIST(AE$3,$Y34,$Z34,1)),0)-SUM($AA34:AD34)</f>
        <v>7</v>
      </c>
      <c r="AF34" s="33">
        <f>ROUND((16*NORMDIST(AF$3,$Y34,$Z34,1)),0)-SUM($AA34:AE34)</f>
        <v>8</v>
      </c>
      <c r="AG34" s="33">
        <f>ROUND((16*NORMDIST(AG$3,$Y34,$Z34,1)),0)-SUM($AA34:AF34)</f>
        <v>0</v>
      </c>
      <c r="AH34" s="33">
        <f>ROUND((16*NORMDIST(AH$3,$Y34,$Z34,1)),0)-SUM($AA34:AG34)</f>
        <v>0</v>
      </c>
      <c r="AI34">
        <f t="shared" si="5"/>
        <v>0</v>
      </c>
      <c r="AK34" s="33">
        <f>(((((((AA34*Settings!$I$24)+(AB34*Settings!$F$25))+(AC34*Settings!$I$25))+(AD34*Settings!$F$26))+(AF34*Settings!$I$26))+(AG34*Settings!$F$27))+(AH34*Settings!$I$27))+(AI34*Settings!$F$28)</f>
        <v>-7</v>
      </c>
      <c r="AM34" s="33">
        <f t="shared" si="6"/>
        <v>22.375</v>
      </c>
      <c r="AN34" s="131">
        <f t="shared" si="7"/>
        <v>3.0660688578583946</v>
      </c>
      <c r="AO34" s="33">
        <f t="shared" si="8"/>
        <v>0</v>
      </c>
      <c r="AP34" s="33">
        <f>ROUND((16*NORMDIST(AP$3,$AM34,$AN34,1)),0)-SUM($AO34:AO34)</f>
        <v>0</v>
      </c>
      <c r="AQ34" s="33">
        <f>ROUND((16*NORMDIST(AQ$3,$AM34,$AN34,1)),0)-SUM($AO34:AP34)</f>
        <v>0</v>
      </c>
      <c r="AR34" s="33">
        <f>ROUND((16*NORMDIST(AR$3,$AM34,$AN34,1)),0)-SUM($AO34:AQ34)</f>
        <v>1</v>
      </c>
      <c r="AS34" s="33">
        <f>ROUND((16*NORMDIST(AS$3,$AM34,$AN34,1)),0)-SUM($AO34:AR34)</f>
        <v>4</v>
      </c>
      <c r="AT34" s="33">
        <f>ROUND((16*NORMDIST(AT$3,$AM34,$AN34,1)),0)-SUM($AO34:AS34)</f>
        <v>10</v>
      </c>
      <c r="AU34" s="33">
        <f>ROUND((16*NORMDIST(AU$3,$AM34,$AN34,1)),0)-SUM($AO34:AT34)</f>
        <v>1</v>
      </c>
      <c r="AV34" s="33">
        <f>ROUND((16*NORMDIST(AV$3,$AM34,$AN34,1)),0)-SUM($AO34:AU34)</f>
        <v>0</v>
      </c>
      <c r="AW34">
        <f t="shared" si="9"/>
        <v>0</v>
      </c>
      <c r="AY34" s="33">
        <f>(((((((AO34*Settings!$I$24)+(AP34*Settings!$F$25))+(AQ34*Settings!$I$25))+(AR34*Settings!$F$26))+(AT34*Settings!$I$26))+(AU34*Settings!$F$27))+(AV34*Settings!$I$27))+(AW34*Settings!$F$28)</f>
        <v>-13</v>
      </c>
    </row>
    <row r="35" spans="1:51" ht="12.75" customHeight="1">
      <c r="A35" s="33" t="str">
        <f>ESPNData!BN34</f>
        <v>Cowboys D/ST D/ST</v>
      </c>
      <c r="B35" s="33" t="str">
        <f t="shared" si="0"/>
        <v>Cowboys</v>
      </c>
      <c r="C35" s="64" t="str">
        <f>VLOOKUP(B35,Settings!$K$2:$M$33,3,0)</f>
        <v>DAL</v>
      </c>
      <c r="D35" s="117">
        <f>VLOOKUP(VLOOKUP($B35,Settings!$K$2:$L$33,2,0),FFTodayData!$BH:$BS,3,0)</f>
        <v>33</v>
      </c>
      <c r="E35" s="33">
        <f>VLOOKUP(VLOOKUP($B35,Settings!$K$2:$L$33,2,0),FFTodayData!$BH:$BS,4,0)</f>
        <v>7</v>
      </c>
      <c r="F35" s="33">
        <f>VLOOKUP(VLOOKUP($B35,Settings!$K$2:$L$33,2,0),FFTodayData!$BH:$BS,5,0)</f>
        <v>12</v>
      </c>
      <c r="G35" s="33">
        <f>VLOOKUP(VLOOKUP($B35,Settings!$K$2:$L$33,2,0),FFTodayData!$BH:$BS,6,0)</f>
        <v>3</v>
      </c>
      <c r="H35" s="33">
        <f>VLOOKUP(VLOOKUP($B35,Settings!$K$2:$L$33,2,0),FFTodayData!$BH:$BS,10,0)</f>
        <v>2</v>
      </c>
      <c r="I35" s="64">
        <f>VLOOKUP(VLOOKUP($B35,Settings!$K$2:$L$33,2,0),FFTodayData!$BH:$BS,7,0)</f>
        <v>411</v>
      </c>
      <c r="J35" s="117">
        <f>ROUND(VLOOKUP($B35,SportslineData!$BC:$BM,6,0),0)</f>
        <v>32</v>
      </c>
      <c r="K35" s="33">
        <f>ROUND(VLOOKUP($B35,SportslineData!$BC:$BM,4,0),0)</f>
        <v>9</v>
      </c>
      <c r="L35" s="33">
        <f>ROUND(VLOOKUP($B35,SportslineData!$BC:$BM,3,0),0)</f>
        <v>11</v>
      </c>
      <c r="M35" s="33">
        <f>ROUND(VLOOKUP($B35,SportslineData!$BC:$BM,7,0),0)</f>
        <v>2</v>
      </c>
      <c r="N35" s="33">
        <f>ROUND(VLOOKUP($B35,SportslineData!$BC:$BM,8,0),0)</f>
        <v>1</v>
      </c>
      <c r="O35" s="64">
        <f>ROUND(VLOOKUP($B35,SportslineData!$BC:$BM,9,0),0)</f>
        <v>418</v>
      </c>
      <c r="P35" s="117"/>
      <c r="Q35" s="33"/>
      <c r="R35" s="38">
        <f>ROUND((((((((((((((D35*Settings!$F$20)+(E35*Settings!$I$23))+(F35*Settings!$F$23))+(G35*Settings!$I$20))+(H35*Settings!$F$24))+(AA35*Settings!$I$24))+(AB35*Settings!$F$25))+(AC35*Settings!$I$25))+(AD35*Settings!$F$26))+(AF35*Settings!$I$26))+(AG35*Settings!$F$27))+(AH35*Settings!$I$27))+(AI35*Settings!$F$28)),1)</f>
        <v>60</v>
      </c>
      <c r="S35" s="38">
        <f>IF(OR(ISERROR(ROUND(VLOOKUP(A35,ESPNData!$BN:$CA,14,0),1)),(A35="")),0,ROUND(VLOOKUP(A35,ESPNData!$BN:$CA,14,0),1))</f>
        <v>7</v>
      </c>
      <c r="T35" s="38">
        <f>ROUND((((((((((((((J35*Settings!$F$20)+(K35*Settings!$I$23))+(L35*Settings!$F$23))+(M35*Settings!$I$20))+(N35*Settings!$F$24))+(AO35*Settings!$I$24))+(AP35*Settings!$F$25))+(AQ35*Settings!$I$25))+(AR35*Settings!$F$26))+(AT35*Settings!$I$26))+(AU35*Settings!$F$27))+(AV35*Settings!$I$27))+(AW35*Settings!$F$28)),1)</f>
        <v>46</v>
      </c>
      <c r="U35" s="66">
        <f>ROUND((((R35*Settings!$B$21)+(S35*Settings!$B$22))+(T35*Settings!$B$23)),1)</f>
        <v>37.799999999999997</v>
      </c>
      <c r="V35" s="66">
        <f>IF(ISERROR(VLOOKUP(RANK(U35,U$4:U$182),V$4:V34,1,0)),RANK(U35,U$4:U$182),IF(ISERROR(VLOOKUP((RANK(U35,U$4:U$182)+1),V$4:V34,1,0)),(RANK(U35,U$4:U$182)+1),IF(ISERROR(VLOOKUP((RANK(U35,U$4:U$182)+2),V$4:V34,1,0)),(RANK(U35,U$4:U$182)+2),(RANK(U35,U$4:U$182)+3))))</f>
        <v>32</v>
      </c>
      <c r="W35" s="33" t="str">
        <f t="shared" si="1"/>
        <v>Cowboys</v>
      </c>
      <c r="X35" s="33"/>
      <c r="Y35" s="33">
        <f t="shared" si="2"/>
        <v>25.6875</v>
      </c>
      <c r="Z35" s="131">
        <f t="shared" si="3"/>
        <v>2.7868599342078646</v>
      </c>
      <c r="AA35" s="33">
        <f t="shared" si="4"/>
        <v>0</v>
      </c>
      <c r="AB35" s="33">
        <f>ROUND((16*NORMDIST(AB$3,$Y35,$Z35,1)),0)-SUM($AA35:AA35)</f>
        <v>0</v>
      </c>
      <c r="AC35" s="33">
        <f>ROUND((16*NORMDIST(AC$3,$Y35,$Z35,1)),0)-SUM($AA35:AB35)</f>
        <v>0</v>
      </c>
      <c r="AD35" s="33">
        <f>ROUND((16*NORMDIST(AD$3,$Y35,$Z35,1)),0)-SUM($AA35:AC35)</f>
        <v>0</v>
      </c>
      <c r="AE35" s="33">
        <f>ROUND((16*NORMDIST(AE$3,$Y35,$Z35,1)),0)-SUM($AA35:AD35)</f>
        <v>1</v>
      </c>
      <c r="AF35" s="33">
        <f>ROUND((16*NORMDIST(AF$3,$Y35,$Z35,1)),0)-SUM($AA35:AE35)</f>
        <v>10</v>
      </c>
      <c r="AG35" s="33">
        <f>ROUND((16*NORMDIST(AG$3,$Y35,$Z35,1)),0)-SUM($AA35:AF35)</f>
        <v>5</v>
      </c>
      <c r="AH35" s="33">
        <f>ROUND((16*NORMDIST(AH$3,$Y35,$Z35,1)),0)-SUM($AA35:AG35)</f>
        <v>0</v>
      </c>
      <c r="AI35">
        <f t="shared" si="5"/>
        <v>0</v>
      </c>
      <c r="AK35" s="33">
        <f>(((((((AA35*Settings!$I$24)+(AB35*Settings!$F$25))+(AC35*Settings!$I$25))+(AD35*Settings!$F$26))+(AF35*Settings!$I$26))+(AG35*Settings!$F$27))+(AH35*Settings!$I$27))+(AI35*Settings!$F$28)</f>
        <v>-30</v>
      </c>
      <c r="AM35" s="33">
        <f t="shared" si="6"/>
        <v>26.125</v>
      </c>
      <c r="AN35" s="131">
        <f t="shared" si="7"/>
        <v>3.5799351468849414</v>
      </c>
      <c r="AO35" s="33">
        <f t="shared" si="8"/>
        <v>0</v>
      </c>
      <c r="AP35" s="33">
        <f>ROUND((16*NORMDIST(AP$3,$AM35,$AN35,1)),0)-SUM($AO35:AO35)</f>
        <v>0</v>
      </c>
      <c r="AQ35" s="33">
        <f>ROUND((16*NORMDIST(AQ$3,$AM35,$AN35,1)),0)-SUM($AO35:AP35)</f>
        <v>0</v>
      </c>
      <c r="AR35" s="33">
        <f>ROUND((16*NORMDIST(AR$3,$AM35,$AN35,1)),0)-SUM($AO35:AQ35)</f>
        <v>0</v>
      </c>
      <c r="AS35" s="33">
        <f>ROUND((16*NORMDIST(AS$3,$AM35,$AN35,1)),0)-SUM($AO35:AR35)</f>
        <v>1</v>
      </c>
      <c r="AT35" s="33">
        <f>ROUND((16*NORMDIST(AT$3,$AM35,$AN35,1)),0)-SUM($AO35:AS35)</f>
        <v>9</v>
      </c>
      <c r="AU35" s="33">
        <f>ROUND((16*NORMDIST(AU$3,$AM35,$AN35,1)),0)-SUM($AO35:AT35)</f>
        <v>6</v>
      </c>
      <c r="AV35" s="33">
        <f>ROUND((16*NORMDIST(AV$3,$AM35,$AN35,1)),0)-SUM($AO35:AU35)</f>
        <v>0</v>
      </c>
      <c r="AW35">
        <f t="shared" si="9"/>
        <v>0</v>
      </c>
      <c r="AY35" s="33">
        <f>(((((((AO35*Settings!$I$24)+(AP35*Settings!$F$25))+(AQ35*Settings!$I$25))+(AR35*Settings!$F$26))+(AT35*Settings!$I$26))+(AU35*Settings!$F$27))+(AV35*Settings!$I$27))+(AW35*Settings!$F$28)</f>
        <v>-33</v>
      </c>
    </row>
    <row r="36" spans="1:51" ht="12.75" customHeight="1">
      <c r="A36" s="33"/>
      <c r="B36" s="33"/>
      <c r="C36" s="64"/>
      <c r="D36" s="117"/>
      <c r="E36" s="33"/>
      <c r="F36" s="33"/>
      <c r="G36" s="33"/>
      <c r="H36" s="33"/>
      <c r="I36" s="64"/>
      <c r="J36" s="117"/>
      <c r="K36" s="33"/>
      <c r="L36" s="33"/>
      <c r="M36" s="33"/>
      <c r="N36" s="33"/>
      <c r="O36" s="64"/>
      <c r="P36" s="117"/>
      <c r="Q36" s="33"/>
      <c r="R36" s="38"/>
      <c r="S36" s="38"/>
      <c r="T36" s="38"/>
      <c r="U36" s="169"/>
      <c r="V36" s="66"/>
      <c r="W36" s="33"/>
      <c r="X36" s="33"/>
      <c r="Y36" s="33"/>
      <c r="Z36" s="131"/>
      <c r="AA36" s="33"/>
      <c r="AB36" s="33"/>
      <c r="AC36" s="33"/>
      <c r="AD36" s="33"/>
      <c r="AK36" s="33"/>
    </row>
    <row r="37" spans="1:51" ht="12.75" customHeight="1">
      <c r="A37" s="33"/>
      <c r="B37" s="33"/>
      <c r="C37" s="64"/>
      <c r="D37" s="117"/>
      <c r="E37" s="33"/>
      <c r="F37" s="33"/>
      <c r="G37" s="33"/>
      <c r="H37" s="33"/>
      <c r="I37" s="64"/>
      <c r="J37" s="117"/>
      <c r="K37" s="33"/>
      <c r="L37" s="33"/>
      <c r="M37" s="33"/>
      <c r="N37" s="33"/>
      <c r="O37" s="64"/>
      <c r="P37" s="117"/>
      <c r="Q37" s="33"/>
      <c r="R37" s="38"/>
      <c r="S37" s="38"/>
      <c r="T37" s="38"/>
      <c r="U37" s="169"/>
      <c r="V37" s="66"/>
      <c r="W37" s="33"/>
      <c r="X37" s="33"/>
      <c r="Y37" s="33">
        <f>STDEV(Y4:Y35)</f>
        <v>2.5374580073098523</v>
      </c>
      <c r="Z37" s="131"/>
      <c r="AA37" s="33"/>
      <c r="AB37" s="33"/>
      <c r="AC37" s="33"/>
      <c r="AD37" s="33"/>
      <c r="AK37" s="33"/>
      <c r="AM37" s="33">
        <f>STDEV(AM4:AM35)</f>
        <v>2.1287981577693498</v>
      </c>
    </row>
    <row r="38" spans="1:51" ht="12.75" customHeight="1">
      <c r="A38" s="33"/>
      <c r="B38" s="33"/>
      <c r="C38" s="64"/>
      <c r="D38" s="117"/>
      <c r="E38" s="33"/>
      <c r="F38" s="33"/>
      <c r="G38" s="33"/>
      <c r="H38" s="33"/>
      <c r="I38" s="64"/>
      <c r="J38" s="117"/>
      <c r="K38" s="33"/>
      <c r="L38" s="33"/>
      <c r="M38" s="33"/>
      <c r="N38" s="33"/>
      <c r="O38" s="64"/>
      <c r="P38" s="117"/>
      <c r="Q38" s="33"/>
      <c r="R38" s="38"/>
      <c r="S38" s="38"/>
      <c r="T38" s="38"/>
      <c r="U38" s="169"/>
      <c r="V38" s="66"/>
      <c r="W38" s="33"/>
      <c r="X38" s="33"/>
      <c r="Y38" s="33">
        <f>AVERAGE(Y4:Y35)</f>
        <v>23.388671875</v>
      </c>
      <c r="Z38" s="131"/>
      <c r="AA38" s="33"/>
      <c r="AB38" s="33"/>
      <c r="AC38" s="33"/>
      <c r="AD38" s="33"/>
      <c r="AK38" s="33"/>
      <c r="AM38" s="33">
        <f>AVERAGE(AM4:AM35)</f>
        <v>23.302734375</v>
      </c>
    </row>
    <row r="39" spans="1:51" ht="12.75" customHeight="1">
      <c r="A39" s="33"/>
      <c r="B39" s="33"/>
      <c r="C39" s="64"/>
      <c r="D39" s="117"/>
      <c r="E39" s="33"/>
      <c r="F39" s="33"/>
      <c r="G39" s="33"/>
      <c r="H39" s="33"/>
      <c r="I39" s="64"/>
      <c r="J39" s="117"/>
      <c r="K39" s="33"/>
      <c r="L39" s="33"/>
      <c r="M39" s="33"/>
      <c r="N39" s="33"/>
      <c r="O39" s="64"/>
      <c r="P39" s="117"/>
      <c r="Q39" s="33"/>
      <c r="R39" s="38"/>
      <c r="S39" s="38"/>
      <c r="T39" s="38"/>
      <c r="U39" s="169"/>
      <c r="V39" s="66"/>
      <c r="W39" s="33"/>
      <c r="X39" s="33"/>
      <c r="Y39" s="33"/>
      <c r="Z39" s="131"/>
      <c r="AA39" s="33"/>
      <c r="AB39" s="33"/>
      <c r="AC39" s="33"/>
      <c r="AD39" s="33"/>
      <c r="AK39" s="33"/>
    </row>
    <row r="40" spans="1:51" ht="12.75" customHeight="1">
      <c r="A40" s="33"/>
      <c r="B40" s="33"/>
      <c r="C40" s="64"/>
      <c r="D40" s="117"/>
      <c r="E40" s="33"/>
      <c r="F40" s="33"/>
      <c r="G40" s="33"/>
      <c r="H40" s="33"/>
      <c r="I40" s="64"/>
      <c r="J40" s="117"/>
      <c r="K40" s="33"/>
      <c r="L40" s="33"/>
      <c r="M40" s="33"/>
      <c r="N40" s="33"/>
      <c r="O40" s="64"/>
      <c r="P40" s="117"/>
      <c r="Q40" s="33"/>
      <c r="R40" s="38"/>
      <c r="S40" s="38"/>
      <c r="T40" s="38"/>
      <c r="U40" s="169"/>
      <c r="V40" s="66"/>
      <c r="W40" s="33"/>
      <c r="X40" s="33"/>
      <c r="Y40" s="33"/>
      <c r="Z40" s="131"/>
      <c r="AA40" s="33"/>
      <c r="AB40" s="33"/>
      <c r="AC40" s="33"/>
      <c r="AD40" s="33"/>
      <c r="AK40" s="33"/>
    </row>
    <row r="41" spans="1:51" ht="12.75" customHeight="1">
      <c r="A41" s="33"/>
      <c r="B41" s="33"/>
      <c r="C41" s="64"/>
      <c r="D41" s="117"/>
      <c r="E41" s="33"/>
      <c r="F41" s="33"/>
      <c r="G41" s="33"/>
      <c r="H41" s="33"/>
      <c r="I41" s="64"/>
      <c r="J41" s="117"/>
      <c r="K41" s="33"/>
      <c r="L41" s="33"/>
      <c r="M41" s="33"/>
      <c r="N41" s="33"/>
      <c r="O41" s="64"/>
      <c r="P41" s="117"/>
      <c r="Q41" s="33"/>
      <c r="R41" s="38"/>
      <c r="S41" s="38"/>
      <c r="T41" s="38"/>
      <c r="U41" s="169"/>
      <c r="V41" s="66"/>
      <c r="W41" s="33"/>
      <c r="X41" s="33"/>
      <c r="Y41" s="33"/>
      <c r="Z41" s="131"/>
      <c r="AA41" s="33"/>
      <c r="AB41" s="33"/>
      <c r="AC41" s="33"/>
      <c r="AD41" s="33"/>
      <c r="AK41" s="33"/>
    </row>
    <row r="42" spans="1:51" ht="12.75" customHeight="1">
      <c r="A42" s="33"/>
      <c r="B42" s="33"/>
      <c r="C42" s="64"/>
      <c r="D42" s="117"/>
      <c r="E42" s="33"/>
      <c r="F42" s="33"/>
      <c r="G42" s="33"/>
      <c r="H42" s="33"/>
      <c r="I42" s="64"/>
      <c r="J42" s="117"/>
      <c r="K42" s="33"/>
      <c r="L42" s="33"/>
      <c r="M42" s="33"/>
      <c r="N42" s="33"/>
      <c r="O42" s="64"/>
      <c r="P42" s="117"/>
      <c r="Q42" s="33"/>
      <c r="R42" s="38"/>
      <c r="S42" s="38"/>
      <c r="T42" s="38"/>
      <c r="U42" s="169"/>
      <c r="V42" s="66"/>
      <c r="W42" s="33"/>
      <c r="X42" s="33"/>
      <c r="Y42" s="33"/>
      <c r="Z42" s="131"/>
      <c r="AA42" s="33"/>
      <c r="AB42" s="33"/>
      <c r="AC42" s="33"/>
      <c r="AD42" s="33"/>
      <c r="AK42" s="33"/>
    </row>
    <row r="43" spans="1:51" ht="12.75" customHeight="1">
      <c r="A43" s="33"/>
      <c r="B43" s="33"/>
      <c r="C43" s="64"/>
      <c r="D43" s="117"/>
      <c r="E43" s="33"/>
      <c r="F43" s="33"/>
      <c r="G43" s="33"/>
      <c r="H43" s="33"/>
      <c r="I43" s="64"/>
      <c r="J43" s="117"/>
      <c r="K43" s="33"/>
      <c r="L43" s="33"/>
      <c r="M43" s="33"/>
      <c r="N43" s="33"/>
      <c r="O43" s="64"/>
      <c r="P43" s="117"/>
      <c r="Q43" s="33"/>
      <c r="R43" s="38"/>
      <c r="S43" s="38"/>
      <c r="T43" s="38"/>
      <c r="U43" s="169"/>
      <c r="V43" s="66"/>
      <c r="W43" s="33"/>
      <c r="X43" s="33"/>
      <c r="Y43" s="33"/>
      <c r="Z43" s="131"/>
      <c r="AA43" s="33"/>
      <c r="AB43" s="33"/>
      <c r="AC43" s="33"/>
      <c r="AD43" s="33"/>
      <c r="AK43" s="33"/>
    </row>
    <row r="44" spans="1:51" ht="12.75" customHeight="1">
      <c r="A44" s="33"/>
      <c r="B44" s="33"/>
      <c r="C44" s="64"/>
      <c r="D44" s="117"/>
      <c r="E44" s="33"/>
      <c r="F44" s="33"/>
      <c r="G44" s="33"/>
      <c r="H44" s="33"/>
      <c r="I44" s="64"/>
      <c r="J44" s="117"/>
      <c r="K44" s="33"/>
      <c r="L44" s="33"/>
      <c r="M44" s="33"/>
      <c r="N44" s="33"/>
      <c r="O44" s="64"/>
      <c r="P44" s="117"/>
      <c r="Q44" s="33"/>
      <c r="R44" s="38"/>
      <c r="S44" s="38"/>
      <c r="T44" s="38"/>
      <c r="U44" s="169"/>
      <c r="V44" s="66"/>
      <c r="W44" s="33"/>
      <c r="X44" s="33"/>
      <c r="Y44" s="33"/>
      <c r="Z44" s="131"/>
      <c r="AA44" s="33"/>
      <c r="AB44" s="33"/>
      <c r="AC44" s="33"/>
      <c r="AD44" s="33"/>
      <c r="AK44" s="33"/>
    </row>
    <row r="45" spans="1:51" ht="12.75" customHeight="1">
      <c r="A45" s="33"/>
      <c r="B45" s="33"/>
      <c r="C45" s="64"/>
      <c r="D45" s="117"/>
      <c r="E45" s="33"/>
      <c r="F45" s="33"/>
      <c r="G45" s="33"/>
      <c r="H45" s="33"/>
      <c r="I45" s="64"/>
      <c r="J45" s="117"/>
      <c r="K45" s="33"/>
      <c r="L45" s="33"/>
      <c r="M45" s="33"/>
      <c r="N45" s="33"/>
      <c r="O45" s="64"/>
      <c r="P45" s="117"/>
      <c r="Q45" s="33"/>
      <c r="R45" s="38"/>
      <c r="S45" s="38"/>
      <c r="T45" s="38"/>
      <c r="U45" s="169"/>
      <c r="V45" s="66"/>
      <c r="W45" s="33"/>
      <c r="X45" s="33"/>
      <c r="Y45" s="33"/>
      <c r="Z45" s="131"/>
      <c r="AA45" s="33"/>
      <c r="AB45" s="33"/>
      <c r="AC45" s="33"/>
      <c r="AD45" s="33"/>
      <c r="AK45" s="33"/>
    </row>
    <row r="46" spans="1:51" ht="12.75" customHeight="1">
      <c r="A46" s="33"/>
      <c r="B46" s="33"/>
      <c r="C46" s="64"/>
      <c r="D46" s="117"/>
      <c r="E46" s="33"/>
      <c r="F46" s="33"/>
      <c r="G46" s="33"/>
      <c r="H46" s="33"/>
      <c r="I46" s="64"/>
      <c r="J46" s="117"/>
      <c r="K46" s="33"/>
      <c r="L46" s="33"/>
      <c r="M46" s="33"/>
      <c r="N46" s="33"/>
      <c r="O46" s="64"/>
      <c r="P46" s="117"/>
      <c r="Q46" s="33"/>
      <c r="R46" s="38"/>
      <c r="S46" s="38"/>
      <c r="T46" s="38"/>
      <c r="U46" s="169"/>
      <c r="V46" s="66"/>
      <c r="W46" s="33"/>
      <c r="X46" s="33"/>
      <c r="Y46" s="33"/>
      <c r="Z46" s="131"/>
      <c r="AA46" s="33"/>
      <c r="AB46" s="33"/>
      <c r="AC46" s="33"/>
      <c r="AD46" s="33"/>
      <c r="AK46" s="33"/>
    </row>
    <row r="47" spans="1:51" ht="12.75" customHeight="1">
      <c r="A47" s="33"/>
      <c r="B47" s="33"/>
      <c r="C47" s="64"/>
      <c r="D47" s="117"/>
      <c r="E47" s="33"/>
      <c r="F47" s="33"/>
      <c r="G47" s="33"/>
      <c r="H47" s="33"/>
      <c r="I47" s="64"/>
      <c r="J47" s="117"/>
      <c r="K47" s="33"/>
      <c r="L47" s="33"/>
      <c r="M47" s="33"/>
      <c r="N47" s="33"/>
      <c r="O47" s="64"/>
      <c r="P47" s="117"/>
      <c r="Q47" s="33"/>
      <c r="R47" s="38"/>
      <c r="S47" s="38"/>
      <c r="T47" s="38"/>
      <c r="U47" s="169"/>
      <c r="V47" s="66"/>
      <c r="W47" s="33"/>
      <c r="X47" s="33"/>
      <c r="Y47" s="33"/>
      <c r="Z47" s="131"/>
      <c r="AA47" s="33"/>
      <c r="AB47" s="33"/>
      <c r="AC47" s="33"/>
      <c r="AD47" s="33"/>
      <c r="AK47" s="33"/>
    </row>
    <row r="48" spans="1:51" ht="12.75" customHeight="1">
      <c r="A48" s="33"/>
      <c r="B48" s="33"/>
      <c r="C48" s="64"/>
      <c r="D48" s="117"/>
      <c r="E48" s="33"/>
      <c r="F48" s="33"/>
      <c r="G48" s="33"/>
      <c r="H48" s="33"/>
      <c r="I48" s="64"/>
      <c r="J48" s="117"/>
      <c r="K48" s="33"/>
      <c r="L48" s="33"/>
      <c r="M48" s="33"/>
      <c r="N48" s="33"/>
      <c r="O48" s="64"/>
      <c r="P48" s="117"/>
      <c r="Q48" s="33"/>
      <c r="R48" s="38"/>
      <c r="S48" s="38"/>
      <c r="T48" s="38"/>
      <c r="U48" s="169"/>
      <c r="V48" s="66"/>
      <c r="W48" s="33"/>
      <c r="X48" s="33"/>
      <c r="Y48" s="33"/>
      <c r="Z48" s="131"/>
      <c r="AA48" s="33"/>
      <c r="AB48" s="33"/>
      <c r="AC48" s="33"/>
      <c r="AD48" s="33"/>
      <c r="AK48" s="33"/>
    </row>
    <row r="49" spans="1:37" ht="12.75" customHeight="1">
      <c r="A49" s="33"/>
      <c r="B49" s="33"/>
      <c r="C49" s="64"/>
      <c r="D49" s="117"/>
      <c r="E49" s="33"/>
      <c r="F49" s="33"/>
      <c r="G49" s="33"/>
      <c r="H49" s="33"/>
      <c r="I49" s="64"/>
      <c r="J49" s="117"/>
      <c r="K49" s="33"/>
      <c r="L49" s="33"/>
      <c r="M49" s="33"/>
      <c r="N49" s="33"/>
      <c r="O49" s="64"/>
      <c r="P49" s="117"/>
      <c r="Q49" s="33"/>
      <c r="R49" s="38"/>
      <c r="S49" s="38"/>
      <c r="T49" s="38"/>
      <c r="U49" s="169"/>
      <c r="V49" s="66"/>
      <c r="W49" s="33"/>
      <c r="X49" s="33"/>
      <c r="Y49" s="33"/>
      <c r="Z49" s="131"/>
      <c r="AA49" s="33"/>
      <c r="AB49" s="33"/>
      <c r="AC49" s="33"/>
      <c r="AD49" s="33"/>
      <c r="AK49" s="33"/>
    </row>
    <row r="50" spans="1:37" ht="12.75" customHeight="1">
      <c r="A50" s="33"/>
      <c r="B50" s="33"/>
      <c r="C50" s="64"/>
      <c r="D50" s="117"/>
      <c r="E50" s="33"/>
      <c r="F50" s="33"/>
      <c r="G50" s="33"/>
      <c r="H50" s="33"/>
      <c r="I50" s="64"/>
      <c r="J50" s="117"/>
      <c r="K50" s="33"/>
      <c r="L50" s="33"/>
      <c r="M50" s="33"/>
      <c r="N50" s="33"/>
      <c r="O50" s="64"/>
      <c r="P50" s="117"/>
      <c r="Q50" s="33"/>
      <c r="R50" s="38"/>
      <c r="S50" s="38"/>
      <c r="T50" s="38"/>
      <c r="U50" s="169"/>
      <c r="V50" s="66"/>
      <c r="W50" s="33"/>
      <c r="X50" s="33"/>
      <c r="Y50" s="33"/>
      <c r="Z50" s="131"/>
      <c r="AA50" s="33"/>
      <c r="AB50" s="33"/>
      <c r="AC50" s="33"/>
      <c r="AD50" s="33"/>
      <c r="AK50" s="33"/>
    </row>
    <row r="51" spans="1:37" ht="12.75" customHeight="1">
      <c r="A51" s="33"/>
      <c r="B51" s="33"/>
      <c r="C51" s="64"/>
      <c r="D51" s="117"/>
      <c r="E51" s="33"/>
      <c r="F51" s="33"/>
      <c r="G51" s="33"/>
      <c r="H51" s="33"/>
      <c r="I51" s="64"/>
      <c r="J51" s="117"/>
      <c r="K51" s="33"/>
      <c r="L51" s="33"/>
      <c r="M51" s="33"/>
      <c r="N51" s="33"/>
      <c r="O51" s="64"/>
      <c r="P51" s="117"/>
      <c r="Q51" s="33"/>
      <c r="R51" s="38"/>
      <c r="S51" s="38"/>
      <c r="T51" s="38"/>
      <c r="U51" s="169"/>
      <c r="V51" s="66"/>
      <c r="W51" s="33"/>
      <c r="X51" s="33"/>
      <c r="Y51" s="33"/>
      <c r="Z51" s="131"/>
      <c r="AA51" s="33"/>
      <c r="AB51" s="33"/>
      <c r="AC51" s="33"/>
      <c r="AD51" s="33"/>
      <c r="AK51" s="33"/>
    </row>
    <row r="52" spans="1:37" ht="12.75" customHeight="1">
      <c r="A52" s="33"/>
      <c r="B52" s="33"/>
      <c r="C52" s="64"/>
      <c r="D52" s="117"/>
      <c r="E52" s="33"/>
      <c r="F52" s="33"/>
      <c r="G52" s="33"/>
      <c r="H52" s="33"/>
      <c r="I52" s="64"/>
      <c r="J52" s="117"/>
      <c r="K52" s="33"/>
      <c r="L52" s="33"/>
      <c r="M52" s="33"/>
      <c r="N52" s="33"/>
      <c r="O52" s="64"/>
      <c r="P52" s="117"/>
      <c r="Q52" s="33"/>
      <c r="R52" s="38"/>
      <c r="S52" s="38"/>
      <c r="T52" s="38"/>
      <c r="U52" s="169"/>
      <c r="V52" s="66"/>
      <c r="W52" s="33"/>
      <c r="X52" s="33"/>
      <c r="Y52" s="33"/>
      <c r="Z52" s="131"/>
      <c r="AA52" s="33"/>
      <c r="AB52" s="33"/>
      <c r="AC52" s="33"/>
      <c r="AD52" s="33"/>
      <c r="AK52" s="33"/>
    </row>
    <row r="53" spans="1:37" ht="12.75" customHeight="1">
      <c r="A53" s="33"/>
      <c r="B53" s="33"/>
      <c r="C53" s="64"/>
      <c r="D53" s="117"/>
      <c r="E53" s="33"/>
      <c r="F53" s="33"/>
      <c r="G53" s="33"/>
      <c r="H53" s="33"/>
      <c r="I53" s="64"/>
      <c r="J53" s="117"/>
      <c r="K53" s="33"/>
      <c r="L53" s="33"/>
      <c r="M53" s="33"/>
      <c r="N53" s="33"/>
      <c r="O53" s="64"/>
      <c r="P53" s="117"/>
      <c r="Q53" s="33"/>
      <c r="R53" s="38"/>
      <c r="S53" s="38"/>
      <c r="T53" s="38"/>
      <c r="U53" s="169"/>
      <c r="V53" s="66"/>
      <c r="W53" s="33"/>
      <c r="X53" s="33"/>
      <c r="Y53" s="33"/>
      <c r="Z53" s="131"/>
      <c r="AA53" s="33"/>
      <c r="AB53" s="33"/>
      <c r="AC53" s="33"/>
      <c r="AD53" s="33"/>
      <c r="AK53" s="33"/>
    </row>
    <row r="54" spans="1:37" ht="12.75" customHeight="1">
      <c r="A54" s="33"/>
      <c r="B54" s="33"/>
      <c r="C54" s="64"/>
      <c r="D54" s="117"/>
      <c r="E54" s="33"/>
      <c r="F54" s="33"/>
      <c r="G54" s="33"/>
      <c r="H54" s="33"/>
      <c r="I54" s="64"/>
      <c r="J54" s="117"/>
      <c r="K54" s="33"/>
      <c r="L54" s="33"/>
      <c r="M54" s="33"/>
      <c r="N54" s="33"/>
      <c r="O54" s="64"/>
      <c r="P54" s="117"/>
      <c r="Q54" s="33"/>
      <c r="R54" s="38"/>
      <c r="S54" s="38"/>
      <c r="T54" s="38"/>
      <c r="U54" s="169"/>
      <c r="V54" s="66"/>
      <c r="W54" s="33"/>
      <c r="X54" s="33"/>
      <c r="Y54" s="33"/>
      <c r="Z54" s="131"/>
      <c r="AA54" s="33"/>
      <c r="AB54" s="33"/>
      <c r="AC54" s="33"/>
      <c r="AD54" s="33"/>
      <c r="AK54" s="33"/>
    </row>
    <row r="55" spans="1:37" ht="12.75" customHeight="1">
      <c r="A55" s="33"/>
      <c r="B55" s="33"/>
      <c r="C55" s="64"/>
      <c r="D55" s="117"/>
      <c r="E55" s="33"/>
      <c r="F55" s="33"/>
      <c r="G55" s="33"/>
      <c r="H55" s="33"/>
      <c r="I55" s="64"/>
      <c r="J55" s="117"/>
      <c r="K55" s="33"/>
      <c r="L55" s="33"/>
      <c r="M55" s="33"/>
      <c r="N55" s="33"/>
      <c r="O55" s="64"/>
      <c r="P55" s="117"/>
      <c r="Q55" s="33"/>
      <c r="R55" s="38"/>
      <c r="S55" s="38"/>
      <c r="T55" s="38"/>
      <c r="U55" s="169"/>
      <c r="V55" s="66"/>
      <c r="W55" s="33"/>
      <c r="X55" s="33"/>
      <c r="Y55" s="33"/>
      <c r="Z55" s="131"/>
      <c r="AA55" s="33"/>
      <c r="AB55" s="33"/>
      <c r="AC55" s="33"/>
      <c r="AD55" s="33"/>
      <c r="AK55" s="33"/>
    </row>
    <row r="56" spans="1:37" ht="12.75" customHeight="1">
      <c r="A56" s="33"/>
      <c r="B56" s="33"/>
      <c r="C56" s="64"/>
      <c r="D56" s="117"/>
      <c r="E56" s="33"/>
      <c r="F56" s="33"/>
      <c r="G56" s="33"/>
      <c r="H56" s="33"/>
      <c r="I56" s="64"/>
      <c r="J56" s="117"/>
      <c r="K56" s="33"/>
      <c r="L56" s="33"/>
      <c r="M56" s="33"/>
      <c r="N56" s="33"/>
      <c r="O56" s="64"/>
      <c r="P56" s="117"/>
      <c r="Q56" s="33"/>
      <c r="R56" s="38"/>
      <c r="S56" s="38"/>
      <c r="T56" s="38"/>
      <c r="U56" s="169"/>
      <c r="V56" s="66"/>
      <c r="W56" s="33"/>
      <c r="X56" s="33"/>
      <c r="Y56" s="33"/>
      <c r="Z56" s="131"/>
      <c r="AA56" s="33"/>
      <c r="AB56" s="33"/>
      <c r="AC56" s="33"/>
      <c r="AD56" s="33"/>
      <c r="AK56" s="33"/>
    </row>
    <row r="57" spans="1:37" ht="12.75" customHeight="1">
      <c r="A57" s="33"/>
      <c r="B57" s="33"/>
      <c r="C57" s="64"/>
      <c r="D57" s="117"/>
      <c r="E57" s="33"/>
      <c r="F57" s="33"/>
      <c r="G57" s="33"/>
      <c r="H57" s="33"/>
      <c r="I57" s="64"/>
      <c r="J57" s="117"/>
      <c r="K57" s="33"/>
      <c r="L57" s="33"/>
      <c r="M57" s="33"/>
      <c r="N57" s="33"/>
      <c r="O57" s="64"/>
      <c r="P57" s="117"/>
      <c r="Q57" s="33"/>
      <c r="R57" s="38"/>
      <c r="S57" s="38"/>
      <c r="T57" s="38"/>
      <c r="U57" s="169"/>
      <c r="V57" s="66"/>
      <c r="W57" s="33"/>
      <c r="X57" s="33"/>
      <c r="Y57" s="33"/>
      <c r="Z57" s="131"/>
      <c r="AA57" s="33"/>
      <c r="AB57" s="33"/>
      <c r="AC57" s="33"/>
      <c r="AD57" s="33"/>
      <c r="AK57" s="33"/>
    </row>
    <row r="58" spans="1:37" ht="12.75" customHeight="1">
      <c r="A58" s="33"/>
      <c r="B58" s="33"/>
      <c r="C58" s="64"/>
      <c r="D58" s="117"/>
      <c r="E58" s="33"/>
      <c r="F58" s="33"/>
      <c r="G58" s="33"/>
      <c r="H58" s="33"/>
      <c r="I58" s="64"/>
      <c r="J58" s="117"/>
      <c r="K58" s="33"/>
      <c r="L58" s="33"/>
      <c r="M58" s="33"/>
      <c r="N58" s="33"/>
      <c r="O58" s="64"/>
      <c r="P58" s="117"/>
      <c r="Q58" s="33"/>
      <c r="R58" s="38"/>
      <c r="S58" s="38"/>
      <c r="T58" s="38"/>
      <c r="U58" s="169"/>
      <c r="V58" s="66"/>
      <c r="W58" s="33"/>
      <c r="X58" s="33"/>
      <c r="Y58" s="33"/>
      <c r="Z58" s="131"/>
      <c r="AA58" s="33"/>
      <c r="AB58" s="33"/>
      <c r="AC58" s="33"/>
      <c r="AD58" s="33"/>
      <c r="AK58" s="33"/>
    </row>
    <row r="59" spans="1:37" ht="12.75" customHeight="1">
      <c r="A59" s="33"/>
      <c r="B59" s="33"/>
      <c r="C59" s="64"/>
      <c r="D59" s="117"/>
      <c r="E59" s="33"/>
      <c r="F59" s="33"/>
      <c r="G59" s="33"/>
      <c r="H59" s="33"/>
      <c r="I59" s="64"/>
      <c r="J59" s="117"/>
      <c r="K59" s="33"/>
      <c r="L59" s="33"/>
      <c r="M59" s="33"/>
      <c r="N59" s="33"/>
      <c r="O59" s="64"/>
      <c r="P59" s="117"/>
      <c r="Q59" s="33"/>
      <c r="R59" s="38"/>
      <c r="S59" s="38"/>
      <c r="T59" s="38"/>
      <c r="U59" s="169"/>
      <c r="V59" s="66"/>
      <c r="W59" s="33"/>
      <c r="X59" s="33"/>
      <c r="Y59" s="33"/>
      <c r="Z59" s="131"/>
      <c r="AA59" s="33"/>
      <c r="AB59" s="33"/>
      <c r="AC59" s="33"/>
      <c r="AD59" s="33"/>
      <c r="AK59" s="33"/>
    </row>
    <row r="60" spans="1:37" ht="12.75" customHeight="1">
      <c r="A60" s="33"/>
      <c r="B60" s="33"/>
      <c r="C60" s="64"/>
      <c r="D60" s="117"/>
      <c r="E60" s="33"/>
      <c r="F60" s="33"/>
      <c r="G60" s="33"/>
      <c r="H60" s="33"/>
      <c r="I60" s="64"/>
      <c r="J60" s="117"/>
      <c r="K60" s="33"/>
      <c r="L60" s="33"/>
      <c r="M60" s="33"/>
      <c r="N60" s="33"/>
      <c r="O60" s="64"/>
      <c r="P60" s="117"/>
      <c r="Q60" s="33"/>
      <c r="R60" s="38"/>
      <c r="S60" s="38"/>
      <c r="T60" s="38"/>
      <c r="U60" s="169"/>
      <c r="V60" s="66"/>
      <c r="W60" s="33"/>
      <c r="X60" s="33"/>
      <c r="Y60" s="33"/>
      <c r="Z60" s="131"/>
      <c r="AA60" s="33"/>
      <c r="AB60" s="33"/>
      <c r="AC60" s="33"/>
      <c r="AD60" s="33"/>
      <c r="AK60" s="33"/>
    </row>
    <row r="61" spans="1:37" ht="12.75" customHeight="1">
      <c r="A61" s="33"/>
      <c r="B61" s="33"/>
      <c r="C61" s="64"/>
      <c r="D61" s="117"/>
      <c r="E61" s="33"/>
      <c r="F61" s="33"/>
      <c r="G61" s="33"/>
      <c r="H61" s="33"/>
      <c r="I61" s="64"/>
      <c r="J61" s="117"/>
      <c r="K61" s="33"/>
      <c r="L61" s="33"/>
      <c r="M61" s="33"/>
      <c r="N61" s="33"/>
      <c r="O61" s="64"/>
      <c r="P61" s="117"/>
      <c r="Q61" s="33"/>
      <c r="R61" s="38"/>
      <c r="S61" s="38"/>
      <c r="T61" s="38"/>
      <c r="U61" s="169"/>
      <c r="V61" s="66"/>
      <c r="W61" s="33"/>
      <c r="X61" s="33"/>
      <c r="Y61" s="33"/>
      <c r="Z61" s="131"/>
      <c r="AA61" s="33"/>
      <c r="AB61" s="33"/>
      <c r="AC61" s="33"/>
      <c r="AD61" s="33"/>
      <c r="AK61" s="33"/>
    </row>
    <row r="62" spans="1:37" ht="12.75" customHeight="1">
      <c r="A62" s="33"/>
      <c r="B62" s="33"/>
      <c r="C62" s="64"/>
      <c r="D62" s="117"/>
      <c r="E62" s="33"/>
      <c r="F62" s="33"/>
      <c r="G62" s="33"/>
      <c r="H62" s="33"/>
      <c r="I62" s="64"/>
      <c r="J62" s="117"/>
      <c r="K62" s="33"/>
      <c r="L62" s="33"/>
      <c r="M62" s="33"/>
      <c r="N62" s="33"/>
      <c r="O62" s="64"/>
      <c r="P62" s="117"/>
      <c r="Q62" s="33"/>
      <c r="R62" s="38"/>
      <c r="S62" s="38"/>
      <c r="T62" s="38"/>
      <c r="U62" s="169"/>
      <c r="V62" s="66"/>
      <c r="W62" s="33"/>
      <c r="X62" s="33"/>
      <c r="Y62" s="33"/>
      <c r="Z62" s="131"/>
      <c r="AA62" s="33"/>
      <c r="AB62" s="33"/>
      <c r="AC62" s="33"/>
      <c r="AD62" s="33"/>
      <c r="AK62" s="33"/>
    </row>
    <row r="63" spans="1:37" ht="12.75" customHeight="1">
      <c r="A63" s="33"/>
      <c r="B63" s="33"/>
      <c r="C63" s="64"/>
      <c r="D63" s="117"/>
      <c r="E63" s="33"/>
      <c r="F63" s="33"/>
      <c r="G63" s="33"/>
      <c r="H63" s="33"/>
      <c r="I63" s="64"/>
      <c r="J63" s="117"/>
      <c r="K63" s="33"/>
      <c r="L63" s="33"/>
      <c r="M63" s="33"/>
      <c r="N63" s="33"/>
      <c r="O63" s="64"/>
      <c r="P63" s="117"/>
      <c r="Q63" s="33"/>
      <c r="R63" s="38"/>
      <c r="S63" s="38"/>
      <c r="T63" s="38"/>
      <c r="U63" s="169"/>
      <c r="V63" s="66"/>
      <c r="W63" s="33"/>
      <c r="X63" s="33"/>
      <c r="Y63" s="33"/>
      <c r="Z63" s="131"/>
      <c r="AA63" s="33"/>
      <c r="AB63" s="33"/>
      <c r="AC63" s="33"/>
      <c r="AD63" s="33"/>
      <c r="AK63" s="33"/>
    </row>
    <row r="64" spans="1:37" ht="12.75" customHeight="1">
      <c r="A64" s="33"/>
      <c r="B64" s="33"/>
      <c r="C64" s="64"/>
      <c r="D64" s="117"/>
      <c r="E64" s="33"/>
      <c r="F64" s="33"/>
      <c r="G64" s="33"/>
      <c r="H64" s="33"/>
      <c r="I64" s="64"/>
      <c r="J64" s="117"/>
      <c r="K64" s="33"/>
      <c r="L64" s="33"/>
      <c r="M64" s="33"/>
      <c r="N64" s="33"/>
      <c r="O64" s="64"/>
      <c r="P64" s="117"/>
      <c r="Q64" s="33"/>
      <c r="R64" s="38"/>
      <c r="S64" s="38"/>
      <c r="T64" s="38"/>
      <c r="U64" s="169"/>
      <c r="V64" s="66"/>
      <c r="W64" s="33"/>
      <c r="X64" s="33"/>
      <c r="Y64" s="33"/>
      <c r="Z64" s="131"/>
      <c r="AA64" s="33"/>
      <c r="AB64" s="33"/>
      <c r="AC64" s="33"/>
      <c r="AD64" s="33"/>
      <c r="AK64" s="33"/>
    </row>
    <row r="65" spans="1:37" ht="12.75" customHeight="1">
      <c r="A65" s="33"/>
      <c r="B65" s="33"/>
      <c r="C65" s="64"/>
      <c r="D65" s="117"/>
      <c r="E65" s="33"/>
      <c r="F65" s="33"/>
      <c r="G65" s="33"/>
      <c r="H65" s="33"/>
      <c r="I65" s="64"/>
      <c r="J65" s="117"/>
      <c r="K65" s="33"/>
      <c r="L65" s="33"/>
      <c r="M65" s="33"/>
      <c r="N65" s="33"/>
      <c r="O65" s="64"/>
      <c r="P65" s="117"/>
      <c r="Q65" s="33"/>
      <c r="R65" s="38"/>
      <c r="S65" s="38"/>
      <c r="T65" s="38"/>
      <c r="U65" s="169"/>
      <c r="V65" s="66"/>
      <c r="W65" s="33"/>
      <c r="X65" s="33"/>
      <c r="Y65" s="33"/>
      <c r="Z65" s="131"/>
      <c r="AA65" s="33"/>
      <c r="AB65" s="33"/>
      <c r="AC65" s="33"/>
      <c r="AD65" s="33"/>
      <c r="AK65" s="33"/>
    </row>
    <row r="66" spans="1:37" ht="12.75" customHeight="1">
      <c r="A66" s="33"/>
      <c r="B66" s="33"/>
      <c r="C66" s="64"/>
      <c r="D66" s="117"/>
      <c r="E66" s="33"/>
      <c r="F66" s="33"/>
      <c r="G66" s="33"/>
      <c r="H66" s="33"/>
      <c r="I66" s="64"/>
      <c r="J66" s="117"/>
      <c r="K66" s="33"/>
      <c r="L66" s="33"/>
      <c r="M66" s="33"/>
      <c r="N66" s="33"/>
      <c r="O66" s="64"/>
      <c r="P66" s="117"/>
      <c r="Q66" s="33"/>
      <c r="R66" s="38"/>
      <c r="S66" s="38"/>
      <c r="T66" s="38"/>
      <c r="U66" s="169"/>
      <c r="V66" s="66"/>
      <c r="W66" s="33"/>
      <c r="X66" s="33"/>
      <c r="Y66" s="33"/>
      <c r="Z66" s="131"/>
      <c r="AA66" s="33"/>
      <c r="AB66" s="33"/>
      <c r="AC66" s="33"/>
      <c r="AD66" s="33"/>
      <c r="AK66" s="33"/>
    </row>
    <row r="67" spans="1:37" ht="12.75" customHeight="1">
      <c r="A67" s="33"/>
      <c r="B67" s="33"/>
      <c r="C67" s="64"/>
      <c r="D67" s="117"/>
      <c r="E67" s="33"/>
      <c r="F67" s="33"/>
      <c r="G67" s="33"/>
      <c r="H67" s="33"/>
      <c r="I67" s="64"/>
      <c r="J67" s="117"/>
      <c r="K67" s="33"/>
      <c r="L67" s="33"/>
      <c r="M67" s="33"/>
      <c r="N67" s="33"/>
      <c r="O67" s="64"/>
      <c r="P67" s="117"/>
      <c r="Q67" s="33"/>
      <c r="R67" s="38"/>
      <c r="S67" s="38"/>
      <c r="T67" s="38"/>
      <c r="U67" s="169"/>
      <c r="V67" s="66"/>
      <c r="W67" s="33"/>
      <c r="X67" s="33"/>
      <c r="Y67" s="33"/>
      <c r="Z67" s="131"/>
      <c r="AA67" s="33"/>
      <c r="AB67" s="33"/>
      <c r="AC67" s="33"/>
      <c r="AD67" s="33"/>
      <c r="AK67" s="33"/>
    </row>
    <row r="68" spans="1:37" ht="12.75" customHeight="1">
      <c r="A68" s="33"/>
      <c r="B68" s="33"/>
      <c r="C68" s="64"/>
      <c r="D68" s="117"/>
      <c r="E68" s="33"/>
      <c r="F68" s="33"/>
      <c r="G68" s="33"/>
      <c r="H68" s="33"/>
      <c r="I68" s="64"/>
      <c r="J68" s="117"/>
      <c r="K68" s="33"/>
      <c r="L68" s="33"/>
      <c r="M68" s="33"/>
      <c r="N68" s="33"/>
      <c r="O68" s="64"/>
      <c r="P68" s="117"/>
      <c r="Q68" s="33"/>
      <c r="R68" s="38"/>
      <c r="S68" s="38"/>
      <c r="T68" s="38"/>
      <c r="U68" s="169"/>
      <c r="V68" s="66"/>
      <c r="W68" s="33"/>
      <c r="X68" s="33"/>
      <c r="Y68" s="33"/>
      <c r="Z68" s="131"/>
      <c r="AA68" s="33"/>
      <c r="AB68" s="33"/>
      <c r="AC68" s="33"/>
      <c r="AD68" s="33"/>
      <c r="AK68" s="33"/>
    </row>
    <row r="69" spans="1:37" ht="12.75" customHeight="1">
      <c r="A69" s="33"/>
      <c r="B69" s="33"/>
      <c r="C69" s="64"/>
      <c r="D69" s="117"/>
      <c r="E69" s="33"/>
      <c r="F69" s="33"/>
      <c r="G69" s="33"/>
      <c r="H69" s="33"/>
      <c r="I69" s="64"/>
      <c r="J69" s="117"/>
      <c r="K69" s="33"/>
      <c r="L69" s="33"/>
      <c r="M69" s="33"/>
      <c r="N69" s="33"/>
      <c r="O69" s="64"/>
      <c r="P69" s="117"/>
      <c r="Q69" s="33"/>
      <c r="R69" s="38"/>
      <c r="S69" s="38"/>
      <c r="T69" s="38"/>
      <c r="U69" s="169"/>
      <c r="V69" s="66"/>
      <c r="W69" s="33"/>
      <c r="X69" s="33"/>
      <c r="Y69" s="33"/>
      <c r="Z69" s="131"/>
      <c r="AA69" s="33"/>
      <c r="AB69" s="33"/>
      <c r="AC69" s="33"/>
      <c r="AD69" s="33"/>
      <c r="AK69" s="33"/>
    </row>
    <row r="70" spans="1:37" ht="12.75" customHeight="1">
      <c r="A70" s="33"/>
      <c r="B70" s="33"/>
      <c r="C70" s="64"/>
      <c r="D70" s="117"/>
      <c r="E70" s="33"/>
      <c r="F70" s="33"/>
      <c r="G70" s="33"/>
      <c r="H70" s="33"/>
      <c r="I70" s="64"/>
      <c r="J70" s="117"/>
      <c r="K70" s="33"/>
      <c r="L70" s="33"/>
      <c r="M70" s="33"/>
      <c r="N70" s="33"/>
      <c r="O70" s="64"/>
      <c r="P70" s="117"/>
      <c r="Q70" s="33"/>
      <c r="R70" s="38"/>
      <c r="S70" s="38"/>
      <c r="T70" s="38"/>
      <c r="U70" s="169"/>
      <c r="V70" s="66"/>
      <c r="W70" s="33"/>
      <c r="X70" s="33"/>
      <c r="Y70" s="33"/>
      <c r="Z70" s="131"/>
      <c r="AA70" s="33"/>
      <c r="AB70" s="33"/>
      <c r="AC70" s="33"/>
      <c r="AD70" s="33"/>
      <c r="AK70" s="33"/>
    </row>
    <row r="71" spans="1:37" ht="12.75" customHeight="1">
      <c r="A71" s="33"/>
      <c r="B71" s="33"/>
      <c r="C71" s="64"/>
      <c r="D71" s="117"/>
      <c r="E71" s="33"/>
      <c r="F71" s="33"/>
      <c r="G71" s="33"/>
      <c r="H71" s="33"/>
      <c r="I71" s="64"/>
      <c r="J71" s="117"/>
      <c r="K71" s="33"/>
      <c r="L71" s="33"/>
      <c r="M71" s="33"/>
      <c r="N71" s="33"/>
      <c r="O71" s="64"/>
      <c r="P71" s="117"/>
      <c r="Q71" s="33"/>
      <c r="R71" s="38"/>
      <c r="S71" s="38"/>
      <c r="T71" s="38"/>
      <c r="U71" s="169"/>
      <c r="V71" s="66"/>
      <c r="W71" s="33"/>
      <c r="X71" s="33"/>
      <c r="Y71" s="33"/>
      <c r="Z71" s="131"/>
      <c r="AA71" s="33"/>
      <c r="AB71" s="33"/>
      <c r="AC71" s="33"/>
      <c r="AD71" s="33"/>
      <c r="AK71" s="33"/>
    </row>
    <row r="72" spans="1:37" ht="12.75" customHeight="1">
      <c r="A72" s="33"/>
      <c r="B72" s="33"/>
      <c r="C72" s="64"/>
      <c r="D72" s="117"/>
      <c r="E72" s="33"/>
      <c r="F72" s="33"/>
      <c r="G72" s="33"/>
      <c r="H72" s="33"/>
      <c r="I72" s="64"/>
      <c r="J72" s="117"/>
      <c r="K72" s="33"/>
      <c r="L72" s="33"/>
      <c r="M72" s="33"/>
      <c r="N72" s="33"/>
      <c r="O72" s="64"/>
      <c r="P72" s="117"/>
      <c r="Q72" s="33"/>
      <c r="R72" s="38"/>
      <c r="S72" s="38"/>
      <c r="T72" s="38"/>
      <c r="U72" s="169"/>
      <c r="V72" s="66"/>
      <c r="W72" s="33"/>
      <c r="X72" s="33"/>
      <c r="Y72" s="33"/>
      <c r="Z72" s="131"/>
      <c r="AA72" s="33"/>
      <c r="AB72" s="33"/>
      <c r="AC72" s="33"/>
      <c r="AD72" s="33"/>
      <c r="AK72" s="33"/>
    </row>
    <row r="73" spans="1:37" ht="12.75" customHeight="1">
      <c r="A73" s="33"/>
      <c r="B73" s="33"/>
      <c r="C73" s="64"/>
      <c r="D73" s="117"/>
      <c r="E73" s="33"/>
      <c r="F73" s="33"/>
      <c r="G73" s="33"/>
      <c r="H73" s="33"/>
      <c r="I73" s="64"/>
      <c r="J73" s="117"/>
      <c r="K73" s="33"/>
      <c r="L73" s="33"/>
      <c r="M73" s="33"/>
      <c r="N73" s="33"/>
      <c r="O73" s="64"/>
      <c r="P73" s="117"/>
      <c r="Q73" s="33"/>
      <c r="R73" s="38"/>
      <c r="S73" s="38"/>
      <c r="T73" s="38"/>
      <c r="U73" s="169"/>
      <c r="V73" s="66"/>
      <c r="W73" s="33"/>
      <c r="X73" s="33"/>
      <c r="Y73" s="33"/>
      <c r="Z73" s="131"/>
      <c r="AA73" s="33"/>
      <c r="AB73" s="33"/>
      <c r="AC73" s="33"/>
      <c r="AD73" s="33"/>
      <c r="AK73" s="33"/>
    </row>
    <row r="74" spans="1:37" ht="12.75" customHeight="1">
      <c r="A74" s="33"/>
      <c r="B74" s="33"/>
      <c r="C74" s="64"/>
      <c r="D74" s="117"/>
      <c r="E74" s="33"/>
      <c r="F74" s="33"/>
      <c r="G74" s="33"/>
      <c r="H74" s="33"/>
      <c r="I74" s="64"/>
      <c r="J74" s="117"/>
      <c r="K74" s="33"/>
      <c r="L74" s="33"/>
      <c r="M74" s="33"/>
      <c r="N74" s="33"/>
      <c r="O74" s="64"/>
      <c r="P74" s="117"/>
      <c r="Q74" s="33"/>
      <c r="R74" s="38"/>
      <c r="S74" s="38"/>
      <c r="T74" s="38"/>
      <c r="U74" s="169"/>
      <c r="V74" s="66"/>
      <c r="W74" s="33"/>
      <c r="X74" s="33"/>
      <c r="Y74" s="33"/>
      <c r="Z74" s="131"/>
      <c r="AA74" s="33"/>
      <c r="AB74" s="33"/>
      <c r="AC74" s="33"/>
      <c r="AD74" s="33"/>
      <c r="AK74" s="33"/>
    </row>
    <row r="75" spans="1:37" ht="12.75" customHeight="1">
      <c r="A75" s="33"/>
      <c r="B75" s="33"/>
      <c r="C75" s="64"/>
      <c r="D75" s="117"/>
      <c r="E75" s="33"/>
      <c r="F75" s="33"/>
      <c r="G75" s="33"/>
      <c r="H75" s="33"/>
      <c r="I75" s="64"/>
      <c r="J75" s="117"/>
      <c r="K75" s="33"/>
      <c r="L75" s="33"/>
      <c r="M75" s="33"/>
      <c r="N75" s="33"/>
      <c r="O75" s="64"/>
      <c r="P75" s="117"/>
      <c r="Q75" s="33"/>
      <c r="R75" s="38"/>
      <c r="S75" s="38"/>
      <c r="T75" s="38"/>
      <c r="U75" s="169"/>
      <c r="V75" s="66"/>
      <c r="W75" s="33"/>
      <c r="X75" s="33"/>
      <c r="Y75" s="33"/>
      <c r="Z75" s="131"/>
      <c r="AA75" s="33"/>
      <c r="AB75" s="33"/>
      <c r="AC75" s="33"/>
      <c r="AD75" s="33"/>
      <c r="AK75" s="33"/>
    </row>
    <row r="76" spans="1:37" ht="12.75" customHeight="1">
      <c r="A76" s="33"/>
      <c r="B76" s="33"/>
      <c r="C76" s="64"/>
      <c r="D76" s="117"/>
      <c r="E76" s="33"/>
      <c r="F76" s="33"/>
      <c r="G76" s="33"/>
      <c r="H76" s="33"/>
      <c r="I76" s="64"/>
      <c r="J76" s="117"/>
      <c r="K76" s="33"/>
      <c r="L76" s="33"/>
      <c r="M76" s="33"/>
      <c r="N76" s="33"/>
      <c r="O76" s="64"/>
      <c r="P76" s="117"/>
      <c r="Q76" s="33"/>
      <c r="R76" s="38"/>
      <c r="S76" s="38"/>
      <c r="T76" s="38"/>
      <c r="U76" s="169"/>
      <c r="V76" s="66"/>
      <c r="W76" s="33"/>
      <c r="X76" s="33"/>
      <c r="Y76" s="33"/>
      <c r="Z76" s="131"/>
      <c r="AA76" s="33"/>
      <c r="AB76" s="33"/>
      <c r="AC76" s="33"/>
      <c r="AD76" s="33"/>
      <c r="AK76" s="33"/>
    </row>
    <row r="77" spans="1:37" ht="12.75" customHeight="1">
      <c r="A77" s="33"/>
      <c r="B77" s="33"/>
      <c r="C77" s="64"/>
      <c r="D77" s="117"/>
      <c r="E77" s="33"/>
      <c r="F77" s="33"/>
      <c r="G77" s="33"/>
      <c r="H77" s="33"/>
      <c r="I77" s="64"/>
      <c r="J77" s="117"/>
      <c r="K77" s="33"/>
      <c r="L77" s="33"/>
      <c r="M77" s="33"/>
      <c r="N77" s="33"/>
      <c r="O77" s="64"/>
      <c r="P77" s="117"/>
      <c r="Q77" s="33"/>
      <c r="R77" s="38"/>
      <c r="S77" s="38"/>
      <c r="T77" s="38"/>
      <c r="U77" s="169"/>
      <c r="V77" s="66"/>
      <c r="W77" s="33"/>
      <c r="X77" s="33"/>
      <c r="Y77" s="33"/>
      <c r="Z77" s="131"/>
      <c r="AA77" s="33"/>
      <c r="AB77" s="33"/>
      <c r="AC77" s="33"/>
      <c r="AD77" s="33"/>
      <c r="AK77" s="33"/>
    </row>
    <row r="78" spans="1:37" ht="12.75" customHeight="1">
      <c r="A78" s="33"/>
      <c r="B78" s="33"/>
      <c r="C78" s="64"/>
      <c r="D78" s="117"/>
      <c r="E78" s="33"/>
      <c r="F78" s="33"/>
      <c r="G78" s="33"/>
      <c r="H78" s="33"/>
      <c r="I78" s="64"/>
      <c r="J78" s="117"/>
      <c r="K78" s="33"/>
      <c r="L78" s="33"/>
      <c r="M78" s="33"/>
      <c r="N78" s="33"/>
      <c r="O78" s="64"/>
      <c r="P78" s="117"/>
      <c r="Q78" s="33"/>
      <c r="R78" s="38"/>
      <c r="S78" s="38"/>
      <c r="T78" s="38"/>
      <c r="U78" s="169"/>
      <c r="V78" s="66"/>
      <c r="W78" s="33"/>
      <c r="X78" s="33"/>
      <c r="Y78" s="33"/>
      <c r="Z78" s="131"/>
      <c r="AA78" s="33"/>
      <c r="AB78" s="33"/>
      <c r="AC78" s="33"/>
      <c r="AD78" s="33"/>
      <c r="AK78" s="33"/>
    </row>
    <row r="79" spans="1:37" ht="12.75" customHeight="1">
      <c r="A79" s="33"/>
      <c r="B79" s="33"/>
      <c r="C79" s="64"/>
      <c r="D79" s="117"/>
      <c r="E79" s="33"/>
      <c r="F79" s="33"/>
      <c r="G79" s="33"/>
      <c r="H79" s="33"/>
      <c r="I79" s="64"/>
      <c r="J79" s="117"/>
      <c r="K79" s="33"/>
      <c r="L79" s="33"/>
      <c r="M79" s="33"/>
      <c r="N79" s="33"/>
      <c r="O79" s="64"/>
      <c r="P79" s="117"/>
      <c r="Q79" s="33"/>
      <c r="R79" s="38"/>
      <c r="S79" s="38"/>
      <c r="T79" s="38"/>
      <c r="U79" s="169"/>
      <c r="V79" s="66"/>
      <c r="W79" s="33"/>
      <c r="X79" s="33"/>
      <c r="Y79" s="33"/>
      <c r="Z79" s="131"/>
      <c r="AA79" s="33"/>
      <c r="AB79" s="33"/>
      <c r="AC79" s="33"/>
      <c r="AD79" s="33"/>
      <c r="AK79" s="33"/>
    </row>
    <row r="80" spans="1:37" ht="12.75" customHeight="1">
      <c r="A80" s="33"/>
      <c r="B80" s="33"/>
      <c r="C80" s="64"/>
      <c r="D80" s="117"/>
      <c r="E80" s="33"/>
      <c r="F80" s="33"/>
      <c r="G80" s="33"/>
      <c r="H80" s="33"/>
      <c r="I80" s="64"/>
      <c r="J80" s="117"/>
      <c r="K80" s="33"/>
      <c r="L80" s="33"/>
      <c r="M80" s="33"/>
      <c r="N80" s="33"/>
      <c r="O80" s="64"/>
      <c r="P80" s="117"/>
      <c r="Q80" s="33"/>
      <c r="R80" s="38"/>
      <c r="S80" s="38"/>
      <c r="T80" s="38"/>
      <c r="U80" s="169"/>
      <c r="V80" s="66"/>
      <c r="W80" s="33"/>
      <c r="X80" s="33"/>
      <c r="Y80" s="33"/>
      <c r="Z80" s="131"/>
      <c r="AA80" s="33"/>
      <c r="AB80" s="33"/>
      <c r="AC80" s="33"/>
      <c r="AD80" s="33"/>
      <c r="AK80" s="33"/>
    </row>
    <row r="81" spans="1:37" ht="12.75" customHeight="1">
      <c r="A81" s="33"/>
      <c r="B81" s="33"/>
      <c r="C81" s="64"/>
      <c r="D81" s="117"/>
      <c r="E81" s="33"/>
      <c r="F81" s="33"/>
      <c r="G81" s="33"/>
      <c r="H81" s="33"/>
      <c r="I81" s="64"/>
      <c r="J81" s="117"/>
      <c r="K81" s="33"/>
      <c r="L81" s="33"/>
      <c r="M81" s="33"/>
      <c r="N81" s="33"/>
      <c r="O81" s="64"/>
      <c r="P81" s="117"/>
      <c r="Q81" s="33"/>
      <c r="R81" s="38"/>
      <c r="S81" s="38"/>
      <c r="T81" s="38"/>
      <c r="U81" s="169"/>
      <c r="V81" s="66"/>
      <c r="W81" s="33"/>
      <c r="X81" s="33"/>
      <c r="Y81" s="33"/>
      <c r="Z81" s="131"/>
      <c r="AA81" s="33"/>
      <c r="AB81" s="33"/>
      <c r="AC81" s="33"/>
      <c r="AD81" s="33"/>
      <c r="AK81" s="33"/>
    </row>
    <row r="82" spans="1:37" ht="12.75" customHeight="1">
      <c r="A82" s="33"/>
      <c r="B82" s="33"/>
      <c r="C82" s="64"/>
      <c r="D82" s="117"/>
      <c r="E82" s="33"/>
      <c r="F82" s="33"/>
      <c r="G82" s="33"/>
      <c r="H82" s="33"/>
      <c r="I82" s="64"/>
      <c r="J82" s="117"/>
      <c r="K82" s="33"/>
      <c r="L82" s="33"/>
      <c r="M82" s="33"/>
      <c r="N82" s="33"/>
      <c r="O82" s="64"/>
      <c r="P82" s="117"/>
      <c r="Q82" s="33"/>
      <c r="R82" s="38"/>
      <c r="S82" s="38"/>
      <c r="T82" s="38"/>
      <c r="U82" s="169"/>
      <c r="V82" s="66"/>
      <c r="W82" s="33"/>
      <c r="X82" s="33"/>
      <c r="Y82" s="33"/>
      <c r="Z82" s="131"/>
      <c r="AA82" s="33"/>
      <c r="AB82" s="33"/>
      <c r="AC82" s="33"/>
      <c r="AD82" s="33"/>
      <c r="AK82" s="33"/>
    </row>
    <row r="83" spans="1:37" ht="12.75" customHeight="1">
      <c r="A83" s="33"/>
      <c r="B83" s="33"/>
      <c r="C83" s="64"/>
      <c r="D83" s="117"/>
      <c r="E83" s="33"/>
      <c r="F83" s="33"/>
      <c r="G83" s="33"/>
      <c r="H83" s="33"/>
      <c r="I83" s="64"/>
      <c r="J83" s="117"/>
      <c r="K83" s="33"/>
      <c r="L83" s="33"/>
      <c r="M83" s="33"/>
      <c r="N83" s="33"/>
      <c r="O83" s="64"/>
      <c r="P83" s="117"/>
      <c r="Q83" s="33"/>
      <c r="R83" s="38"/>
      <c r="S83" s="38"/>
      <c r="T83" s="38"/>
      <c r="U83" s="169"/>
      <c r="V83" s="66"/>
      <c r="W83" s="33"/>
      <c r="X83" s="33"/>
      <c r="Y83" s="33"/>
      <c r="Z83" s="131"/>
      <c r="AA83" s="33"/>
      <c r="AB83" s="33"/>
      <c r="AC83" s="33"/>
      <c r="AD83" s="33"/>
      <c r="AK83" s="33"/>
    </row>
    <row r="84" spans="1:37" ht="12.75" customHeight="1">
      <c r="A84" s="33"/>
      <c r="B84" s="33"/>
      <c r="C84" s="64"/>
      <c r="D84" s="117"/>
      <c r="E84" s="33"/>
      <c r="F84" s="33"/>
      <c r="G84" s="33"/>
      <c r="H84" s="33"/>
      <c r="I84" s="64"/>
      <c r="J84" s="117"/>
      <c r="K84" s="33"/>
      <c r="L84" s="33"/>
      <c r="M84" s="33"/>
      <c r="N84" s="33"/>
      <c r="O84" s="64"/>
      <c r="P84" s="117"/>
      <c r="Q84" s="33"/>
      <c r="R84" s="38"/>
      <c r="S84" s="38"/>
      <c r="T84" s="38"/>
      <c r="U84" s="169"/>
      <c r="V84" s="66"/>
      <c r="W84" s="33"/>
      <c r="X84" s="33"/>
      <c r="Y84" s="33"/>
      <c r="Z84" s="131"/>
      <c r="AA84" s="33"/>
      <c r="AB84" s="33"/>
      <c r="AC84" s="33"/>
      <c r="AD84" s="33"/>
      <c r="AK84" s="33"/>
    </row>
    <row r="85" spans="1:37" ht="12.75" customHeight="1">
      <c r="A85" s="33"/>
      <c r="B85" s="33"/>
      <c r="C85" s="64"/>
      <c r="D85" s="117"/>
      <c r="E85" s="33"/>
      <c r="F85" s="33"/>
      <c r="G85" s="33"/>
      <c r="H85" s="33"/>
      <c r="I85" s="64"/>
      <c r="J85" s="117"/>
      <c r="K85" s="33"/>
      <c r="L85" s="33"/>
      <c r="M85" s="33"/>
      <c r="N85" s="33"/>
      <c r="O85" s="64"/>
      <c r="P85" s="117"/>
      <c r="Q85" s="33"/>
      <c r="R85" s="38"/>
      <c r="S85" s="38"/>
      <c r="T85" s="38"/>
      <c r="U85" s="169"/>
      <c r="V85" s="66"/>
      <c r="W85" s="33"/>
      <c r="X85" s="33"/>
      <c r="Y85" s="33"/>
      <c r="Z85" s="131"/>
      <c r="AA85" s="33"/>
      <c r="AB85" s="33"/>
      <c r="AC85" s="33"/>
      <c r="AD85" s="33"/>
      <c r="AK85" s="33"/>
    </row>
    <row r="86" spans="1:37" ht="12.75" customHeight="1">
      <c r="A86" s="33"/>
      <c r="B86" s="33"/>
      <c r="C86" s="64"/>
      <c r="D86" s="117"/>
      <c r="E86" s="33"/>
      <c r="F86" s="33"/>
      <c r="G86" s="33"/>
      <c r="H86" s="33"/>
      <c r="I86" s="64"/>
      <c r="J86" s="117"/>
      <c r="K86" s="33"/>
      <c r="L86" s="33"/>
      <c r="M86" s="33"/>
      <c r="N86" s="33"/>
      <c r="O86" s="64"/>
      <c r="P86" s="117"/>
      <c r="Q86" s="33"/>
      <c r="R86" s="38"/>
      <c r="S86" s="38"/>
      <c r="T86" s="38"/>
      <c r="U86" s="169"/>
      <c r="V86" s="66"/>
      <c r="W86" s="33"/>
      <c r="X86" s="33"/>
      <c r="Y86" s="33"/>
      <c r="Z86" s="131"/>
      <c r="AA86" s="33"/>
      <c r="AB86" s="33"/>
      <c r="AC86" s="33"/>
      <c r="AD86" s="33"/>
      <c r="AK86" s="33"/>
    </row>
    <row r="87" spans="1:37" ht="12.75" customHeight="1">
      <c r="A87" s="33"/>
      <c r="B87" s="33"/>
      <c r="C87" s="64"/>
      <c r="D87" s="117"/>
      <c r="E87" s="33"/>
      <c r="F87" s="33"/>
      <c r="G87" s="33"/>
      <c r="H87" s="33"/>
      <c r="I87" s="64"/>
      <c r="J87" s="117"/>
      <c r="K87" s="33"/>
      <c r="L87" s="33"/>
      <c r="M87" s="33"/>
      <c r="N87" s="33"/>
      <c r="O87" s="64"/>
      <c r="P87" s="117"/>
      <c r="Q87" s="33"/>
      <c r="R87" s="38"/>
      <c r="S87" s="38"/>
      <c r="T87" s="38"/>
      <c r="U87" s="169"/>
      <c r="V87" s="66"/>
      <c r="W87" s="33"/>
      <c r="X87" s="33"/>
      <c r="Y87" s="33"/>
      <c r="Z87" s="131"/>
      <c r="AA87" s="33"/>
      <c r="AB87" s="33"/>
      <c r="AC87" s="33"/>
      <c r="AD87" s="33"/>
      <c r="AK87" s="33"/>
    </row>
    <row r="88" spans="1:37" ht="12.75" customHeight="1">
      <c r="A88" s="33"/>
      <c r="B88" s="33"/>
      <c r="C88" s="64"/>
      <c r="D88" s="117"/>
      <c r="E88" s="33"/>
      <c r="F88" s="33"/>
      <c r="G88" s="33"/>
      <c r="H88" s="33"/>
      <c r="I88" s="64"/>
      <c r="J88" s="117"/>
      <c r="K88" s="33"/>
      <c r="L88" s="33"/>
      <c r="M88" s="33"/>
      <c r="N88" s="33"/>
      <c r="O88" s="64"/>
      <c r="P88" s="117"/>
      <c r="Q88" s="33"/>
      <c r="R88" s="38"/>
      <c r="S88" s="38"/>
      <c r="T88" s="38"/>
      <c r="U88" s="169"/>
      <c r="V88" s="66"/>
      <c r="W88" s="33"/>
      <c r="X88" s="33"/>
      <c r="Y88" s="33"/>
      <c r="Z88" s="131"/>
      <c r="AA88" s="33"/>
      <c r="AB88" s="33"/>
      <c r="AC88" s="33"/>
      <c r="AD88" s="33"/>
      <c r="AK88" s="33"/>
    </row>
    <row r="89" spans="1:37" ht="12.75" customHeight="1">
      <c r="A89" s="33"/>
      <c r="B89" s="33"/>
      <c r="C89" s="64"/>
      <c r="D89" s="117"/>
      <c r="E89" s="33"/>
      <c r="F89" s="33"/>
      <c r="G89" s="33"/>
      <c r="H89" s="33"/>
      <c r="I89" s="64"/>
      <c r="J89" s="117"/>
      <c r="K89" s="33"/>
      <c r="L89" s="33"/>
      <c r="M89" s="33"/>
      <c r="N89" s="33"/>
      <c r="O89" s="64"/>
      <c r="P89" s="117"/>
      <c r="Q89" s="33"/>
      <c r="R89" s="38"/>
      <c r="S89" s="38"/>
      <c r="T89" s="38"/>
      <c r="U89" s="169"/>
      <c r="V89" s="66"/>
      <c r="W89" s="33"/>
      <c r="X89" s="33"/>
      <c r="Y89" s="33"/>
      <c r="Z89" s="131"/>
      <c r="AA89" s="33"/>
      <c r="AB89" s="33"/>
      <c r="AC89" s="33"/>
      <c r="AD89" s="33"/>
      <c r="AK89" s="33"/>
    </row>
    <row r="90" spans="1:37" ht="12.75" customHeight="1">
      <c r="A90" s="33"/>
      <c r="B90" s="33"/>
      <c r="C90" s="64"/>
      <c r="D90" s="117"/>
      <c r="E90" s="33"/>
      <c r="F90" s="33"/>
      <c r="G90" s="33"/>
      <c r="H90" s="33"/>
      <c r="I90" s="64"/>
      <c r="J90" s="117"/>
      <c r="K90" s="33"/>
      <c r="L90" s="33"/>
      <c r="M90" s="33"/>
      <c r="N90" s="33"/>
      <c r="O90" s="64"/>
      <c r="P90" s="117"/>
      <c r="Q90" s="33"/>
      <c r="R90" s="38"/>
      <c r="S90" s="38"/>
      <c r="T90" s="38"/>
      <c r="U90" s="169"/>
      <c r="V90" s="66"/>
      <c r="W90" s="33"/>
      <c r="X90" s="33"/>
      <c r="Y90" s="33"/>
      <c r="Z90" s="131"/>
      <c r="AA90" s="33"/>
      <c r="AB90" s="33"/>
      <c r="AC90" s="33"/>
      <c r="AD90" s="33"/>
      <c r="AK90" s="33"/>
    </row>
    <row r="91" spans="1:37" ht="12.75" customHeight="1">
      <c r="A91" s="33"/>
      <c r="B91" s="33"/>
      <c r="C91" s="64"/>
      <c r="D91" s="117"/>
      <c r="E91" s="33"/>
      <c r="F91" s="33"/>
      <c r="G91" s="33"/>
      <c r="H91" s="33"/>
      <c r="I91" s="64"/>
      <c r="J91" s="117"/>
      <c r="K91" s="33"/>
      <c r="L91" s="33"/>
      <c r="M91" s="33"/>
      <c r="N91" s="33"/>
      <c r="O91" s="64"/>
      <c r="P91" s="117"/>
      <c r="Q91" s="33"/>
      <c r="R91" s="38"/>
      <c r="S91" s="38"/>
      <c r="T91" s="38"/>
      <c r="U91" s="169"/>
      <c r="V91" s="66"/>
      <c r="W91" s="33"/>
      <c r="X91" s="33"/>
      <c r="Y91" s="33"/>
      <c r="Z91" s="131"/>
      <c r="AA91" s="33"/>
      <c r="AB91" s="33"/>
      <c r="AC91" s="33"/>
      <c r="AD91" s="33"/>
      <c r="AK91" s="33"/>
    </row>
    <row r="92" spans="1:37" ht="12.75" customHeight="1">
      <c r="A92" s="33"/>
      <c r="B92" s="33"/>
      <c r="C92" s="64"/>
      <c r="D92" s="117"/>
      <c r="E92" s="33"/>
      <c r="F92" s="33"/>
      <c r="G92" s="33"/>
      <c r="H92" s="33"/>
      <c r="I92" s="64"/>
      <c r="J92" s="117"/>
      <c r="K92" s="33"/>
      <c r="L92" s="33"/>
      <c r="M92" s="33"/>
      <c r="N92" s="33"/>
      <c r="O92" s="64"/>
      <c r="P92" s="117"/>
      <c r="Q92" s="33"/>
      <c r="R92" s="38"/>
      <c r="S92" s="38"/>
      <c r="T92" s="38"/>
      <c r="U92" s="169"/>
      <c r="V92" s="66"/>
      <c r="W92" s="33"/>
      <c r="X92" s="33"/>
      <c r="Y92" s="33"/>
      <c r="Z92" s="131"/>
      <c r="AA92" s="33"/>
      <c r="AB92" s="33"/>
      <c r="AC92" s="33"/>
      <c r="AD92" s="33"/>
      <c r="AK92" s="33"/>
    </row>
    <row r="93" spans="1:37" ht="12.75" customHeight="1">
      <c r="A93" s="33"/>
      <c r="B93" s="33"/>
      <c r="C93" s="64"/>
      <c r="D93" s="117"/>
      <c r="E93" s="33"/>
      <c r="F93" s="33"/>
      <c r="G93" s="33"/>
      <c r="H93" s="33"/>
      <c r="I93" s="64"/>
      <c r="J93" s="117"/>
      <c r="K93" s="33"/>
      <c r="L93" s="33"/>
      <c r="M93" s="33"/>
      <c r="N93" s="33"/>
      <c r="O93" s="64"/>
      <c r="P93" s="117"/>
      <c r="Q93" s="33"/>
      <c r="R93" s="38"/>
      <c r="S93" s="38"/>
      <c r="T93" s="38"/>
      <c r="U93" s="169"/>
      <c r="V93" s="66"/>
      <c r="W93" s="33"/>
      <c r="X93" s="33"/>
      <c r="Y93" s="33"/>
      <c r="Z93" s="131"/>
      <c r="AA93" s="33"/>
      <c r="AB93" s="33"/>
      <c r="AC93" s="33"/>
      <c r="AD93" s="33"/>
      <c r="AK93" s="33"/>
    </row>
    <row r="94" spans="1:37" ht="12.75" customHeight="1">
      <c r="A94" s="33"/>
      <c r="B94" s="33"/>
      <c r="C94" s="64"/>
      <c r="D94" s="117"/>
      <c r="E94" s="33"/>
      <c r="F94" s="33"/>
      <c r="G94" s="33"/>
      <c r="H94" s="33"/>
      <c r="I94" s="64"/>
      <c r="J94" s="117"/>
      <c r="K94" s="33"/>
      <c r="L94" s="33"/>
      <c r="M94" s="33"/>
      <c r="N94" s="33"/>
      <c r="O94" s="64"/>
      <c r="P94" s="117"/>
      <c r="Q94" s="33"/>
      <c r="R94" s="38"/>
      <c r="S94" s="38"/>
      <c r="T94" s="38"/>
      <c r="U94" s="169"/>
      <c r="V94" s="66"/>
      <c r="W94" s="33"/>
      <c r="X94" s="33"/>
      <c r="Y94" s="33"/>
      <c r="Z94" s="131"/>
      <c r="AA94" s="33"/>
      <c r="AB94" s="33"/>
      <c r="AC94" s="33"/>
      <c r="AD94" s="33"/>
      <c r="AK94" s="33"/>
    </row>
    <row r="95" spans="1:37" ht="12.75" customHeight="1">
      <c r="A95" s="33"/>
      <c r="B95" s="33"/>
      <c r="C95" s="64"/>
      <c r="D95" s="117"/>
      <c r="E95" s="33"/>
      <c r="F95" s="33"/>
      <c r="G95" s="33"/>
      <c r="H95" s="33"/>
      <c r="I95" s="64"/>
      <c r="J95" s="117"/>
      <c r="K95" s="33"/>
      <c r="L95" s="33"/>
      <c r="M95" s="33"/>
      <c r="N95" s="33"/>
      <c r="O95" s="64"/>
      <c r="P95" s="117"/>
      <c r="Q95" s="33"/>
      <c r="R95" s="38"/>
      <c r="S95" s="38"/>
      <c r="T95" s="38"/>
      <c r="U95" s="169"/>
      <c r="V95" s="66"/>
      <c r="W95" s="33"/>
      <c r="X95" s="33"/>
      <c r="Y95" s="33"/>
      <c r="Z95" s="131"/>
      <c r="AA95" s="33"/>
      <c r="AB95" s="33"/>
      <c r="AC95" s="33"/>
      <c r="AD95" s="33"/>
      <c r="AK95" s="33"/>
    </row>
    <row r="96" spans="1:37" ht="12.75" customHeight="1">
      <c r="A96" s="33"/>
      <c r="B96" s="33"/>
      <c r="C96" s="64"/>
      <c r="D96" s="117"/>
      <c r="E96" s="33"/>
      <c r="F96" s="33"/>
      <c r="G96" s="33"/>
      <c r="H96" s="33"/>
      <c r="I96" s="64"/>
      <c r="J96" s="117"/>
      <c r="K96" s="33"/>
      <c r="L96" s="33"/>
      <c r="M96" s="33"/>
      <c r="N96" s="33"/>
      <c r="O96" s="64"/>
      <c r="P96" s="117"/>
      <c r="Q96" s="33"/>
      <c r="R96" s="38"/>
      <c r="S96" s="38"/>
      <c r="T96" s="38"/>
      <c r="U96" s="169"/>
      <c r="V96" s="66"/>
      <c r="W96" s="33"/>
      <c r="X96" s="33"/>
      <c r="Y96" s="33"/>
      <c r="Z96" s="131"/>
      <c r="AA96" s="33"/>
      <c r="AB96" s="33"/>
      <c r="AC96" s="33"/>
      <c r="AD96" s="33"/>
      <c r="AK96" s="33"/>
    </row>
    <row r="97" spans="1:37" ht="12.75" customHeight="1">
      <c r="A97" s="33"/>
      <c r="B97" s="33"/>
      <c r="C97" s="64"/>
      <c r="D97" s="117"/>
      <c r="E97" s="33"/>
      <c r="F97" s="33"/>
      <c r="G97" s="33"/>
      <c r="H97" s="33"/>
      <c r="I97" s="64"/>
      <c r="J97" s="117"/>
      <c r="K97" s="33"/>
      <c r="L97" s="33"/>
      <c r="M97" s="33"/>
      <c r="N97" s="33"/>
      <c r="O97" s="64"/>
      <c r="P97" s="117"/>
      <c r="Q97" s="33"/>
      <c r="R97" s="38"/>
      <c r="S97" s="38"/>
      <c r="T97" s="38"/>
      <c r="U97" s="169"/>
      <c r="V97" s="66"/>
      <c r="W97" s="33"/>
      <c r="X97" s="33"/>
      <c r="Y97" s="33"/>
      <c r="Z97" s="131"/>
      <c r="AA97" s="33"/>
      <c r="AB97" s="33"/>
      <c r="AC97" s="33"/>
      <c r="AD97" s="33"/>
      <c r="AK97" s="33"/>
    </row>
    <row r="98" spans="1:37" ht="12.75" customHeight="1">
      <c r="A98" s="33"/>
      <c r="B98" s="33"/>
      <c r="C98" s="64"/>
      <c r="D98" s="117"/>
      <c r="E98" s="33"/>
      <c r="F98" s="33"/>
      <c r="G98" s="33"/>
      <c r="H98" s="33"/>
      <c r="I98" s="64"/>
      <c r="J98" s="117"/>
      <c r="K98" s="33"/>
      <c r="L98" s="33"/>
      <c r="M98" s="33"/>
      <c r="N98" s="33"/>
      <c r="O98" s="64"/>
      <c r="P98" s="117"/>
      <c r="Q98" s="33"/>
      <c r="R98" s="38"/>
      <c r="S98" s="38"/>
      <c r="T98" s="38"/>
      <c r="U98" s="169"/>
      <c r="V98" s="66"/>
      <c r="W98" s="33"/>
      <c r="X98" s="33"/>
      <c r="Y98" s="33"/>
      <c r="Z98" s="131"/>
      <c r="AA98" s="33"/>
      <c r="AB98" s="33"/>
      <c r="AC98" s="33"/>
      <c r="AD98" s="33"/>
      <c r="AK98" s="33"/>
    </row>
    <row r="99" spans="1:37" ht="12.75" customHeight="1">
      <c r="A99" s="33"/>
      <c r="B99" s="33"/>
      <c r="C99" s="64"/>
      <c r="D99" s="117"/>
      <c r="E99" s="33"/>
      <c r="F99" s="33"/>
      <c r="G99" s="33"/>
      <c r="H99" s="33"/>
      <c r="I99" s="64"/>
      <c r="J99" s="117"/>
      <c r="K99" s="33"/>
      <c r="L99" s="33"/>
      <c r="M99" s="33"/>
      <c r="N99" s="33"/>
      <c r="O99" s="64"/>
      <c r="P99" s="117"/>
      <c r="Q99" s="33"/>
      <c r="R99" s="38"/>
      <c r="S99" s="38"/>
      <c r="T99" s="38"/>
      <c r="U99" s="169"/>
      <c r="V99" s="66"/>
      <c r="W99" s="33"/>
      <c r="X99" s="33"/>
      <c r="Y99" s="33"/>
      <c r="Z99" s="131"/>
      <c r="AA99" s="33"/>
      <c r="AB99" s="33"/>
      <c r="AC99" s="33"/>
      <c r="AD99" s="33"/>
      <c r="AK99" s="33"/>
    </row>
    <row r="100" spans="1:37" ht="12.75" customHeight="1">
      <c r="A100" s="33"/>
      <c r="B100" s="33"/>
      <c r="C100" s="64"/>
      <c r="D100" s="164"/>
      <c r="E100" s="121"/>
      <c r="F100" s="121"/>
      <c r="G100" s="121"/>
      <c r="H100" s="121"/>
      <c r="I100" s="56"/>
      <c r="J100" s="164"/>
      <c r="K100" s="121"/>
      <c r="L100" s="121"/>
      <c r="M100" s="121"/>
      <c r="N100" s="121"/>
      <c r="O100" s="56"/>
      <c r="P100" s="117"/>
      <c r="Q100" s="33"/>
      <c r="R100" s="38"/>
      <c r="S100" s="38"/>
      <c r="T100" s="38"/>
      <c r="U100" s="169"/>
      <c r="V100" s="66"/>
      <c r="W100" s="33"/>
      <c r="X100" s="33"/>
      <c r="Y100" s="33"/>
      <c r="Z100" s="131"/>
      <c r="AA100" s="33"/>
      <c r="AB100" s="33"/>
      <c r="AC100" s="33"/>
      <c r="AD100" s="33"/>
      <c r="AK100" s="33"/>
    </row>
  </sheetData>
  <mergeCells count="2">
    <mergeCell ref="D1:I1"/>
    <mergeCell ref="J1:O1"/>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51"/>
  <sheetViews>
    <sheetView workbookViewId="0">
      <pane ySplit="2" topLeftCell="A3" activePane="bottomLeft" state="frozen"/>
      <selection pane="bottomLeft" activeCell="A3" sqref="A3"/>
    </sheetView>
  </sheetViews>
  <sheetFormatPr baseColWidth="10" defaultColWidth="17.1640625" defaultRowHeight="12.75" customHeight="1" x14ac:dyDescent="0"/>
  <cols>
    <col min="1" max="1" width="5.5" customWidth="1"/>
    <col min="2" max="2" width="17.33203125" customWidth="1"/>
    <col min="3" max="5" width="7" customWidth="1"/>
    <col min="6" max="6" width="4.5" customWidth="1"/>
    <col min="7" max="7" width="5.6640625" customWidth="1"/>
    <col min="8" max="8" width="4.1640625" customWidth="1"/>
    <col min="9" max="9" width="4.6640625" customWidth="1"/>
    <col min="10" max="10" width="4.5" customWidth="1"/>
    <col min="11" max="11" width="5.6640625" customWidth="1"/>
    <col min="12" max="12" width="4.1640625" customWidth="1"/>
    <col min="13" max="13" width="6.83203125" customWidth="1"/>
    <col min="14" max="14" width="7" customWidth="1"/>
    <col min="15" max="15" width="5.5" customWidth="1"/>
    <col min="16" max="16" width="22.1640625" customWidth="1"/>
    <col min="17" max="17" width="8.6640625" customWidth="1"/>
    <col min="18" max="18" width="7" customWidth="1"/>
    <col min="19" max="19" width="4.5" customWidth="1"/>
    <col min="20" max="20" width="5.6640625" customWidth="1"/>
    <col min="21" max="21" width="4.1640625" customWidth="1"/>
    <col min="22" max="22" width="5.1640625" customWidth="1"/>
    <col min="23" max="23" width="5.6640625" customWidth="1"/>
    <col min="24" max="24" width="4.1640625" customWidth="1"/>
    <col min="25" max="25" width="6.83203125" customWidth="1"/>
    <col min="26" max="27" width="5.5" customWidth="1"/>
    <col min="28" max="28" width="19.5" customWidth="1"/>
    <col min="29" max="29" width="7" customWidth="1"/>
    <col min="30" max="30" width="7.33203125" customWidth="1"/>
    <col min="31" max="31" width="5.1640625" customWidth="1"/>
    <col min="32" max="32" width="6.1640625" customWidth="1"/>
    <col min="33" max="33" width="4.33203125" customWidth="1"/>
    <col min="34" max="34" width="4.6640625" customWidth="1"/>
    <col min="35" max="35" width="6.1640625" customWidth="1"/>
    <col min="36" max="36" width="4.33203125" customWidth="1"/>
    <col min="37" max="37" width="7" customWidth="1"/>
    <col min="38" max="38" width="6.5" customWidth="1"/>
    <col min="39" max="39" width="5.5" customWidth="1"/>
    <col min="40" max="40" width="21.5" customWidth="1"/>
    <col min="41" max="41" width="7.33203125" customWidth="1"/>
    <col min="42" max="42" width="5.5" customWidth="1"/>
    <col min="43" max="43" width="5.1640625" customWidth="1"/>
    <col min="44" max="44" width="6.1640625" customWidth="1"/>
    <col min="45" max="45" width="4.33203125" customWidth="1"/>
    <col min="46" max="46" width="7" customWidth="1"/>
    <col min="47" max="47" width="6.1640625" customWidth="1"/>
    <col min="48" max="48" width="5.5" customWidth="1"/>
    <col min="49" max="49" width="18.5" customWidth="1"/>
    <col min="50" max="50" width="7.33203125" customWidth="1"/>
    <col min="51" max="51" width="5.5" customWidth="1"/>
    <col min="52" max="52" width="6.1640625" customWidth="1"/>
    <col min="53" max="53" width="5.6640625" customWidth="1"/>
    <col min="54" max="54" width="6.33203125" customWidth="1"/>
    <col min="55" max="55" width="6.1640625" customWidth="1"/>
    <col min="56" max="56" width="5.6640625" customWidth="1"/>
    <col min="57" max="57" width="7" customWidth="1"/>
    <col min="58" max="58" width="4.33203125" customWidth="1"/>
    <col min="59" max="59" width="5.5" customWidth="1"/>
    <col min="60" max="60" width="21.1640625" customWidth="1"/>
    <col min="61" max="61" width="7.33203125" customWidth="1"/>
    <col min="62" max="62" width="6.1640625" customWidth="1"/>
    <col min="63" max="63" width="4.33203125" customWidth="1"/>
    <col min="64" max="64" width="4.83203125" customWidth="1"/>
    <col min="65" max="65" width="7.5" customWidth="1"/>
    <col min="66" max="66" width="4.5" customWidth="1"/>
    <col min="67" max="68" width="8.6640625" customWidth="1"/>
    <col min="69" max="69" width="8" customWidth="1"/>
    <col min="70" max="70" width="7.83203125" customWidth="1"/>
    <col min="71" max="71" width="7" customWidth="1"/>
    <col min="72" max="72" width="5.6640625" customWidth="1"/>
    <col min="73" max="73" width="21.5" customWidth="1"/>
    <col min="74" max="74" width="3.33203125" customWidth="1"/>
    <col min="75" max="75" width="19.5" customWidth="1"/>
    <col min="76" max="76" width="5" customWidth="1"/>
    <col min="77" max="77" width="10.6640625" customWidth="1"/>
  </cols>
  <sheetData>
    <row r="1" spans="1:77" ht="12.75" customHeight="1">
      <c r="A1" s="33" t="s">
        <v>804</v>
      </c>
      <c r="B1" s="33" t="s">
        <v>79</v>
      </c>
      <c r="C1" s="33" t="s">
        <v>103</v>
      </c>
      <c r="D1" s="33" t="s">
        <v>870</v>
      </c>
      <c r="E1" s="33" t="s">
        <v>804</v>
      </c>
      <c r="F1" s="33" t="s">
        <v>804</v>
      </c>
      <c r="G1" s="33" t="s">
        <v>804</v>
      </c>
      <c r="H1" s="33" t="s">
        <v>804</v>
      </c>
      <c r="I1" s="33" t="s">
        <v>804</v>
      </c>
      <c r="J1" s="33" t="s">
        <v>804</v>
      </c>
      <c r="K1" s="33" t="s">
        <v>804</v>
      </c>
      <c r="L1" s="33" t="s">
        <v>804</v>
      </c>
      <c r="M1" s="33" t="s">
        <v>804</v>
      </c>
      <c r="N1" s="33"/>
      <c r="O1" s="33" t="s">
        <v>804</v>
      </c>
      <c r="P1" s="33" t="s">
        <v>103</v>
      </c>
      <c r="Q1" s="33" t="s">
        <v>116</v>
      </c>
      <c r="R1" s="33" t="s">
        <v>870</v>
      </c>
      <c r="S1" s="33" t="s">
        <v>804</v>
      </c>
      <c r="T1" s="33" t="s">
        <v>804</v>
      </c>
      <c r="U1" s="33" t="s">
        <v>804</v>
      </c>
      <c r="V1" s="33" t="s">
        <v>804</v>
      </c>
      <c r="W1" s="33" t="s">
        <v>804</v>
      </c>
      <c r="X1" s="33" t="s">
        <v>804</v>
      </c>
      <c r="Y1" s="33" t="s">
        <v>804</v>
      </c>
      <c r="AA1" t="s">
        <v>804</v>
      </c>
      <c r="AB1" t="s">
        <v>116</v>
      </c>
      <c r="AC1" t="s">
        <v>103</v>
      </c>
      <c r="AD1" t="s">
        <v>870</v>
      </c>
      <c r="AE1" t="s">
        <v>804</v>
      </c>
      <c r="AF1" t="s">
        <v>804</v>
      </c>
      <c r="AG1" t="s">
        <v>804</v>
      </c>
      <c r="AH1" t="s">
        <v>804</v>
      </c>
      <c r="AI1" t="s">
        <v>804</v>
      </c>
      <c r="AJ1" t="s">
        <v>804</v>
      </c>
      <c r="AK1" t="s">
        <v>804</v>
      </c>
      <c r="AM1" t="s">
        <v>804</v>
      </c>
      <c r="AN1" t="s">
        <v>116</v>
      </c>
      <c r="AO1" t="s">
        <v>870</v>
      </c>
      <c r="AP1" t="s">
        <v>804</v>
      </c>
      <c r="AQ1" t="s">
        <v>804</v>
      </c>
      <c r="AR1" t="s">
        <v>804</v>
      </c>
      <c r="AS1" t="s">
        <v>804</v>
      </c>
      <c r="AT1" t="s">
        <v>804</v>
      </c>
      <c r="AV1" t="s">
        <v>804</v>
      </c>
      <c r="AW1" t="s">
        <v>804</v>
      </c>
      <c r="AX1" t="s">
        <v>870</v>
      </c>
      <c r="AY1" t="s">
        <v>804</v>
      </c>
      <c r="AZ1" t="s">
        <v>804</v>
      </c>
      <c r="BA1" t="s">
        <v>804</v>
      </c>
      <c r="BB1" t="s">
        <v>804</v>
      </c>
      <c r="BC1" t="s">
        <v>804</v>
      </c>
      <c r="BD1" t="s">
        <v>804</v>
      </c>
      <c r="BE1" t="s">
        <v>804</v>
      </c>
      <c r="BG1" t="s">
        <v>804</v>
      </c>
      <c r="BH1" t="s">
        <v>804</v>
      </c>
      <c r="BI1" t="s">
        <v>870</v>
      </c>
      <c r="BJ1" t="s">
        <v>804</v>
      </c>
      <c r="BK1" t="s">
        <v>804</v>
      </c>
      <c r="BL1" t="s">
        <v>804</v>
      </c>
      <c r="BM1" t="s">
        <v>804</v>
      </c>
      <c r="BN1" t="s">
        <v>804</v>
      </c>
      <c r="BO1" t="s">
        <v>804</v>
      </c>
      <c r="BP1" t="s">
        <v>804</v>
      </c>
      <c r="BQ1" t="s">
        <v>804</v>
      </c>
      <c r="BR1" t="s">
        <v>804</v>
      </c>
      <c r="BS1" t="s">
        <v>804</v>
      </c>
      <c r="BU1" t="s">
        <v>871</v>
      </c>
      <c r="BV1" t="s">
        <v>804</v>
      </c>
      <c r="BW1" t="s">
        <v>804</v>
      </c>
      <c r="BX1" t="s">
        <v>804</v>
      </c>
      <c r="BY1" t="s">
        <v>804</v>
      </c>
    </row>
    <row r="2" spans="1:77" ht="12.75" customHeight="1">
      <c r="A2" s="33" t="s">
        <v>872</v>
      </c>
      <c r="B2" s="33" t="s">
        <v>873</v>
      </c>
      <c r="C2" s="33" t="s">
        <v>874</v>
      </c>
      <c r="D2" s="33" t="s">
        <v>875</v>
      </c>
      <c r="E2" s="33" t="s">
        <v>876</v>
      </c>
      <c r="F2" s="33" t="s">
        <v>877</v>
      </c>
      <c r="G2" s="33" t="s">
        <v>878</v>
      </c>
      <c r="H2" s="33" t="s">
        <v>879</v>
      </c>
      <c r="I2" s="33" t="s">
        <v>880</v>
      </c>
      <c r="J2" s="33" t="s">
        <v>877</v>
      </c>
      <c r="K2" s="33" t="s">
        <v>878</v>
      </c>
      <c r="L2" s="33" t="s">
        <v>879</v>
      </c>
      <c r="M2" s="33" t="s">
        <v>881</v>
      </c>
      <c r="N2" s="33"/>
      <c r="O2" s="33" t="s">
        <v>872</v>
      </c>
      <c r="P2" s="33" t="s">
        <v>873</v>
      </c>
      <c r="Q2" s="33" t="s">
        <v>874</v>
      </c>
      <c r="R2" s="33" t="s">
        <v>875</v>
      </c>
      <c r="S2" s="33" t="s">
        <v>877</v>
      </c>
      <c r="T2" s="33" t="s">
        <v>878</v>
      </c>
      <c r="U2" s="33" t="s">
        <v>879</v>
      </c>
      <c r="V2" s="33" t="s">
        <v>882</v>
      </c>
      <c r="W2" s="33" t="s">
        <v>878</v>
      </c>
      <c r="X2" s="33" t="s">
        <v>879</v>
      </c>
      <c r="Y2" s="33" t="s">
        <v>881</v>
      </c>
      <c r="AA2" t="s">
        <v>872</v>
      </c>
      <c r="AB2" t="s">
        <v>873</v>
      </c>
      <c r="AC2" t="s">
        <v>874</v>
      </c>
      <c r="AD2" t="s">
        <v>875</v>
      </c>
      <c r="AE2" t="s">
        <v>882</v>
      </c>
      <c r="AF2" t="s">
        <v>878</v>
      </c>
      <c r="AG2" t="s">
        <v>879</v>
      </c>
      <c r="AH2" t="s">
        <v>877</v>
      </c>
      <c r="AI2" t="s">
        <v>878</v>
      </c>
      <c r="AJ2" t="s">
        <v>879</v>
      </c>
      <c r="AK2" t="s">
        <v>881</v>
      </c>
      <c r="AM2" t="s">
        <v>872</v>
      </c>
      <c r="AN2" t="s">
        <v>873</v>
      </c>
      <c r="AO2" t="s">
        <v>874</v>
      </c>
      <c r="AP2" t="s">
        <v>875</v>
      </c>
      <c r="AQ2" t="s">
        <v>882</v>
      </c>
      <c r="AR2" t="s">
        <v>878</v>
      </c>
      <c r="AS2" t="s">
        <v>879</v>
      </c>
      <c r="AT2" t="s">
        <v>881</v>
      </c>
      <c r="AV2" t="s">
        <v>872</v>
      </c>
      <c r="AW2" t="s">
        <v>883</v>
      </c>
      <c r="AX2" t="s">
        <v>874</v>
      </c>
      <c r="AY2" t="s">
        <v>875</v>
      </c>
      <c r="AZ2" t="s">
        <v>884</v>
      </c>
      <c r="BA2" t="s">
        <v>885</v>
      </c>
      <c r="BB2" t="s">
        <v>886</v>
      </c>
      <c r="BC2" t="s">
        <v>887</v>
      </c>
      <c r="BD2" t="s">
        <v>888</v>
      </c>
      <c r="BE2" t="s">
        <v>881</v>
      </c>
      <c r="BG2" t="s">
        <v>872</v>
      </c>
      <c r="BH2" t="s">
        <v>874</v>
      </c>
      <c r="BI2" t="s">
        <v>875</v>
      </c>
      <c r="BJ2" t="s">
        <v>889</v>
      </c>
      <c r="BK2" t="s">
        <v>890</v>
      </c>
      <c r="BL2" t="s">
        <v>880</v>
      </c>
      <c r="BM2" t="s">
        <v>891</v>
      </c>
      <c r="BN2" t="s">
        <v>892</v>
      </c>
      <c r="BO2" t="s">
        <v>893</v>
      </c>
      <c r="BP2" t="s">
        <v>894</v>
      </c>
      <c r="BQ2" t="s">
        <v>895</v>
      </c>
      <c r="BR2" t="s">
        <v>896</v>
      </c>
      <c r="BS2" t="s">
        <v>881</v>
      </c>
      <c r="BU2" t="s">
        <v>5</v>
      </c>
      <c r="BV2" t="s">
        <v>202</v>
      </c>
      <c r="BW2" t="s">
        <v>6</v>
      </c>
      <c r="BX2" t="s">
        <v>7</v>
      </c>
      <c r="BY2" t="s">
        <v>897</v>
      </c>
    </row>
    <row r="3" spans="1:77" ht="12.75" customHeight="1">
      <c r="A3" s="33" t="s">
        <v>804</v>
      </c>
      <c r="B3" s="33" t="s">
        <v>898</v>
      </c>
      <c r="C3" s="33" t="s">
        <v>122</v>
      </c>
      <c r="D3" s="33">
        <v>4</v>
      </c>
      <c r="E3" s="33">
        <v>437</v>
      </c>
      <c r="F3" s="33">
        <v>652</v>
      </c>
      <c r="G3" s="33">
        <v>5152</v>
      </c>
      <c r="H3" s="33">
        <v>47</v>
      </c>
      <c r="I3" s="33">
        <v>12</v>
      </c>
      <c r="J3" s="33">
        <v>22</v>
      </c>
      <c r="K3" s="33">
        <v>-11</v>
      </c>
      <c r="L3" s="33">
        <v>0</v>
      </c>
      <c r="M3" s="33">
        <v>444.5</v>
      </c>
      <c r="N3" s="33"/>
      <c r="O3" s="33" t="s">
        <v>804</v>
      </c>
      <c r="P3" s="33" t="s">
        <v>899</v>
      </c>
      <c r="Q3" s="33" t="s">
        <v>142</v>
      </c>
      <c r="R3" s="33">
        <v>6</v>
      </c>
      <c r="S3" s="33">
        <v>234</v>
      </c>
      <c r="T3" s="33">
        <v>1194</v>
      </c>
      <c r="U3" s="33">
        <v>11</v>
      </c>
      <c r="V3" s="33">
        <v>73</v>
      </c>
      <c r="W3" s="33">
        <v>589</v>
      </c>
      <c r="X3" s="33">
        <v>4</v>
      </c>
      <c r="Y3" s="33">
        <v>268.3</v>
      </c>
      <c r="AA3" t="s">
        <v>804</v>
      </c>
      <c r="AB3" t="s">
        <v>900</v>
      </c>
      <c r="AC3" t="s">
        <v>122</v>
      </c>
      <c r="AD3">
        <v>4</v>
      </c>
      <c r="AE3">
        <v>96</v>
      </c>
      <c r="AF3">
        <v>1449</v>
      </c>
      <c r="AG3">
        <v>13</v>
      </c>
      <c r="AH3">
        <v>0</v>
      </c>
      <c r="AI3">
        <v>0</v>
      </c>
      <c r="AJ3">
        <v>0</v>
      </c>
      <c r="AK3">
        <v>222.9</v>
      </c>
      <c r="AM3" t="s">
        <v>804</v>
      </c>
      <c r="AN3" t="s">
        <v>901</v>
      </c>
      <c r="AO3" t="s">
        <v>158</v>
      </c>
      <c r="AP3">
        <v>6</v>
      </c>
      <c r="AQ3">
        <v>92</v>
      </c>
      <c r="AR3">
        <v>1146</v>
      </c>
      <c r="AS3">
        <v>11</v>
      </c>
      <c r="AT3">
        <v>180.6</v>
      </c>
      <c r="AV3" t="s">
        <v>804</v>
      </c>
      <c r="AW3" t="s">
        <v>902</v>
      </c>
      <c r="AX3" t="s">
        <v>154</v>
      </c>
      <c r="AY3">
        <v>10</v>
      </c>
      <c r="AZ3">
        <v>33</v>
      </c>
      <c r="BA3">
        <v>38</v>
      </c>
      <c r="BB3">
        <v>0.86799999999999999</v>
      </c>
      <c r="BC3">
        <v>48</v>
      </c>
      <c r="BD3">
        <v>48</v>
      </c>
      <c r="BE3">
        <v>147</v>
      </c>
      <c r="BG3" t="s">
        <v>804</v>
      </c>
      <c r="BH3" t="s">
        <v>184</v>
      </c>
      <c r="BI3">
        <v>4</v>
      </c>
      <c r="BJ3">
        <v>46</v>
      </c>
      <c r="BK3">
        <v>12</v>
      </c>
      <c r="BL3">
        <v>22</v>
      </c>
      <c r="BM3">
        <v>4</v>
      </c>
      <c r="BN3">
        <v>301</v>
      </c>
      <c r="BO3">
        <v>194.3</v>
      </c>
      <c r="BP3">
        <v>104.1</v>
      </c>
      <c r="BQ3">
        <v>0</v>
      </c>
      <c r="BR3">
        <v>1</v>
      </c>
      <c r="BS3">
        <v>110</v>
      </c>
      <c r="BU3">
        <v>1</v>
      </c>
      <c r="BV3" t="s">
        <v>2</v>
      </c>
      <c r="BW3" t="s">
        <v>903</v>
      </c>
      <c r="BX3" t="s">
        <v>132</v>
      </c>
      <c r="BY3">
        <v>49</v>
      </c>
    </row>
    <row r="4" spans="1:77" ht="12.75" customHeight="1">
      <c r="A4" s="33" t="s">
        <v>804</v>
      </c>
      <c r="B4" s="33" t="s">
        <v>904</v>
      </c>
      <c r="C4" s="33" t="s">
        <v>158</v>
      </c>
      <c r="D4" s="33">
        <v>6</v>
      </c>
      <c r="E4" s="33">
        <v>422</v>
      </c>
      <c r="F4" s="33">
        <v>639</v>
      </c>
      <c r="G4" s="33">
        <v>4988</v>
      </c>
      <c r="H4" s="33">
        <v>40</v>
      </c>
      <c r="I4" s="33">
        <v>13</v>
      </c>
      <c r="J4" s="33">
        <v>19</v>
      </c>
      <c r="K4" s="33">
        <v>39</v>
      </c>
      <c r="L4" s="33">
        <v>0</v>
      </c>
      <c r="M4" s="33">
        <v>413.3</v>
      </c>
      <c r="N4" s="33"/>
      <c r="O4" s="33" t="s">
        <v>804</v>
      </c>
      <c r="P4" s="33" t="s">
        <v>905</v>
      </c>
      <c r="Q4" s="33" t="s">
        <v>172</v>
      </c>
      <c r="R4" s="33">
        <v>7</v>
      </c>
      <c r="S4" s="33">
        <v>291</v>
      </c>
      <c r="T4" s="33">
        <v>1426</v>
      </c>
      <c r="U4" s="33">
        <v>10</v>
      </c>
      <c r="V4" s="33">
        <v>53</v>
      </c>
      <c r="W4" s="33">
        <v>444</v>
      </c>
      <c r="X4" s="33">
        <v>2</v>
      </c>
      <c r="Y4" s="33">
        <v>259</v>
      </c>
      <c r="AA4" t="s">
        <v>804</v>
      </c>
      <c r="AB4" t="s">
        <v>906</v>
      </c>
      <c r="AC4" t="s">
        <v>125</v>
      </c>
      <c r="AD4">
        <v>9</v>
      </c>
      <c r="AE4">
        <v>93</v>
      </c>
      <c r="AF4">
        <v>1477</v>
      </c>
      <c r="AG4">
        <v>12</v>
      </c>
      <c r="AH4">
        <v>0</v>
      </c>
      <c r="AI4">
        <v>0</v>
      </c>
      <c r="AJ4">
        <v>0</v>
      </c>
      <c r="AK4">
        <v>219.7</v>
      </c>
      <c r="AM4" t="s">
        <v>804</v>
      </c>
      <c r="AN4" t="s">
        <v>907</v>
      </c>
      <c r="AO4" t="s">
        <v>122</v>
      </c>
      <c r="AP4">
        <v>4</v>
      </c>
      <c r="AQ4">
        <v>78</v>
      </c>
      <c r="AR4">
        <v>895</v>
      </c>
      <c r="AS4">
        <v>11</v>
      </c>
      <c r="AT4">
        <v>155.5</v>
      </c>
      <c r="AV4" t="s">
        <v>804</v>
      </c>
      <c r="AW4" t="s">
        <v>908</v>
      </c>
      <c r="AX4" t="s">
        <v>128</v>
      </c>
      <c r="AY4">
        <v>9</v>
      </c>
      <c r="AZ4">
        <v>30</v>
      </c>
      <c r="BA4">
        <v>35</v>
      </c>
      <c r="BB4">
        <v>0.85699999999999998</v>
      </c>
      <c r="BC4">
        <v>53</v>
      </c>
      <c r="BD4">
        <v>53</v>
      </c>
      <c r="BE4">
        <v>143</v>
      </c>
      <c r="BG4" t="s">
        <v>804</v>
      </c>
      <c r="BH4" t="s">
        <v>111</v>
      </c>
      <c r="BI4">
        <v>4</v>
      </c>
      <c r="BJ4">
        <v>48</v>
      </c>
      <c r="BK4">
        <v>11</v>
      </c>
      <c r="BL4">
        <v>18</v>
      </c>
      <c r="BM4">
        <v>4</v>
      </c>
      <c r="BN4">
        <v>294</v>
      </c>
      <c r="BO4">
        <v>218.8</v>
      </c>
      <c r="BP4">
        <v>104.3</v>
      </c>
      <c r="BQ4">
        <v>1</v>
      </c>
      <c r="BR4">
        <v>1</v>
      </c>
      <c r="BS4">
        <v>109</v>
      </c>
      <c r="BU4">
        <v>2</v>
      </c>
      <c r="BV4" t="s">
        <v>2</v>
      </c>
      <c r="BW4" t="s">
        <v>909</v>
      </c>
      <c r="BX4" t="s">
        <v>99</v>
      </c>
      <c r="BY4">
        <v>49</v>
      </c>
    </row>
    <row r="5" spans="1:77" ht="12.75" customHeight="1">
      <c r="A5" s="33" t="s">
        <v>804</v>
      </c>
      <c r="B5" s="33" t="s">
        <v>910</v>
      </c>
      <c r="C5" s="33" t="s">
        <v>128</v>
      </c>
      <c r="D5" s="33">
        <v>9</v>
      </c>
      <c r="E5" s="33">
        <v>368</v>
      </c>
      <c r="F5" s="33">
        <v>558</v>
      </c>
      <c r="G5" s="33">
        <v>4460</v>
      </c>
      <c r="H5" s="33">
        <v>37</v>
      </c>
      <c r="I5" s="33">
        <v>11</v>
      </c>
      <c r="J5" s="33">
        <v>51</v>
      </c>
      <c r="K5" s="33">
        <v>228</v>
      </c>
      <c r="L5" s="33">
        <v>2</v>
      </c>
      <c r="M5" s="33">
        <v>405.8</v>
      </c>
      <c r="N5" s="33"/>
      <c r="O5" s="33" t="s">
        <v>804</v>
      </c>
      <c r="P5" s="33" t="s">
        <v>911</v>
      </c>
      <c r="Q5" s="33" t="s">
        <v>150</v>
      </c>
      <c r="R5" s="33">
        <v>10</v>
      </c>
      <c r="S5" s="33">
        <v>297</v>
      </c>
      <c r="T5" s="33">
        <v>1426</v>
      </c>
      <c r="U5" s="33">
        <v>11</v>
      </c>
      <c r="V5" s="33">
        <v>38</v>
      </c>
      <c r="W5" s="33">
        <v>216</v>
      </c>
      <c r="X5" s="33">
        <v>1</v>
      </c>
      <c r="Y5" s="33">
        <v>236.2</v>
      </c>
      <c r="AA5" t="s">
        <v>804</v>
      </c>
      <c r="AB5" t="s">
        <v>912</v>
      </c>
      <c r="AC5" t="s">
        <v>96</v>
      </c>
      <c r="AD5">
        <v>9</v>
      </c>
      <c r="AE5">
        <v>93</v>
      </c>
      <c r="AF5">
        <v>1429</v>
      </c>
      <c r="AG5">
        <v>10</v>
      </c>
      <c r="AH5">
        <v>7</v>
      </c>
      <c r="AI5">
        <v>52</v>
      </c>
      <c r="AJ5">
        <v>0</v>
      </c>
      <c r="AK5">
        <v>208.1</v>
      </c>
      <c r="AM5" t="s">
        <v>804</v>
      </c>
      <c r="AN5" t="s">
        <v>913</v>
      </c>
      <c r="AO5" t="s">
        <v>182</v>
      </c>
      <c r="AP5">
        <v>8</v>
      </c>
      <c r="AQ5">
        <v>58</v>
      </c>
      <c r="AR5">
        <v>777</v>
      </c>
      <c r="AS5">
        <v>8</v>
      </c>
      <c r="AT5">
        <v>125.7</v>
      </c>
      <c r="AV5" t="s">
        <v>804</v>
      </c>
      <c r="AW5" t="s">
        <v>914</v>
      </c>
      <c r="AX5" t="s">
        <v>182</v>
      </c>
      <c r="AY5">
        <v>8</v>
      </c>
      <c r="AZ5">
        <v>33</v>
      </c>
      <c r="BA5">
        <v>36</v>
      </c>
      <c r="BB5">
        <v>0.91700000000000004</v>
      </c>
      <c r="BC5">
        <v>43</v>
      </c>
      <c r="BD5">
        <v>43</v>
      </c>
      <c r="BE5">
        <v>142</v>
      </c>
      <c r="BG5" t="s">
        <v>804</v>
      </c>
      <c r="BH5" t="s">
        <v>121</v>
      </c>
      <c r="BI5">
        <v>4</v>
      </c>
      <c r="BJ5">
        <v>46</v>
      </c>
      <c r="BK5">
        <v>10</v>
      </c>
      <c r="BL5">
        <v>14</v>
      </c>
      <c r="BM5">
        <v>4</v>
      </c>
      <c r="BN5">
        <v>367</v>
      </c>
      <c r="BO5">
        <v>238.3</v>
      </c>
      <c r="BP5">
        <v>107.6</v>
      </c>
      <c r="BQ5">
        <v>1</v>
      </c>
      <c r="BR5">
        <v>2</v>
      </c>
      <c r="BS5">
        <v>108</v>
      </c>
      <c r="BU5">
        <v>3</v>
      </c>
      <c r="BV5" t="s">
        <v>0</v>
      </c>
      <c r="BW5" t="s">
        <v>910</v>
      </c>
      <c r="BX5" t="s">
        <v>915</v>
      </c>
      <c r="BY5">
        <v>48</v>
      </c>
    </row>
    <row r="6" spans="1:77" ht="12.75" customHeight="1">
      <c r="A6" s="33" t="s">
        <v>804</v>
      </c>
      <c r="B6" s="33" t="s">
        <v>916</v>
      </c>
      <c r="C6" s="33" t="s">
        <v>172</v>
      </c>
      <c r="D6" s="33">
        <v>7</v>
      </c>
      <c r="E6" s="33">
        <v>333</v>
      </c>
      <c r="F6" s="33">
        <v>528</v>
      </c>
      <c r="G6" s="33">
        <v>4175</v>
      </c>
      <c r="H6" s="33">
        <v>29</v>
      </c>
      <c r="I6" s="33">
        <v>11</v>
      </c>
      <c r="J6" s="33">
        <v>82</v>
      </c>
      <c r="K6" s="33">
        <v>313</v>
      </c>
      <c r="L6" s="33">
        <v>3</v>
      </c>
      <c r="M6" s="33">
        <v>374.1</v>
      </c>
      <c r="N6" s="33"/>
      <c r="O6" s="33" t="s">
        <v>804</v>
      </c>
      <c r="P6" s="33" t="s">
        <v>917</v>
      </c>
      <c r="Q6" s="33" t="s">
        <v>109</v>
      </c>
      <c r="R6" s="33">
        <v>9</v>
      </c>
      <c r="S6" s="33">
        <v>265</v>
      </c>
      <c r="T6" s="33">
        <v>1220</v>
      </c>
      <c r="U6" s="33">
        <v>7</v>
      </c>
      <c r="V6" s="33">
        <v>70</v>
      </c>
      <c r="W6" s="33">
        <v>545</v>
      </c>
      <c r="X6" s="33">
        <v>2</v>
      </c>
      <c r="Y6" s="33">
        <v>230.5</v>
      </c>
      <c r="AA6" t="s">
        <v>804</v>
      </c>
      <c r="AB6" t="s">
        <v>918</v>
      </c>
      <c r="AC6" t="s">
        <v>119</v>
      </c>
      <c r="AD6">
        <v>11</v>
      </c>
      <c r="AE6">
        <v>89</v>
      </c>
      <c r="AF6">
        <v>1226</v>
      </c>
      <c r="AG6">
        <v>12</v>
      </c>
      <c r="AH6">
        <v>0</v>
      </c>
      <c r="AI6">
        <v>0</v>
      </c>
      <c r="AJ6">
        <v>0</v>
      </c>
      <c r="AK6">
        <v>194.6</v>
      </c>
      <c r="AM6" t="s">
        <v>804</v>
      </c>
      <c r="AN6" t="s">
        <v>919</v>
      </c>
      <c r="AO6" t="s">
        <v>154</v>
      </c>
      <c r="AP6">
        <v>10</v>
      </c>
      <c r="AQ6">
        <v>52</v>
      </c>
      <c r="AR6">
        <v>737</v>
      </c>
      <c r="AS6">
        <v>8</v>
      </c>
      <c r="AT6">
        <v>121.7</v>
      </c>
      <c r="AV6" t="s">
        <v>804</v>
      </c>
      <c r="AW6" t="s">
        <v>920</v>
      </c>
      <c r="AX6" t="s">
        <v>99</v>
      </c>
      <c r="AY6">
        <v>11</v>
      </c>
      <c r="AZ6">
        <v>35</v>
      </c>
      <c r="BA6">
        <v>38</v>
      </c>
      <c r="BB6">
        <v>0.92100000000000004</v>
      </c>
      <c r="BC6">
        <v>36</v>
      </c>
      <c r="BD6">
        <v>36</v>
      </c>
      <c r="BE6">
        <v>141</v>
      </c>
      <c r="BG6" t="s">
        <v>804</v>
      </c>
      <c r="BH6" t="s">
        <v>81</v>
      </c>
      <c r="BI6">
        <v>4</v>
      </c>
      <c r="BJ6">
        <v>45</v>
      </c>
      <c r="BK6">
        <v>11</v>
      </c>
      <c r="BL6">
        <v>18</v>
      </c>
      <c r="BM6">
        <v>4</v>
      </c>
      <c r="BN6">
        <v>331</v>
      </c>
      <c r="BO6">
        <v>239</v>
      </c>
      <c r="BP6">
        <v>94.4</v>
      </c>
      <c r="BQ6">
        <v>1</v>
      </c>
      <c r="BR6">
        <v>1</v>
      </c>
      <c r="BS6">
        <v>106</v>
      </c>
      <c r="BU6">
        <v>4</v>
      </c>
      <c r="BV6" t="s">
        <v>2</v>
      </c>
      <c r="BW6" t="s">
        <v>905</v>
      </c>
      <c r="BX6" t="s">
        <v>172</v>
      </c>
      <c r="BY6">
        <v>48</v>
      </c>
    </row>
    <row r="7" spans="1:77" ht="12.75" customHeight="1">
      <c r="A7" s="33" t="s">
        <v>804</v>
      </c>
      <c r="B7" s="33" t="s">
        <v>921</v>
      </c>
      <c r="C7" s="33" t="s">
        <v>106</v>
      </c>
      <c r="D7" s="33">
        <v>12</v>
      </c>
      <c r="E7" s="33">
        <v>275</v>
      </c>
      <c r="F7" s="33">
        <v>459</v>
      </c>
      <c r="G7" s="33">
        <v>3350</v>
      </c>
      <c r="H7" s="33">
        <v>22</v>
      </c>
      <c r="I7" s="33">
        <v>13</v>
      </c>
      <c r="J7" s="33">
        <v>122</v>
      </c>
      <c r="K7" s="33">
        <v>672</v>
      </c>
      <c r="L7" s="33">
        <v>7</v>
      </c>
      <c r="M7" s="33">
        <v>364.7</v>
      </c>
      <c r="N7" s="33"/>
      <c r="O7" s="33" t="s">
        <v>804</v>
      </c>
      <c r="P7" s="33" t="s">
        <v>922</v>
      </c>
      <c r="Q7" s="33" t="s">
        <v>139</v>
      </c>
      <c r="R7" s="33">
        <v>11</v>
      </c>
      <c r="S7" s="33">
        <v>253</v>
      </c>
      <c r="T7" s="33">
        <v>1139</v>
      </c>
      <c r="U7" s="33">
        <v>9</v>
      </c>
      <c r="V7" s="33">
        <v>49</v>
      </c>
      <c r="W7" s="33">
        <v>385</v>
      </c>
      <c r="X7" s="33">
        <v>2</v>
      </c>
      <c r="Y7" s="33">
        <v>218.4</v>
      </c>
      <c r="AA7" t="s">
        <v>804</v>
      </c>
      <c r="AB7" t="s">
        <v>923</v>
      </c>
      <c r="AC7" t="s">
        <v>112</v>
      </c>
      <c r="AD7">
        <v>4</v>
      </c>
      <c r="AE7">
        <v>93</v>
      </c>
      <c r="AF7">
        <v>1307</v>
      </c>
      <c r="AG7">
        <v>10</v>
      </c>
      <c r="AH7">
        <v>0</v>
      </c>
      <c r="AI7">
        <v>0</v>
      </c>
      <c r="AJ7">
        <v>0</v>
      </c>
      <c r="AK7">
        <v>190.7</v>
      </c>
      <c r="AM7" t="s">
        <v>804</v>
      </c>
      <c r="AN7" t="s">
        <v>924</v>
      </c>
      <c r="AO7" t="s">
        <v>115</v>
      </c>
      <c r="AP7">
        <v>4</v>
      </c>
      <c r="AQ7">
        <v>75</v>
      </c>
      <c r="AR7">
        <v>845</v>
      </c>
      <c r="AS7">
        <v>6</v>
      </c>
      <c r="AT7">
        <v>120.5</v>
      </c>
      <c r="AV7" t="s">
        <v>804</v>
      </c>
      <c r="AW7" t="s">
        <v>925</v>
      </c>
      <c r="AX7" t="s">
        <v>135</v>
      </c>
      <c r="AY7">
        <v>10</v>
      </c>
      <c r="AZ7">
        <v>33</v>
      </c>
      <c r="BA7">
        <v>38</v>
      </c>
      <c r="BB7">
        <v>0.86799999999999999</v>
      </c>
      <c r="BC7">
        <v>41</v>
      </c>
      <c r="BD7">
        <v>41</v>
      </c>
      <c r="BE7">
        <v>140</v>
      </c>
      <c r="BG7" t="s">
        <v>804</v>
      </c>
      <c r="BH7" t="s">
        <v>108</v>
      </c>
      <c r="BI7">
        <v>9</v>
      </c>
      <c r="BJ7">
        <v>36</v>
      </c>
      <c r="BK7">
        <v>14</v>
      </c>
      <c r="BL7">
        <v>19</v>
      </c>
      <c r="BM7">
        <v>5</v>
      </c>
      <c r="BN7">
        <v>405</v>
      </c>
      <c r="BO7">
        <v>240</v>
      </c>
      <c r="BP7">
        <v>138.1</v>
      </c>
      <c r="BQ7">
        <v>0</v>
      </c>
      <c r="BR7">
        <v>1</v>
      </c>
      <c r="BS7">
        <v>105</v>
      </c>
      <c r="BU7">
        <v>5</v>
      </c>
      <c r="BV7" t="s">
        <v>3</v>
      </c>
      <c r="BW7" t="s">
        <v>906</v>
      </c>
      <c r="BX7" t="s">
        <v>125</v>
      </c>
      <c r="BY7">
        <v>45</v>
      </c>
    </row>
    <row r="8" spans="1:77" ht="12.75" customHeight="1">
      <c r="A8" s="33" t="s">
        <v>804</v>
      </c>
      <c r="B8" s="33" t="s">
        <v>926</v>
      </c>
      <c r="C8" s="33" t="s">
        <v>96</v>
      </c>
      <c r="D8" s="33">
        <v>9</v>
      </c>
      <c r="E8" s="33">
        <v>421</v>
      </c>
      <c r="F8" s="33">
        <v>638</v>
      </c>
      <c r="G8" s="33">
        <v>4720</v>
      </c>
      <c r="H8" s="33">
        <v>28</v>
      </c>
      <c r="I8" s="33">
        <v>16</v>
      </c>
      <c r="J8" s="33">
        <v>22</v>
      </c>
      <c r="K8" s="33">
        <v>76</v>
      </c>
      <c r="L8" s="33">
        <v>1</v>
      </c>
      <c r="M8" s="33">
        <v>361.6</v>
      </c>
      <c r="N8" s="33"/>
      <c r="O8" s="33" t="s">
        <v>804</v>
      </c>
      <c r="P8" s="33" t="s">
        <v>927</v>
      </c>
      <c r="Q8" s="33" t="s">
        <v>119</v>
      </c>
      <c r="R8" s="33">
        <v>11</v>
      </c>
      <c r="S8" s="33">
        <v>237</v>
      </c>
      <c r="T8" s="33">
        <v>1115</v>
      </c>
      <c r="U8" s="33">
        <v>9</v>
      </c>
      <c r="V8" s="33">
        <v>58</v>
      </c>
      <c r="W8" s="33">
        <v>411</v>
      </c>
      <c r="X8" s="33">
        <v>1</v>
      </c>
      <c r="Y8" s="33">
        <v>212.6</v>
      </c>
      <c r="AA8" t="s">
        <v>804</v>
      </c>
      <c r="AB8" t="s">
        <v>928</v>
      </c>
      <c r="AC8" t="s">
        <v>175</v>
      </c>
      <c r="AD8">
        <v>12</v>
      </c>
      <c r="AE8">
        <v>101</v>
      </c>
      <c r="AF8">
        <v>1362</v>
      </c>
      <c r="AG8">
        <v>8</v>
      </c>
      <c r="AH8">
        <v>5</v>
      </c>
      <c r="AI8">
        <v>34</v>
      </c>
      <c r="AJ8">
        <v>0</v>
      </c>
      <c r="AK8">
        <v>187.6</v>
      </c>
      <c r="AM8" t="s">
        <v>804</v>
      </c>
      <c r="AN8" t="s">
        <v>929</v>
      </c>
      <c r="AO8" t="s">
        <v>930</v>
      </c>
      <c r="AP8">
        <v>10</v>
      </c>
      <c r="AQ8">
        <v>68</v>
      </c>
      <c r="AR8">
        <v>785</v>
      </c>
      <c r="AS8">
        <v>7</v>
      </c>
      <c r="AT8">
        <v>120.5</v>
      </c>
      <c r="AV8" t="s">
        <v>804</v>
      </c>
      <c r="AW8" t="s">
        <v>931</v>
      </c>
      <c r="AX8" t="s">
        <v>122</v>
      </c>
      <c r="AY8">
        <v>4</v>
      </c>
      <c r="AZ8">
        <v>24</v>
      </c>
      <c r="BA8">
        <v>27</v>
      </c>
      <c r="BB8">
        <v>0.88900000000000001</v>
      </c>
      <c r="BC8">
        <v>67</v>
      </c>
      <c r="BD8">
        <v>67</v>
      </c>
      <c r="BE8">
        <v>139</v>
      </c>
      <c r="BG8" t="s">
        <v>804</v>
      </c>
      <c r="BH8" t="s">
        <v>189</v>
      </c>
      <c r="BI8">
        <v>4</v>
      </c>
      <c r="BJ8">
        <v>51</v>
      </c>
      <c r="BK8">
        <v>11</v>
      </c>
      <c r="BL8">
        <v>13</v>
      </c>
      <c r="BM8">
        <v>4</v>
      </c>
      <c r="BN8">
        <v>359</v>
      </c>
      <c r="BO8">
        <v>245</v>
      </c>
      <c r="BP8">
        <v>111.1</v>
      </c>
      <c r="BQ8">
        <v>1</v>
      </c>
      <c r="BR8">
        <v>0</v>
      </c>
      <c r="BS8">
        <v>101</v>
      </c>
      <c r="BU8">
        <v>6</v>
      </c>
      <c r="BV8" t="s">
        <v>0</v>
      </c>
      <c r="BW8" t="s">
        <v>932</v>
      </c>
      <c r="BX8" t="s">
        <v>933</v>
      </c>
      <c r="BY8">
        <v>40</v>
      </c>
    </row>
    <row r="9" spans="1:77" ht="12.75" customHeight="1">
      <c r="A9" s="33" t="s">
        <v>804</v>
      </c>
      <c r="B9" s="33" t="s">
        <v>934</v>
      </c>
      <c r="C9" s="33" t="s">
        <v>135</v>
      </c>
      <c r="D9" s="33">
        <v>10</v>
      </c>
      <c r="E9" s="33">
        <v>360</v>
      </c>
      <c r="F9" s="33">
        <v>599</v>
      </c>
      <c r="G9" s="33">
        <v>4255</v>
      </c>
      <c r="H9" s="33">
        <v>25</v>
      </c>
      <c r="I9" s="33">
        <v>12</v>
      </c>
      <c r="J9" s="33">
        <v>62</v>
      </c>
      <c r="K9" s="33">
        <v>299</v>
      </c>
      <c r="L9" s="33">
        <v>3</v>
      </c>
      <c r="M9" s="33">
        <v>360.7</v>
      </c>
      <c r="N9" s="33"/>
      <c r="O9" s="33" t="s">
        <v>804</v>
      </c>
      <c r="P9" s="33" t="s">
        <v>935</v>
      </c>
      <c r="Q9" s="33" t="s">
        <v>122</v>
      </c>
      <c r="R9" s="33">
        <v>4</v>
      </c>
      <c r="S9" s="33">
        <v>251</v>
      </c>
      <c r="T9" s="33">
        <v>1106</v>
      </c>
      <c r="U9" s="33">
        <v>9</v>
      </c>
      <c r="V9" s="33">
        <v>43</v>
      </c>
      <c r="W9" s="33">
        <v>335</v>
      </c>
      <c r="X9" s="33">
        <v>2</v>
      </c>
      <c r="Y9" s="33">
        <v>210.1</v>
      </c>
      <c r="AA9" t="s">
        <v>804</v>
      </c>
      <c r="AB9" t="s">
        <v>936</v>
      </c>
      <c r="AC9" t="s">
        <v>109</v>
      </c>
      <c r="AD9">
        <v>9</v>
      </c>
      <c r="AE9">
        <v>91</v>
      </c>
      <c r="AF9">
        <v>1174</v>
      </c>
      <c r="AG9">
        <v>10</v>
      </c>
      <c r="AH9">
        <v>0</v>
      </c>
      <c r="AI9">
        <v>0</v>
      </c>
      <c r="AJ9">
        <v>0</v>
      </c>
      <c r="AK9">
        <v>177.4</v>
      </c>
      <c r="AM9" t="s">
        <v>804</v>
      </c>
      <c r="AN9" t="s">
        <v>937</v>
      </c>
      <c r="AO9" t="s">
        <v>106</v>
      </c>
      <c r="AP9">
        <v>12</v>
      </c>
      <c r="AQ9">
        <v>71</v>
      </c>
      <c r="AR9">
        <v>814</v>
      </c>
      <c r="AS9">
        <v>6</v>
      </c>
      <c r="AT9">
        <v>117.4</v>
      </c>
      <c r="AV9" t="s">
        <v>804</v>
      </c>
      <c r="AW9" t="s">
        <v>938</v>
      </c>
      <c r="AX9" t="s">
        <v>185</v>
      </c>
      <c r="AY9">
        <v>4</v>
      </c>
      <c r="AZ9">
        <v>31</v>
      </c>
      <c r="BA9">
        <v>35</v>
      </c>
      <c r="BB9">
        <v>0.88600000000000001</v>
      </c>
      <c r="BC9">
        <v>45</v>
      </c>
      <c r="BD9">
        <v>45</v>
      </c>
      <c r="BE9">
        <v>138</v>
      </c>
      <c r="BG9" t="s">
        <v>804</v>
      </c>
      <c r="BH9" t="s">
        <v>153</v>
      </c>
      <c r="BI9">
        <v>10</v>
      </c>
      <c r="BJ9">
        <v>45</v>
      </c>
      <c r="BK9">
        <v>12</v>
      </c>
      <c r="BL9">
        <v>18</v>
      </c>
      <c r="BM9">
        <v>3</v>
      </c>
      <c r="BN9">
        <v>347</v>
      </c>
      <c r="BO9">
        <v>254.8</v>
      </c>
      <c r="BP9">
        <v>125.3</v>
      </c>
      <c r="BQ9">
        <v>1</v>
      </c>
      <c r="BR9">
        <v>1</v>
      </c>
      <c r="BS9">
        <v>101</v>
      </c>
      <c r="BU9">
        <v>7</v>
      </c>
      <c r="BV9" t="s">
        <v>0</v>
      </c>
      <c r="BW9" t="s">
        <v>904</v>
      </c>
      <c r="BX9" t="s">
        <v>939</v>
      </c>
      <c r="BY9">
        <v>39</v>
      </c>
    </row>
    <row r="10" spans="1:77" ht="12.75" customHeight="1">
      <c r="A10" s="33" t="s">
        <v>804</v>
      </c>
      <c r="B10" s="33" t="s">
        <v>940</v>
      </c>
      <c r="C10" s="33" t="s">
        <v>125</v>
      </c>
      <c r="D10" s="33">
        <v>9</v>
      </c>
      <c r="E10" s="33">
        <v>375</v>
      </c>
      <c r="F10" s="33">
        <v>626</v>
      </c>
      <c r="G10" s="33">
        <v>4504</v>
      </c>
      <c r="H10" s="33">
        <v>28</v>
      </c>
      <c r="I10" s="33">
        <v>16</v>
      </c>
      <c r="J10" s="33">
        <v>23</v>
      </c>
      <c r="K10" s="33">
        <v>69</v>
      </c>
      <c r="L10" s="33">
        <v>1</v>
      </c>
      <c r="M10" s="33">
        <v>350.1</v>
      </c>
      <c r="N10" s="33"/>
      <c r="O10" s="33" t="s">
        <v>804</v>
      </c>
      <c r="P10" s="33" t="s">
        <v>941</v>
      </c>
      <c r="Q10" s="33" t="s">
        <v>185</v>
      </c>
      <c r="R10" s="33">
        <v>4</v>
      </c>
      <c r="S10" s="33">
        <v>269</v>
      </c>
      <c r="T10" s="33">
        <v>1184</v>
      </c>
      <c r="U10" s="33">
        <v>10</v>
      </c>
      <c r="V10" s="33">
        <v>29</v>
      </c>
      <c r="W10" s="33">
        <v>222</v>
      </c>
      <c r="X10" s="33">
        <v>1</v>
      </c>
      <c r="Y10" s="33">
        <v>206.6</v>
      </c>
      <c r="AA10" t="s">
        <v>804</v>
      </c>
      <c r="AB10" t="s">
        <v>942</v>
      </c>
      <c r="AC10" t="s">
        <v>109</v>
      </c>
      <c r="AD10">
        <v>9</v>
      </c>
      <c r="AE10">
        <v>79</v>
      </c>
      <c r="AF10">
        <v>1197</v>
      </c>
      <c r="AG10">
        <v>8</v>
      </c>
      <c r="AH10">
        <v>11</v>
      </c>
      <c r="AI10">
        <v>77</v>
      </c>
      <c r="AJ10">
        <v>0</v>
      </c>
      <c r="AK10">
        <v>175.4</v>
      </c>
      <c r="AM10" t="s">
        <v>804</v>
      </c>
      <c r="AN10" t="s">
        <v>943</v>
      </c>
      <c r="AO10" t="s">
        <v>150</v>
      </c>
      <c r="AP10">
        <v>10</v>
      </c>
      <c r="AQ10">
        <v>70</v>
      </c>
      <c r="AR10">
        <v>745</v>
      </c>
      <c r="AS10">
        <v>6</v>
      </c>
      <c r="AT10">
        <v>110.5</v>
      </c>
      <c r="AV10" t="s">
        <v>804</v>
      </c>
      <c r="AW10" t="s">
        <v>944</v>
      </c>
      <c r="AX10" t="s">
        <v>150</v>
      </c>
      <c r="AY10">
        <v>10</v>
      </c>
      <c r="AZ10">
        <v>32</v>
      </c>
      <c r="BA10">
        <v>35</v>
      </c>
      <c r="BB10">
        <v>0.91400000000000003</v>
      </c>
      <c r="BC10">
        <v>39</v>
      </c>
      <c r="BD10">
        <v>39</v>
      </c>
      <c r="BE10">
        <v>135</v>
      </c>
      <c r="BG10" t="s">
        <v>804</v>
      </c>
      <c r="BH10" t="s">
        <v>174</v>
      </c>
      <c r="BI10">
        <v>12</v>
      </c>
      <c r="BJ10">
        <v>40</v>
      </c>
      <c r="BK10">
        <v>10</v>
      </c>
      <c r="BL10">
        <v>13</v>
      </c>
      <c r="BM10">
        <v>4</v>
      </c>
      <c r="BN10">
        <v>356</v>
      </c>
      <c r="BO10">
        <v>218.4</v>
      </c>
      <c r="BP10">
        <v>109.8</v>
      </c>
      <c r="BQ10">
        <v>0</v>
      </c>
      <c r="BR10">
        <v>2</v>
      </c>
      <c r="BS10">
        <v>99</v>
      </c>
      <c r="BU10">
        <v>8</v>
      </c>
      <c r="BV10" t="s">
        <v>2</v>
      </c>
      <c r="BW10" t="s">
        <v>945</v>
      </c>
      <c r="BX10" t="s">
        <v>198</v>
      </c>
      <c r="BY10">
        <v>37</v>
      </c>
    </row>
    <row r="11" spans="1:77" ht="12.75" customHeight="1">
      <c r="A11" s="33" t="s">
        <v>804</v>
      </c>
      <c r="B11" s="33" t="s">
        <v>946</v>
      </c>
      <c r="C11" s="33" t="s">
        <v>930</v>
      </c>
      <c r="D11" s="33">
        <v>10</v>
      </c>
      <c r="E11" s="33">
        <v>293</v>
      </c>
      <c r="F11" s="33">
        <v>473</v>
      </c>
      <c r="G11" s="33">
        <v>3642</v>
      </c>
      <c r="H11" s="33">
        <v>21</v>
      </c>
      <c r="I11" s="33">
        <v>14</v>
      </c>
      <c r="J11" s="33">
        <v>99</v>
      </c>
      <c r="K11" s="33">
        <v>572</v>
      </c>
      <c r="L11" s="33">
        <v>4</v>
      </c>
      <c r="M11" s="33">
        <v>347.3</v>
      </c>
      <c r="N11" s="33"/>
      <c r="O11" s="33" t="s">
        <v>804</v>
      </c>
      <c r="P11" s="33" t="s">
        <v>947</v>
      </c>
      <c r="Q11" s="33" t="s">
        <v>128</v>
      </c>
      <c r="R11" s="33">
        <v>9</v>
      </c>
      <c r="S11" s="33">
        <v>252</v>
      </c>
      <c r="T11" s="33">
        <v>1110</v>
      </c>
      <c r="U11" s="33">
        <v>10</v>
      </c>
      <c r="V11" s="33">
        <v>42</v>
      </c>
      <c r="W11" s="33">
        <v>296</v>
      </c>
      <c r="X11" s="33">
        <v>1</v>
      </c>
      <c r="Y11" s="33">
        <v>206.6</v>
      </c>
      <c r="AA11" t="s">
        <v>804</v>
      </c>
      <c r="AB11" t="s">
        <v>948</v>
      </c>
      <c r="AC11" t="s">
        <v>128</v>
      </c>
      <c r="AD11">
        <v>9</v>
      </c>
      <c r="AE11">
        <v>78</v>
      </c>
      <c r="AF11">
        <v>1159</v>
      </c>
      <c r="AG11">
        <v>9</v>
      </c>
      <c r="AH11">
        <v>0</v>
      </c>
      <c r="AI11">
        <v>0</v>
      </c>
      <c r="AJ11">
        <v>0</v>
      </c>
      <c r="AK11">
        <v>169.9</v>
      </c>
      <c r="AM11" t="s">
        <v>804</v>
      </c>
      <c r="AN11" t="s">
        <v>949</v>
      </c>
      <c r="AO11" t="s">
        <v>119</v>
      </c>
      <c r="AP11">
        <v>11</v>
      </c>
      <c r="AQ11">
        <v>68</v>
      </c>
      <c r="AR11">
        <v>744</v>
      </c>
      <c r="AS11">
        <v>6</v>
      </c>
      <c r="AT11">
        <v>110.4</v>
      </c>
      <c r="AV11" t="s">
        <v>804</v>
      </c>
      <c r="AW11" t="s">
        <v>950</v>
      </c>
      <c r="AX11" t="s">
        <v>119</v>
      </c>
      <c r="AY11">
        <v>11</v>
      </c>
      <c r="AZ11">
        <v>29</v>
      </c>
      <c r="BA11">
        <v>31</v>
      </c>
      <c r="BB11">
        <v>0.93500000000000005</v>
      </c>
      <c r="BC11">
        <v>46</v>
      </c>
      <c r="BD11">
        <v>46</v>
      </c>
      <c r="BE11">
        <v>133</v>
      </c>
      <c r="BG11" t="s">
        <v>804</v>
      </c>
      <c r="BH11" t="s">
        <v>181</v>
      </c>
      <c r="BI11">
        <v>8</v>
      </c>
      <c r="BJ11">
        <v>38</v>
      </c>
      <c r="BK11">
        <v>11</v>
      </c>
      <c r="BL11">
        <v>17</v>
      </c>
      <c r="BM11">
        <v>4</v>
      </c>
      <c r="BN11">
        <v>285</v>
      </c>
      <c r="BO11">
        <v>230.1</v>
      </c>
      <c r="BP11">
        <v>96.8</v>
      </c>
      <c r="BQ11">
        <v>1</v>
      </c>
      <c r="BR11">
        <v>1</v>
      </c>
      <c r="BS11">
        <v>98</v>
      </c>
      <c r="BU11">
        <v>9</v>
      </c>
      <c r="BV11" t="s">
        <v>0</v>
      </c>
      <c r="BW11" t="s">
        <v>940</v>
      </c>
      <c r="BX11" t="s">
        <v>125</v>
      </c>
      <c r="BY11">
        <v>34</v>
      </c>
    </row>
    <row r="12" spans="1:77" ht="12.75" customHeight="1">
      <c r="A12" s="33" t="s">
        <v>804</v>
      </c>
      <c r="B12" s="33" t="s">
        <v>951</v>
      </c>
      <c r="C12" s="33" t="s">
        <v>182</v>
      </c>
      <c r="D12" s="33">
        <v>8</v>
      </c>
      <c r="E12" s="33">
        <v>280</v>
      </c>
      <c r="F12" s="33">
        <v>474</v>
      </c>
      <c r="G12" s="33">
        <v>3558</v>
      </c>
      <c r="H12" s="33">
        <v>23</v>
      </c>
      <c r="I12" s="33">
        <v>11</v>
      </c>
      <c r="J12" s="33">
        <v>92</v>
      </c>
      <c r="K12" s="33">
        <v>549</v>
      </c>
      <c r="L12" s="33">
        <v>3</v>
      </c>
      <c r="M12" s="33">
        <v>342.8</v>
      </c>
      <c r="N12" s="33"/>
      <c r="O12" s="33" t="s">
        <v>804</v>
      </c>
      <c r="P12" s="33" t="s">
        <v>952</v>
      </c>
      <c r="Q12" s="33" t="s">
        <v>175</v>
      </c>
      <c r="R12" s="33">
        <v>12</v>
      </c>
      <c r="S12" s="33">
        <v>257</v>
      </c>
      <c r="T12" s="33">
        <v>1080</v>
      </c>
      <c r="U12" s="33">
        <v>7</v>
      </c>
      <c r="V12" s="33">
        <v>57</v>
      </c>
      <c r="W12" s="33">
        <v>436</v>
      </c>
      <c r="X12" s="33">
        <v>2</v>
      </c>
      <c r="Y12" s="33">
        <v>205.6</v>
      </c>
      <c r="AA12" t="s">
        <v>804</v>
      </c>
      <c r="AB12" t="s">
        <v>953</v>
      </c>
      <c r="AC12" t="s">
        <v>185</v>
      </c>
      <c r="AD12">
        <v>4</v>
      </c>
      <c r="AE12">
        <v>94</v>
      </c>
      <c r="AF12">
        <v>1067</v>
      </c>
      <c r="AG12">
        <v>7</v>
      </c>
      <c r="AH12">
        <v>24</v>
      </c>
      <c r="AI12">
        <v>145</v>
      </c>
      <c r="AJ12">
        <v>1</v>
      </c>
      <c r="AK12">
        <v>169.2</v>
      </c>
      <c r="AM12" t="s">
        <v>804</v>
      </c>
      <c r="AN12" t="s">
        <v>954</v>
      </c>
      <c r="AO12" t="s">
        <v>99</v>
      </c>
      <c r="AP12">
        <v>11</v>
      </c>
      <c r="AQ12">
        <v>63</v>
      </c>
      <c r="AR12">
        <v>685</v>
      </c>
      <c r="AS12">
        <v>6</v>
      </c>
      <c r="AT12">
        <v>104.5</v>
      </c>
      <c r="AV12" t="s">
        <v>804</v>
      </c>
      <c r="AW12" t="s">
        <v>955</v>
      </c>
      <c r="AX12" t="s">
        <v>178</v>
      </c>
      <c r="AY12">
        <v>10</v>
      </c>
      <c r="AZ12">
        <v>31</v>
      </c>
      <c r="BA12">
        <v>33</v>
      </c>
      <c r="BB12">
        <v>0.93899999999999995</v>
      </c>
      <c r="BC12">
        <v>39</v>
      </c>
      <c r="BD12">
        <v>39</v>
      </c>
      <c r="BE12">
        <v>132</v>
      </c>
      <c r="BG12" t="s">
        <v>804</v>
      </c>
      <c r="BH12" t="s">
        <v>141</v>
      </c>
      <c r="BI12">
        <v>6</v>
      </c>
      <c r="BJ12">
        <v>40</v>
      </c>
      <c r="BK12">
        <v>9</v>
      </c>
      <c r="BL12">
        <v>13</v>
      </c>
      <c r="BM12">
        <v>3</v>
      </c>
      <c r="BN12">
        <v>387</v>
      </c>
      <c r="BO12">
        <v>240.9</v>
      </c>
      <c r="BP12">
        <v>135.9</v>
      </c>
      <c r="BQ12">
        <v>0</v>
      </c>
      <c r="BR12">
        <v>3</v>
      </c>
      <c r="BS12">
        <v>98</v>
      </c>
      <c r="BU12">
        <v>10</v>
      </c>
      <c r="BV12" t="s">
        <v>0</v>
      </c>
      <c r="BW12" t="s">
        <v>921</v>
      </c>
      <c r="BX12" t="s">
        <v>106</v>
      </c>
      <c r="BY12">
        <v>34</v>
      </c>
    </row>
    <row r="13" spans="1:77" ht="12.75" customHeight="1">
      <c r="A13" s="33" t="s">
        <v>804</v>
      </c>
      <c r="B13" s="33" t="s">
        <v>932</v>
      </c>
      <c r="C13" s="33" t="s">
        <v>154</v>
      </c>
      <c r="D13" s="33">
        <v>10</v>
      </c>
      <c r="E13" s="33">
        <v>388</v>
      </c>
      <c r="F13" s="33">
        <v>625</v>
      </c>
      <c r="G13" s="33">
        <v>4441</v>
      </c>
      <c r="H13" s="33">
        <v>28</v>
      </c>
      <c r="I13" s="33">
        <v>12</v>
      </c>
      <c r="J13" s="33">
        <v>13</v>
      </c>
      <c r="K13" s="33">
        <v>22</v>
      </c>
      <c r="L13" s="33">
        <v>0</v>
      </c>
      <c r="M13" s="33">
        <v>336.3</v>
      </c>
      <c r="N13" s="33"/>
      <c r="O13" s="33" t="s">
        <v>804</v>
      </c>
      <c r="P13" s="33" t="s">
        <v>956</v>
      </c>
      <c r="Q13" s="33" t="s">
        <v>190</v>
      </c>
      <c r="R13" s="33">
        <v>4</v>
      </c>
      <c r="S13" s="33">
        <v>290</v>
      </c>
      <c r="T13" s="33">
        <v>1159</v>
      </c>
      <c r="U13" s="33">
        <v>10</v>
      </c>
      <c r="V13" s="33">
        <v>33</v>
      </c>
      <c r="W13" s="33">
        <v>214</v>
      </c>
      <c r="X13" s="33">
        <v>1</v>
      </c>
      <c r="Y13" s="33">
        <v>203.3</v>
      </c>
      <c r="AA13" t="s">
        <v>804</v>
      </c>
      <c r="AB13" t="s">
        <v>957</v>
      </c>
      <c r="AC13" t="s">
        <v>161</v>
      </c>
      <c r="AD13">
        <v>8</v>
      </c>
      <c r="AE13">
        <v>95</v>
      </c>
      <c r="AF13">
        <v>1226</v>
      </c>
      <c r="AG13">
        <v>7</v>
      </c>
      <c r="AH13">
        <v>0</v>
      </c>
      <c r="AI13">
        <v>0</v>
      </c>
      <c r="AJ13">
        <v>0</v>
      </c>
      <c r="AK13">
        <v>164.6</v>
      </c>
      <c r="AM13" t="s">
        <v>804</v>
      </c>
      <c r="AN13" t="s">
        <v>958</v>
      </c>
      <c r="AO13" t="s">
        <v>109</v>
      </c>
      <c r="AP13">
        <v>9</v>
      </c>
      <c r="AQ13">
        <v>68</v>
      </c>
      <c r="AR13">
        <v>712</v>
      </c>
      <c r="AS13">
        <v>5</v>
      </c>
      <c r="AT13">
        <v>101.2</v>
      </c>
      <c r="AV13" t="s">
        <v>804</v>
      </c>
      <c r="AW13" t="s">
        <v>959</v>
      </c>
      <c r="AX13" t="s">
        <v>158</v>
      </c>
      <c r="AY13">
        <v>6</v>
      </c>
      <c r="AZ13">
        <v>25</v>
      </c>
      <c r="BA13">
        <v>29</v>
      </c>
      <c r="BB13">
        <v>0.86199999999999999</v>
      </c>
      <c r="BC13">
        <v>55</v>
      </c>
      <c r="BD13">
        <v>55</v>
      </c>
      <c r="BE13">
        <v>130</v>
      </c>
      <c r="BG13" t="s">
        <v>804</v>
      </c>
      <c r="BH13" t="s">
        <v>127</v>
      </c>
      <c r="BI13">
        <v>9</v>
      </c>
      <c r="BJ13">
        <v>46</v>
      </c>
      <c r="BK13">
        <v>13</v>
      </c>
      <c r="BL13">
        <v>14</v>
      </c>
      <c r="BM13">
        <v>3</v>
      </c>
      <c r="BN13">
        <v>414</v>
      </c>
      <c r="BO13">
        <v>251.9</v>
      </c>
      <c r="BP13">
        <v>122</v>
      </c>
      <c r="BQ13">
        <v>0</v>
      </c>
      <c r="BR13">
        <v>1</v>
      </c>
      <c r="BS13">
        <v>97</v>
      </c>
      <c r="BU13">
        <v>11</v>
      </c>
      <c r="BV13" t="s">
        <v>2</v>
      </c>
      <c r="BW13" t="s">
        <v>917</v>
      </c>
      <c r="BX13" t="s">
        <v>109</v>
      </c>
      <c r="BY13">
        <v>34</v>
      </c>
    </row>
    <row r="14" spans="1:77" ht="12.75" customHeight="1">
      <c r="A14" s="33" t="s">
        <v>804</v>
      </c>
      <c r="B14" s="33" t="s">
        <v>960</v>
      </c>
      <c r="C14" s="33" t="s">
        <v>185</v>
      </c>
      <c r="D14" s="33">
        <v>4</v>
      </c>
      <c r="E14" s="33">
        <v>268</v>
      </c>
      <c r="F14" s="33">
        <v>425</v>
      </c>
      <c r="G14" s="33">
        <v>3401</v>
      </c>
      <c r="H14" s="33">
        <v>26</v>
      </c>
      <c r="I14" s="33">
        <v>12</v>
      </c>
      <c r="J14" s="33">
        <v>95</v>
      </c>
      <c r="K14" s="33">
        <v>501</v>
      </c>
      <c r="L14" s="33">
        <v>2</v>
      </c>
      <c r="M14" s="33">
        <v>336.2</v>
      </c>
      <c r="N14" s="33"/>
      <c r="O14" s="33" t="s">
        <v>804</v>
      </c>
      <c r="P14" s="33" t="s">
        <v>961</v>
      </c>
      <c r="Q14" s="33" t="s">
        <v>112</v>
      </c>
      <c r="R14" s="33">
        <v>4</v>
      </c>
      <c r="S14" s="33">
        <v>213</v>
      </c>
      <c r="T14" s="33">
        <v>937</v>
      </c>
      <c r="U14" s="33">
        <v>6</v>
      </c>
      <c r="V14" s="33">
        <v>72</v>
      </c>
      <c r="W14" s="33">
        <v>537</v>
      </c>
      <c r="X14" s="33">
        <v>3</v>
      </c>
      <c r="Y14" s="33">
        <v>201.4</v>
      </c>
      <c r="AA14" t="s">
        <v>804</v>
      </c>
      <c r="AB14" t="s">
        <v>962</v>
      </c>
      <c r="AC14" t="s">
        <v>128</v>
      </c>
      <c r="AD14">
        <v>9</v>
      </c>
      <c r="AE14">
        <v>86</v>
      </c>
      <c r="AF14">
        <v>1145</v>
      </c>
      <c r="AG14">
        <v>7</v>
      </c>
      <c r="AH14">
        <v>7</v>
      </c>
      <c r="AI14">
        <v>66</v>
      </c>
      <c r="AJ14">
        <v>0</v>
      </c>
      <c r="AK14">
        <v>163.1</v>
      </c>
      <c r="AM14" t="s">
        <v>804</v>
      </c>
      <c r="AN14" t="s">
        <v>963</v>
      </c>
      <c r="AO14" t="s">
        <v>146</v>
      </c>
      <c r="AP14">
        <v>5</v>
      </c>
      <c r="AQ14">
        <v>62</v>
      </c>
      <c r="AR14">
        <v>707</v>
      </c>
      <c r="AS14">
        <v>5</v>
      </c>
      <c r="AT14">
        <v>100.7</v>
      </c>
      <c r="AV14" t="s">
        <v>804</v>
      </c>
      <c r="AW14" t="s">
        <v>964</v>
      </c>
      <c r="AX14" t="s">
        <v>175</v>
      </c>
      <c r="AY14">
        <v>12</v>
      </c>
      <c r="AZ14">
        <v>29</v>
      </c>
      <c r="BA14">
        <v>32</v>
      </c>
      <c r="BB14">
        <v>0.90600000000000003</v>
      </c>
      <c r="BC14">
        <v>42</v>
      </c>
      <c r="BD14">
        <v>42</v>
      </c>
      <c r="BE14">
        <v>129</v>
      </c>
      <c r="BG14" t="s">
        <v>804</v>
      </c>
      <c r="BH14" t="s">
        <v>134</v>
      </c>
      <c r="BI14">
        <v>10</v>
      </c>
      <c r="BJ14">
        <v>41</v>
      </c>
      <c r="BK14">
        <v>11</v>
      </c>
      <c r="BL14">
        <v>15</v>
      </c>
      <c r="BM14">
        <v>2</v>
      </c>
      <c r="BN14">
        <v>377</v>
      </c>
      <c r="BO14">
        <v>228.4</v>
      </c>
      <c r="BP14">
        <v>121.3</v>
      </c>
      <c r="BQ14">
        <v>0</v>
      </c>
      <c r="BR14">
        <v>3</v>
      </c>
      <c r="BS14">
        <v>97</v>
      </c>
      <c r="BU14">
        <v>12</v>
      </c>
      <c r="BV14" t="s">
        <v>2</v>
      </c>
      <c r="BW14" t="s">
        <v>965</v>
      </c>
      <c r="BX14" t="s">
        <v>168</v>
      </c>
      <c r="BY14">
        <v>34</v>
      </c>
    </row>
    <row r="15" spans="1:77" ht="12.75" customHeight="1">
      <c r="A15" s="33" t="s">
        <v>804</v>
      </c>
      <c r="B15" s="33" t="s">
        <v>966</v>
      </c>
      <c r="C15" s="33" t="s">
        <v>178</v>
      </c>
      <c r="D15" s="33">
        <v>10</v>
      </c>
      <c r="E15" s="33">
        <v>363</v>
      </c>
      <c r="F15" s="33">
        <v>568</v>
      </c>
      <c r="G15" s="33">
        <v>4259</v>
      </c>
      <c r="H15" s="33">
        <v>29</v>
      </c>
      <c r="I15" s="33">
        <v>14</v>
      </c>
      <c r="J15" s="33">
        <v>27</v>
      </c>
      <c r="K15" s="33">
        <v>49</v>
      </c>
      <c r="L15" s="33">
        <v>0</v>
      </c>
      <c r="M15" s="33">
        <v>333.9</v>
      </c>
      <c r="N15" s="33"/>
      <c r="O15" s="33" t="s">
        <v>804</v>
      </c>
      <c r="P15" s="33" t="s">
        <v>903</v>
      </c>
      <c r="Q15" s="33" t="s">
        <v>132</v>
      </c>
      <c r="R15" s="33">
        <v>10</v>
      </c>
      <c r="S15" s="33">
        <v>257</v>
      </c>
      <c r="T15" s="33">
        <v>1104</v>
      </c>
      <c r="U15" s="33">
        <v>7</v>
      </c>
      <c r="V15" s="33">
        <v>56</v>
      </c>
      <c r="W15" s="33">
        <v>385</v>
      </c>
      <c r="X15" s="33">
        <v>1</v>
      </c>
      <c r="Y15" s="33">
        <v>196.9</v>
      </c>
      <c r="AA15" t="s">
        <v>804</v>
      </c>
      <c r="AB15" t="s">
        <v>967</v>
      </c>
      <c r="AC15" t="s">
        <v>178</v>
      </c>
      <c r="AD15">
        <v>10</v>
      </c>
      <c r="AE15">
        <v>81</v>
      </c>
      <c r="AF15">
        <v>1129</v>
      </c>
      <c r="AG15">
        <v>8</v>
      </c>
      <c r="AH15">
        <v>0</v>
      </c>
      <c r="AI15">
        <v>0</v>
      </c>
      <c r="AJ15">
        <v>0</v>
      </c>
      <c r="AK15">
        <v>160.9</v>
      </c>
      <c r="AM15" t="s">
        <v>804</v>
      </c>
      <c r="AN15" t="s">
        <v>968</v>
      </c>
      <c r="AO15" t="s">
        <v>178</v>
      </c>
      <c r="AP15">
        <v>10</v>
      </c>
      <c r="AQ15">
        <v>62</v>
      </c>
      <c r="AR15">
        <v>702</v>
      </c>
      <c r="AS15">
        <v>5</v>
      </c>
      <c r="AT15">
        <v>100.2</v>
      </c>
      <c r="AV15" t="s">
        <v>804</v>
      </c>
      <c r="AW15" t="s">
        <v>969</v>
      </c>
      <c r="AX15" t="s">
        <v>109</v>
      </c>
      <c r="AY15">
        <v>9</v>
      </c>
      <c r="AZ15">
        <v>27</v>
      </c>
      <c r="BA15">
        <v>31</v>
      </c>
      <c r="BB15">
        <v>0.871</v>
      </c>
      <c r="BC15">
        <v>43</v>
      </c>
      <c r="BD15">
        <v>43</v>
      </c>
      <c r="BE15">
        <v>124</v>
      </c>
      <c r="BG15" t="s">
        <v>804</v>
      </c>
      <c r="BH15" t="s">
        <v>105</v>
      </c>
      <c r="BI15">
        <v>12</v>
      </c>
      <c r="BJ15">
        <v>48</v>
      </c>
      <c r="BK15">
        <v>8</v>
      </c>
      <c r="BL15">
        <v>16</v>
      </c>
      <c r="BM15">
        <v>4</v>
      </c>
      <c r="BN15">
        <v>295</v>
      </c>
      <c r="BO15">
        <v>219.4</v>
      </c>
      <c r="BP15">
        <v>92.2</v>
      </c>
      <c r="BQ15">
        <v>0</v>
      </c>
      <c r="BR15">
        <v>0</v>
      </c>
      <c r="BS15">
        <v>96</v>
      </c>
      <c r="BU15">
        <v>13</v>
      </c>
      <c r="BV15" t="s">
        <v>2</v>
      </c>
      <c r="BW15" t="s">
        <v>970</v>
      </c>
      <c r="BX15" t="s">
        <v>971</v>
      </c>
      <c r="BY15">
        <v>33</v>
      </c>
    </row>
    <row r="16" spans="1:77" ht="12.75" customHeight="1">
      <c r="A16" s="33" t="s">
        <v>804</v>
      </c>
      <c r="B16" s="33" t="s">
        <v>972</v>
      </c>
      <c r="C16" s="33" t="s">
        <v>119</v>
      </c>
      <c r="D16" s="33">
        <v>11</v>
      </c>
      <c r="E16" s="33">
        <v>362</v>
      </c>
      <c r="F16" s="33">
        <v>566</v>
      </c>
      <c r="G16" s="33">
        <v>4129</v>
      </c>
      <c r="H16" s="33">
        <v>29</v>
      </c>
      <c r="I16" s="33">
        <v>14</v>
      </c>
      <c r="J16" s="33">
        <v>24</v>
      </c>
      <c r="K16" s="33">
        <v>50</v>
      </c>
      <c r="L16" s="33">
        <v>1</v>
      </c>
      <c r="M16" s="33">
        <v>333.5</v>
      </c>
      <c r="N16" s="33"/>
      <c r="O16" s="33" t="s">
        <v>804</v>
      </c>
      <c r="P16" s="33" t="s">
        <v>973</v>
      </c>
      <c r="Q16" s="33" t="s">
        <v>194</v>
      </c>
      <c r="R16" s="33">
        <v>7</v>
      </c>
      <c r="S16" s="33">
        <v>241</v>
      </c>
      <c r="T16" s="33">
        <v>1085</v>
      </c>
      <c r="U16" s="33">
        <v>7</v>
      </c>
      <c r="V16" s="33">
        <v>41</v>
      </c>
      <c r="W16" s="33">
        <v>317</v>
      </c>
      <c r="X16" s="33">
        <v>2</v>
      </c>
      <c r="Y16" s="33">
        <v>194.2</v>
      </c>
      <c r="AA16" t="s">
        <v>804</v>
      </c>
      <c r="AB16" t="s">
        <v>974</v>
      </c>
      <c r="AC16" t="s">
        <v>194</v>
      </c>
      <c r="AD16">
        <v>7</v>
      </c>
      <c r="AE16">
        <v>71</v>
      </c>
      <c r="AF16">
        <v>1189</v>
      </c>
      <c r="AG16">
        <v>7</v>
      </c>
      <c r="AH16">
        <v>0</v>
      </c>
      <c r="AI16">
        <v>0</v>
      </c>
      <c r="AJ16">
        <v>0</v>
      </c>
      <c r="AK16">
        <v>160.9</v>
      </c>
      <c r="AM16" t="s">
        <v>804</v>
      </c>
      <c r="AN16" t="s">
        <v>975</v>
      </c>
      <c r="AO16" t="s">
        <v>175</v>
      </c>
      <c r="AP16">
        <v>12</v>
      </c>
      <c r="AQ16">
        <v>64</v>
      </c>
      <c r="AR16">
        <v>682</v>
      </c>
      <c r="AS16">
        <v>5</v>
      </c>
      <c r="AT16">
        <v>98.2</v>
      </c>
      <c r="AV16" t="s">
        <v>804</v>
      </c>
      <c r="AW16" t="s">
        <v>976</v>
      </c>
      <c r="AX16" t="s">
        <v>106</v>
      </c>
      <c r="AY16">
        <v>12</v>
      </c>
      <c r="AZ16">
        <v>26</v>
      </c>
      <c r="BA16">
        <v>30</v>
      </c>
      <c r="BB16">
        <v>0.86699999999999999</v>
      </c>
      <c r="BC16">
        <v>43</v>
      </c>
      <c r="BD16">
        <v>43</v>
      </c>
      <c r="BE16">
        <v>121</v>
      </c>
      <c r="BG16" t="s">
        <v>804</v>
      </c>
      <c r="BH16" t="s">
        <v>167</v>
      </c>
      <c r="BI16">
        <v>5</v>
      </c>
      <c r="BJ16">
        <v>42</v>
      </c>
      <c r="BK16">
        <v>14</v>
      </c>
      <c r="BL16">
        <v>13</v>
      </c>
      <c r="BM16">
        <v>3</v>
      </c>
      <c r="BN16">
        <v>385</v>
      </c>
      <c r="BO16">
        <v>234.4</v>
      </c>
      <c r="BP16">
        <v>106.2</v>
      </c>
      <c r="BQ16">
        <v>0</v>
      </c>
      <c r="BR16">
        <v>1</v>
      </c>
      <c r="BS16">
        <v>93</v>
      </c>
      <c r="BU16">
        <v>14</v>
      </c>
      <c r="BV16" t="s">
        <v>16</v>
      </c>
      <c r="BW16" t="s">
        <v>901</v>
      </c>
      <c r="BX16" t="s">
        <v>939</v>
      </c>
      <c r="BY16">
        <v>31</v>
      </c>
    </row>
    <row r="17" spans="1:77" ht="12.75" customHeight="1">
      <c r="A17" s="33" t="s">
        <v>804</v>
      </c>
      <c r="B17" s="33" t="s">
        <v>977</v>
      </c>
      <c r="C17" s="33" t="s">
        <v>109</v>
      </c>
      <c r="D17" s="33">
        <v>9</v>
      </c>
      <c r="E17" s="33">
        <v>327</v>
      </c>
      <c r="F17" s="33">
        <v>545</v>
      </c>
      <c r="G17" s="33">
        <v>3924</v>
      </c>
      <c r="H17" s="33">
        <v>27</v>
      </c>
      <c r="I17" s="33">
        <v>15</v>
      </c>
      <c r="J17" s="33">
        <v>42</v>
      </c>
      <c r="K17" s="33">
        <v>177</v>
      </c>
      <c r="L17" s="33">
        <v>1</v>
      </c>
      <c r="M17" s="33">
        <v>327.9</v>
      </c>
      <c r="N17" s="33"/>
      <c r="O17" s="33" t="s">
        <v>804</v>
      </c>
      <c r="P17" s="33" t="s">
        <v>978</v>
      </c>
      <c r="Q17" s="33" t="s">
        <v>82</v>
      </c>
      <c r="R17" s="33">
        <v>4</v>
      </c>
      <c r="S17" s="33">
        <v>213</v>
      </c>
      <c r="T17" s="33">
        <v>1046</v>
      </c>
      <c r="U17" s="33">
        <v>5</v>
      </c>
      <c r="V17" s="33">
        <v>58</v>
      </c>
      <c r="W17" s="33">
        <v>455</v>
      </c>
      <c r="X17" s="33">
        <v>2</v>
      </c>
      <c r="Y17" s="33">
        <v>192.1</v>
      </c>
      <c r="AA17" t="s">
        <v>804</v>
      </c>
      <c r="AB17" t="s">
        <v>979</v>
      </c>
      <c r="AC17" t="s">
        <v>96</v>
      </c>
      <c r="AD17">
        <v>9</v>
      </c>
      <c r="AE17">
        <v>90</v>
      </c>
      <c r="AF17">
        <v>1179</v>
      </c>
      <c r="AG17">
        <v>7</v>
      </c>
      <c r="AH17">
        <v>0</v>
      </c>
      <c r="AI17">
        <v>0</v>
      </c>
      <c r="AJ17">
        <v>0</v>
      </c>
      <c r="AK17">
        <v>159.9</v>
      </c>
      <c r="AM17" t="s">
        <v>804</v>
      </c>
      <c r="AN17" t="s">
        <v>980</v>
      </c>
      <c r="AO17" t="s">
        <v>172</v>
      </c>
      <c r="AP17">
        <v>7</v>
      </c>
      <c r="AQ17">
        <v>48</v>
      </c>
      <c r="AR17">
        <v>611</v>
      </c>
      <c r="AS17">
        <v>6</v>
      </c>
      <c r="AT17">
        <v>97.1</v>
      </c>
      <c r="AV17" t="s">
        <v>804</v>
      </c>
      <c r="AW17" t="s">
        <v>981</v>
      </c>
      <c r="AX17" t="s">
        <v>102</v>
      </c>
      <c r="AY17">
        <v>9</v>
      </c>
      <c r="AZ17">
        <v>29</v>
      </c>
      <c r="BA17">
        <v>33</v>
      </c>
      <c r="BB17">
        <v>0.879</v>
      </c>
      <c r="BC17">
        <v>34</v>
      </c>
      <c r="BD17">
        <v>34</v>
      </c>
      <c r="BE17">
        <v>121</v>
      </c>
      <c r="BG17" t="s">
        <v>804</v>
      </c>
      <c r="BH17" t="s">
        <v>114</v>
      </c>
      <c r="BI17">
        <v>4</v>
      </c>
      <c r="BJ17">
        <v>41</v>
      </c>
      <c r="BK17">
        <v>9</v>
      </c>
      <c r="BL17">
        <v>16</v>
      </c>
      <c r="BM17">
        <v>3</v>
      </c>
      <c r="BN17">
        <v>387</v>
      </c>
      <c r="BO17">
        <v>232.5</v>
      </c>
      <c r="BP17">
        <v>120</v>
      </c>
      <c r="BQ17">
        <v>0</v>
      </c>
      <c r="BR17">
        <v>1</v>
      </c>
      <c r="BS17">
        <v>90</v>
      </c>
      <c r="BU17">
        <v>15</v>
      </c>
      <c r="BV17" t="s">
        <v>3</v>
      </c>
      <c r="BW17" t="s">
        <v>982</v>
      </c>
      <c r="BX17" t="s">
        <v>82</v>
      </c>
      <c r="BY17">
        <v>31</v>
      </c>
    </row>
    <row r="18" spans="1:77" ht="12.75" customHeight="1">
      <c r="A18" s="33" t="s">
        <v>804</v>
      </c>
      <c r="B18" s="33" t="s">
        <v>983</v>
      </c>
      <c r="C18" s="33" t="s">
        <v>175</v>
      </c>
      <c r="D18" s="33">
        <v>12</v>
      </c>
      <c r="E18" s="33">
        <v>366</v>
      </c>
      <c r="F18" s="33">
        <v>581</v>
      </c>
      <c r="G18" s="33">
        <v>4182</v>
      </c>
      <c r="H18" s="33">
        <v>26</v>
      </c>
      <c r="I18" s="33">
        <v>13</v>
      </c>
      <c r="J18" s="33">
        <v>27</v>
      </c>
      <c r="K18" s="33">
        <v>84</v>
      </c>
      <c r="L18" s="33">
        <v>1</v>
      </c>
      <c r="M18" s="33">
        <v>327.5</v>
      </c>
      <c r="N18" s="33"/>
      <c r="O18" s="33" t="s">
        <v>804</v>
      </c>
      <c r="P18" s="33" t="s">
        <v>984</v>
      </c>
      <c r="Q18" s="33" t="s">
        <v>198</v>
      </c>
      <c r="R18" s="33">
        <v>9</v>
      </c>
      <c r="S18" s="33">
        <v>247</v>
      </c>
      <c r="T18" s="33">
        <v>1060</v>
      </c>
      <c r="U18" s="33">
        <v>7</v>
      </c>
      <c r="V18" s="33">
        <v>44</v>
      </c>
      <c r="W18" s="33">
        <v>314</v>
      </c>
      <c r="X18" s="33">
        <v>2</v>
      </c>
      <c r="Y18" s="33">
        <v>191.4</v>
      </c>
      <c r="AA18" t="s">
        <v>804</v>
      </c>
      <c r="AB18" t="s">
        <v>985</v>
      </c>
      <c r="AC18" t="s">
        <v>82</v>
      </c>
      <c r="AD18">
        <v>4</v>
      </c>
      <c r="AE18">
        <v>77</v>
      </c>
      <c r="AF18">
        <v>1177</v>
      </c>
      <c r="AG18">
        <v>7</v>
      </c>
      <c r="AH18">
        <v>0</v>
      </c>
      <c r="AI18">
        <v>0</v>
      </c>
      <c r="AJ18">
        <v>0</v>
      </c>
      <c r="AK18">
        <v>159.69999999999999</v>
      </c>
      <c r="AM18" t="s">
        <v>804</v>
      </c>
      <c r="AN18" t="s">
        <v>986</v>
      </c>
      <c r="AO18" t="s">
        <v>198</v>
      </c>
      <c r="AP18">
        <v>9</v>
      </c>
      <c r="AQ18">
        <v>61</v>
      </c>
      <c r="AR18">
        <v>636</v>
      </c>
      <c r="AS18">
        <v>5</v>
      </c>
      <c r="AT18">
        <v>93.6</v>
      </c>
      <c r="AV18" t="s">
        <v>804</v>
      </c>
      <c r="AW18" t="s">
        <v>987</v>
      </c>
      <c r="AX18" t="s">
        <v>165</v>
      </c>
      <c r="AY18">
        <v>11</v>
      </c>
      <c r="AZ18">
        <v>28</v>
      </c>
      <c r="BA18">
        <v>33</v>
      </c>
      <c r="BB18">
        <v>0.84799999999999998</v>
      </c>
      <c r="BC18">
        <v>35</v>
      </c>
      <c r="BD18">
        <v>35</v>
      </c>
      <c r="BE18">
        <v>119</v>
      </c>
      <c r="BG18" t="s">
        <v>804</v>
      </c>
      <c r="BH18" t="s">
        <v>157</v>
      </c>
      <c r="BI18">
        <v>6</v>
      </c>
      <c r="BJ18">
        <v>46</v>
      </c>
      <c r="BK18">
        <v>8</v>
      </c>
      <c r="BL18">
        <v>13</v>
      </c>
      <c r="BM18">
        <v>2</v>
      </c>
      <c r="BN18">
        <v>355</v>
      </c>
      <c r="BO18">
        <v>212.9</v>
      </c>
      <c r="BP18">
        <v>118.5</v>
      </c>
      <c r="BQ18">
        <v>1</v>
      </c>
      <c r="BR18">
        <v>1</v>
      </c>
      <c r="BS18">
        <v>87</v>
      </c>
      <c r="BU18">
        <v>16</v>
      </c>
      <c r="BV18" t="s">
        <v>2</v>
      </c>
      <c r="BW18" t="s">
        <v>988</v>
      </c>
      <c r="BX18" t="s">
        <v>139</v>
      </c>
      <c r="BY18">
        <v>31</v>
      </c>
    </row>
    <row r="19" spans="1:77" ht="12.75" customHeight="1">
      <c r="A19" s="33" t="s">
        <v>804</v>
      </c>
      <c r="B19" s="33" t="s">
        <v>989</v>
      </c>
      <c r="C19" s="33" t="s">
        <v>142</v>
      </c>
      <c r="D19" s="33">
        <v>6</v>
      </c>
      <c r="E19" s="33">
        <v>316</v>
      </c>
      <c r="F19" s="33">
        <v>526</v>
      </c>
      <c r="G19" s="33">
        <v>3579</v>
      </c>
      <c r="H19" s="33">
        <v>25</v>
      </c>
      <c r="I19" s="33">
        <v>10</v>
      </c>
      <c r="J19" s="33">
        <v>83</v>
      </c>
      <c r="K19" s="33">
        <v>389</v>
      </c>
      <c r="L19" s="33">
        <v>1</v>
      </c>
      <c r="M19" s="33">
        <v>323.89999999999998</v>
      </c>
      <c r="N19" s="33"/>
      <c r="O19" s="33" t="s">
        <v>804</v>
      </c>
      <c r="P19" s="33" t="s">
        <v>990</v>
      </c>
      <c r="Q19" s="33" t="s">
        <v>161</v>
      </c>
      <c r="R19" s="33">
        <v>8</v>
      </c>
      <c r="S19" s="33">
        <v>220</v>
      </c>
      <c r="T19" s="33">
        <v>969</v>
      </c>
      <c r="U19" s="33">
        <v>8</v>
      </c>
      <c r="V19" s="33">
        <v>40</v>
      </c>
      <c r="W19" s="33">
        <v>314</v>
      </c>
      <c r="X19" s="33">
        <v>2</v>
      </c>
      <c r="Y19" s="33">
        <v>188.3</v>
      </c>
      <c r="AA19" t="s">
        <v>804</v>
      </c>
      <c r="AB19" t="s">
        <v>991</v>
      </c>
      <c r="AC19" t="s">
        <v>150</v>
      </c>
      <c r="AD19">
        <v>10</v>
      </c>
      <c r="AE19">
        <v>79</v>
      </c>
      <c r="AF19">
        <v>989</v>
      </c>
      <c r="AG19">
        <v>7</v>
      </c>
      <c r="AH19">
        <v>12</v>
      </c>
      <c r="AI19">
        <v>127</v>
      </c>
      <c r="AJ19">
        <v>1</v>
      </c>
      <c r="AK19">
        <v>159.6</v>
      </c>
      <c r="AM19" t="s">
        <v>804</v>
      </c>
      <c r="AN19" t="s">
        <v>992</v>
      </c>
      <c r="AO19" t="s">
        <v>135</v>
      </c>
      <c r="AP19">
        <v>10</v>
      </c>
      <c r="AQ19">
        <v>55</v>
      </c>
      <c r="AR19">
        <v>613</v>
      </c>
      <c r="AS19">
        <v>5</v>
      </c>
      <c r="AT19">
        <v>91.3</v>
      </c>
      <c r="AV19" t="s">
        <v>804</v>
      </c>
      <c r="AW19" t="s">
        <v>993</v>
      </c>
      <c r="AX19" t="s">
        <v>142</v>
      </c>
      <c r="AY19">
        <v>6</v>
      </c>
      <c r="AZ19">
        <v>24</v>
      </c>
      <c r="BA19">
        <v>29</v>
      </c>
      <c r="BB19">
        <v>0.82799999999999996</v>
      </c>
      <c r="BC19">
        <v>47</v>
      </c>
      <c r="BD19">
        <v>47</v>
      </c>
      <c r="BE19">
        <v>119</v>
      </c>
      <c r="BG19" t="s">
        <v>804</v>
      </c>
      <c r="BH19" t="s">
        <v>101</v>
      </c>
      <c r="BI19">
        <v>9</v>
      </c>
      <c r="BJ19">
        <v>49</v>
      </c>
      <c r="BK19">
        <v>8</v>
      </c>
      <c r="BL19">
        <v>17</v>
      </c>
      <c r="BM19">
        <v>2</v>
      </c>
      <c r="BN19">
        <v>395</v>
      </c>
      <c r="BO19">
        <v>215</v>
      </c>
      <c r="BP19">
        <v>134.1</v>
      </c>
      <c r="BQ19">
        <v>0</v>
      </c>
      <c r="BR19">
        <v>0</v>
      </c>
      <c r="BS19">
        <v>86</v>
      </c>
      <c r="BU19">
        <v>17</v>
      </c>
      <c r="BV19" t="s">
        <v>16</v>
      </c>
      <c r="BW19" t="s">
        <v>919</v>
      </c>
      <c r="BX19" t="s">
        <v>933</v>
      </c>
      <c r="BY19">
        <v>31</v>
      </c>
    </row>
    <row r="20" spans="1:77" ht="12.75" customHeight="1">
      <c r="A20" s="33" t="s">
        <v>804</v>
      </c>
      <c r="B20" s="33" t="s">
        <v>994</v>
      </c>
      <c r="C20" s="33" t="s">
        <v>112</v>
      </c>
      <c r="D20" s="33">
        <v>4</v>
      </c>
      <c r="E20" s="33">
        <v>337</v>
      </c>
      <c r="F20" s="33">
        <v>544</v>
      </c>
      <c r="G20" s="33">
        <v>3755</v>
      </c>
      <c r="H20" s="33">
        <v>25</v>
      </c>
      <c r="I20" s="33">
        <v>14</v>
      </c>
      <c r="J20" s="33">
        <v>53</v>
      </c>
      <c r="K20" s="33">
        <v>164</v>
      </c>
      <c r="L20" s="33">
        <v>1</v>
      </c>
      <c r="M20" s="33">
        <v>310.2</v>
      </c>
      <c r="N20" s="33"/>
      <c r="O20" s="33" t="s">
        <v>804</v>
      </c>
      <c r="P20" s="33" t="s">
        <v>909</v>
      </c>
      <c r="Q20" s="33" t="s">
        <v>99</v>
      </c>
      <c r="R20" s="33">
        <v>11</v>
      </c>
      <c r="S20" s="33">
        <v>227</v>
      </c>
      <c r="T20" s="33">
        <v>976</v>
      </c>
      <c r="U20" s="33">
        <v>6</v>
      </c>
      <c r="V20" s="33">
        <v>50</v>
      </c>
      <c r="W20" s="33">
        <v>387</v>
      </c>
      <c r="X20" s="33">
        <v>2</v>
      </c>
      <c r="Y20" s="33">
        <v>184.3</v>
      </c>
      <c r="AA20" t="s">
        <v>804</v>
      </c>
      <c r="AB20" t="s">
        <v>995</v>
      </c>
      <c r="AC20" t="s">
        <v>172</v>
      </c>
      <c r="AD20">
        <v>7</v>
      </c>
      <c r="AE20">
        <v>78</v>
      </c>
      <c r="AF20">
        <v>1140</v>
      </c>
      <c r="AG20">
        <v>7</v>
      </c>
      <c r="AH20">
        <v>0</v>
      </c>
      <c r="AI20">
        <v>0</v>
      </c>
      <c r="AJ20">
        <v>0</v>
      </c>
      <c r="AK20">
        <v>156</v>
      </c>
      <c r="AM20" t="s">
        <v>804</v>
      </c>
      <c r="AN20" t="s">
        <v>996</v>
      </c>
      <c r="AO20" t="s">
        <v>178</v>
      </c>
      <c r="AP20">
        <v>10</v>
      </c>
      <c r="AQ20">
        <v>49</v>
      </c>
      <c r="AR20">
        <v>584</v>
      </c>
      <c r="AS20">
        <v>5</v>
      </c>
      <c r="AT20">
        <v>88.4</v>
      </c>
      <c r="AV20" t="s">
        <v>804</v>
      </c>
      <c r="AW20" t="s">
        <v>997</v>
      </c>
      <c r="AX20" t="s">
        <v>172</v>
      </c>
      <c r="AY20">
        <v>7</v>
      </c>
      <c r="AZ20">
        <v>24</v>
      </c>
      <c r="BA20">
        <v>29</v>
      </c>
      <c r="BB20">
        <v>0.82799999999999996</v>
      </c>
      <c r="BC20">
        <v>46</v>
      </c>
      <c r="BD20">
        <v>46</v>
      </c>
      <c r="BE20">
        <v>118</v>
      </c>
      <c r="BG20" t="s">
        <v>804</v>
      </c>
      <c r="BH20" t="s">
        <v>131</v>
      </c>
      <c r="BI20">
        <v>10</v>
      </c>
      <c r="BJ20">
        <v>38</v>
      </c>
      <c r="BK20">
        <v>11</v>
      </c>
      <c r="BL20">
        <v>12</v>
      </c>
      <c r="BM20">
        <v>3</v>
      </c>
      <c r="BN20">
        <v>421</v>
      </c>
      <c r="BO20">
        <v>213.8</v>
      </c>
      <c r="BP20">
        <v>124.7</v>
      </c>
      <c r="BQ20">
        <v>0</v>
      </c>
      <c r="BR20">
        <v>1</v>
      </c>
      <c r="BS20">
        <v>85</v>
      </c>
      <c r="BU20">
        <v>18</v>
      </c>
      <c r="BV20" t="s">
        <v>2</v>
      </c>
      <c r="BW20" t="s">
        <v>927</v>
      </c>
      <c r="BX20" t="s">
        <v>119</v>
      </c>
      <c r="BY20">
        <v>30</v>
      </c>
    </row>
    <row r="21" spans="1:77" ht="12.75" customHeight="1">
      <c r="A21" s="33" t="s">
        <v>804</v>
      </c>
      <c r="B21" s="33" t="s">
        <v>998</v>
      </c>
      <c r="C21" s="33" t="s">
        <v>146</v>
      </c>
      <c r="D21" s="33">
        <v>5</v>
      </c>
      <c r="E21" s="33">
        <v>326</v>
      </c>
      <c r="F21" s="33">
        <v>543</v>
      </c>
      <c r="G21" s="33">
        <v>3750</v>
      </c>
      <c r="H21" s="33">
        <v>22</v>
      </c>
      <c r="I21" s="33">
        <v>16</v>
      </c>
      <c r="J21" s="33">
        <v>49</v>
      </c>
      <c r="K21" s="33">
        <v>229</v>
      </c>
      <c r="L21" s="33">
        <v>1</v>
      </c>
      <c r="M21" s="33">
        <v>304.39999999999998</v>
      </c>
      <c r="N21" s="33"/>
      <c r="O21" s="33" t="s">
        <v>804</v>
      </c>
      <c r="P21" s="33" t="s">
        <v>999</v>
      </c>
      <c r="Q21" s="33" t="s">
        <v>930</v>
      </c>
      <c r="R21" s="33">
        <v>10</v>
      </c>
      <c r="S21" s="33">
        <v>260</v>
      </c>
      <c r="T21" s="33">
        <v>1222</v>
      </c>
      <c r="U21" s="33">
        <v>9</v>
      </c>
      <c r="V21" s="33">
        <v>10</v>
      </c>
      <c r="W21" s="33">
        <v>74</v>
      </c>
      <c r="X21" s="33">
        <v>0</v>
      </c>
      <c r="Y21" s="33">
        <v>183.6</v>
      </c>
      <c r="AA21" t="s">
        <v>804</v>
      </c>
      <c r="AB21" t="s">
        <v>1000</v>
      </c>
      <c r="AC21" t="s">
        <v>182</v>
      </c>
      <c r="AD21">
        <v>8</v>
      </c>
      <c r="AE21">
        <v>77</v>
      </c>
      <c r="AF21">
        <v>1096</v>
      </c>
      <c r="AG21">
        <v>7</v>
      </c>
      <c r="AH21">
        <v>0</v>
      </c>
      <c r="AI21">
        <v>0</v>
      </c>
      <c r="AJ21">
        <v>0</v>
      </c>
      <c r="AK21">
        <v>151.6</v>
      </c>
      <c r="AM21" t="s">
        <v>804</v>
      </c>
      <c r="AN21" t="s">
        <v>1001</v>
      </c>
      <c r="AO21" t="s">
        <v>190</v>
      </c>
      <c r="AP21">
        <v>4</v>
      </c>
      <c r="AQ21">
        <v>53</v>
      </c>
      <c r="AR21">
        <v>644</v>
      </c>
      <c r="AS21">
        <v>4</v>
      </c>
      <c r="AT21">
        <v>88.4</v>
      </c>
      <c r="AV21" t="s">
        <v>804</v>
      </c>
      <c r="AW21" t="s">
        <v>1002</v>
      </c>
      <c r="AX21" t="s">
        <v>96</v>
      </c>
      <c r="AY21">
        <v>9</v>
      </c>
      <c r="AZ21">
        <v>26</v>
      </c>
      <c r="BA21">
        <v>29</v>
      </c>
      <c r="BB21">
        <v>0.89700000000000002</v>
      </c>
      <c r="BC21">
        <v>40</v>
      </c>
      <c r="BD21">
        <v>40</v>
      </c>
      <c r="BE21">
        <v>118</v>
      </c>
      <c r="BG21" t="s">
        <v>804</v>
      </c>
      <c r="BH21" t="s">
        <v>138</v>
      </c>
      <c r="BI21">
        <v>11</v>
      </c>
      <c r="BJ21">
        <v>36</v>
      </c>
      <c r="BK21">
        <v>13</v>
      </c>
      <c r="BL21">
        <v>11</v>
      </c>
      <c r="BM21">
        <v>3</v>
      </c>
      <c r="BN21">
        <v>401</v>
      </c>
      <c r="BO21">
        <v>232.2</v>
      </c>
      <c r="BP21">
        <v>126.1</v>
      </c>
      <c r="BQ21">
        <v>0</v>
      </c>
      <c r="BR21">
        <v>1</v>
      </c>
      <c r="BS21">
        <v>84</v>
      </c>
      <c r="BU21">
        <v>19</v>
      </c>
      <c r="BV21" t="s">
        <v>2</v>
      </c>
      <c r="BW21" t="s">
        <v>1003</v>
      </c>
      <c r="BX21" t="s">
        <v>115</v>
      </c>
      <c r="BY21">
        <v>30</v>
      </c>
    </row>
    <row r="22" spans="1:77" ht="12.75" customHeight="1">
      <c r="A22" s="33" t="s">
        <v>804</v>
      </c>
      <c r="B22" s="33" t="s">
        <v>1004</v>
      </c>
      <c r="C22" s="33" t="s">
        <v>82</v>
      </c>
      <c r="D22" s="33">
        <v>4</v>
      </c>
      <c r="E22" s="33">
        <v>357</v>
      </c>
      <c r="F22" s="33">
        <v>576</v>
      </c>
      <c r="G22" s="33">
        <v>4150</v>
      </c>
      <c r="H22" s="33">
        <v>23</v>
      </c>
      <c r="I22" s="33">
        <v>17</v>
      </c>
      <c r="J22" s="33">
        <v>9</v>
      </c>
      <c r="K22" s="33">
        <v>17</v>
      </c>
      <c r="L22" s="33">
        <v>0</v>
      </c>
      <c r="M22" s="33">
        <v>301.2</v>
      </c>
      <c r="N22" s="33"/>
      <c r="O22" s="33" t="s">
        <v>804</v>
      </c>
      <c r="P22" s="33" t="s">
        <v>1003</v>
      </c>
      <c r="Q22" s="33" t="s">
        <v>135</v>
      </c>
      <c r="R22" s="33">
        <v>10</v>
      </c>
      <c r="S22" s="33">
        <v>244</v>
      </c>
      <c r="T22" s="33">
        <v>977</v>
      </c>
      <c r="U22" s="33">
        <v>6</v>
      </c>
      <c r="V22" s="33">
        <v>50</v>
      </c>
      <c r="W22" s="33">
        <v>377</v>
      </c>
      <c r="X22" s="33">
        <v>1</v>
      </c>
      <c r="Y22" s="33">
        <v>177.4</v>
      </c>
      <c r="AA22" t="s">
        <v>804</v>
      </c>
      <c r="AB22" t="s">
        <v>1005</v>
      </c>
      <c r="AC22" t="s">
        <v>135</v>
      </c>
      <c r="AD22">
        <v>10</v>
      </c>
      <c r="AE22">
        <v>76</v>
      </c>
      <c r="AF22">
        <v>1095</v>
      </c>
      <c r="AG22">
        <v>6</v>
      </c>
      <c r="AH22">
        <v>5</v>
      </c>
      <c r="AI22">
        <v>33</v>
      </c>
      <c r="AJ22">
        <v>0</v>
      </c>
      <c r="AK22">
        <v>148.80000000000001</v>
      </c>
      <c r="AM22" t="s">
        <v>804</v>
      </c>
      <c r="AN22" t="s">
        <v>1006</v>
      </c>
      <c r="AO22" t="s">
        <v>132</v>
      </c>
      <c r="AP22">
        <v>10</v>
      </c>
      <c r="AQ22">
        <v>56</v>
      </c>
      <c r="AR22">
        <v>555</v>
      </c>
      <c r="AS22">
        <v>4</v>
      </c>
      <c r="AT22">
        <v>79.5</v>
      </c>
      <c r="AV22" t="s">
        <v>804</v>
      </c>
      <c r="AW22" t="s">
        <v>1007</v>
      </c>
      <c r="AX22" t="s">
        <v>82</v>
      </c>
      <c r="AY22">
        <v>4</v>
      </c>
      <c r="AZ22">
        <v>27</v>
      </c>
      <c r="BA22">
        <v>31</v>
      </c>
      <c r="BB22">
        <v>0.871</v>
      </c>
      <c r="BC22">
        <v>36</v>
      </c>
      <c r="BD22">
        <v>36</v>
      </c>
      <c r="BE22">
        <v>117</v>
      </c>
      <c r="BG22" t="s">
        <v>804</v>
      </c>
      <c r="BH22" t="s">
        <v>200</v>
      </c>
      <c r="BI22">
        <v>10</v>
      </c>
      <c r="BJ22">
        <v>35</v>
      </c>
      <c r="BK22">
        <v>10</v>
      </c>
      <c r="BL22">
        <v>16</v>
      </c>
      <c r="BM22">
        <v>3</v>
      </c>
      <c r="BN22">
        <v>397</v>
      </c>
      <c r="BO22">
        <v>244.4</v>
      </c>
      <c r="BP22">
        <v>113.4</v>
      </c>
      <c r="BQ22">
        <v>1</v>
      </c>
      <c r="BR22">
        <v>0</v>
      </c>
      <c r="BS22">
        <v>81</v>
      </c>
      <c r="BU22">
        <v>20</v>
      </c>
      <c r="BV22" t="s">
        <v>3</v>
      </c>
      <c r="BW22" t="s">
        <v>912</v>
      </c>
      <c r="BX22" t="s">
        <v>96</v>
      </c>
      <c r="BY22">
        <v>29</v>
      </c>
    </row>
    <row r="23" spans="1:77" ht="12.75" customHeight="1">
      <c r="A23" s="33" t="s">
        <v>804</v>
      </c>
      <c r="B23" s="33" t="s">
        <v>1008</v>
      </c>
      <c r="C23" s="33" t="s">
        <v>99</v>
      </c>
      <c r="D23" s="33">
        <v>11</v>
      </c>
      <c r="E23" s="33">
        <v>340</v>
      </c>
      <c r="F23" s="33">
        <v>567</v>
      </c>
      <c r="G23" s="33">
        <v>3914</v>
      </c>
      <c r="H23" s="33">
        <v>22</v>
      </c>
      <c r="I23" s="33">
        <v>16</v>
      </c>
      <c r="J23" s="33">
        <v>35</v>
      </c>
      <c r="K23" s="33">
        <v>84</v>
      </c>
      <c r="L23" s="33">
        <v>1</v>
      </c>
      <c r="M23" s="33">
        <v>298.10000000000002</v>
      </c>
      <c r="N23" s="33"/>
      <c r="O23" s="33" t="s">
        <v>804</v>
      </c>
      <c r="P23" s="33" t="s">
        <v>945</v>
      </c>
      <c r="Q23" s="33" t="s">
        <v>165</v>
      </c>
      <c r="R23" s="33">
        <v>11</v>
      </c>
      <c r="S23" s="33">
        <v>219</v>
      </c>
      <c r="T23" s="33">
        <v>965</v>
      </c>
      <c r="U23" s="33">
        <v>6</v>
      </c>
      <c r="V23" s="33">
        <v>44</v>
      </c>
      <c r="W23" s="33">
        <v>314</v>
      </c>
      <c r="X23" s="33">
        <v>2</v>
      </c>
      <c r="Y23" s="33">
        <v>175.9</v>
      </c>
      <c r="AA23" t="s">
        <v>804</v>
      </c>
      <c r="AB23" t="s">
        <v>1009</v>
      </c>
      <c r="AC23" t="s">
        <v>158</v>
      </c>
      <c r="AD23">
        <v>6</v>
      </c>
      <c r="AE23">
        <v>81</v>
      </c>
      <c r="AF23">
        <v>1067</v>
      </c>
      <c r="AG23">
        <v>7</v>
      </c>
      <c r="AH23">
        <v>0</v>
      </c>
      <c r="AI23">
        <v>0</v>
      </c>
      <c r="AJ23">
        <v>0</v>
      </c>
      <c r="AK23">
        <v>148.69999999999999</v>
      </c>
      <c r="AM23" t="s">
        <v>804</v>
      </c>
      <c r="AN23" t="s">
        <v>1010</v>
      </c>
      <c r="AO23" t="s">
        <v>112</v>
      </c>
      <c r="AP23">
        <v>4</v>
      </c>
      <c r="AQ23">
        <v>51</v>
      </c>
      <c r="AR23">
        <v>531</v>
      </c>
      <c r="AS23">
        <v>4</v>
      </c>
      <c r="AT23">
        <v>77.099999999999994</v>
      </c>
      <c r="AV23" t="s">
        <v>804</v>
      </c>
      <c r="AW23" t="s">
        <v>1011</v>
      </c>
      <c r="AX23" t="s">
        <v>190</v>
      </c>
      <c r="AY23">
        <v>4</v>
      </c>
      <c r="AZ23">
        <v>25</v>
      </c>
      <c r="BA23">
        <v>29</v>
      </c>
      <c r="BB23">
        <v>0.86199999999999999</v>
      </c>
      <c r="BC23">
        <v>39</v>
      </c>
      <c r="BD23">
        <v>39</v>
      </c>
      <c r="BE23">
        <v>114</v>
      </c>
      <c r="BG23" t="s">
        <v>804</v>
      </c>
      <c r="BH23" t="s">
        <v>197</v>
      </c>
      <c r="BI23">
        <v>9</v>
      </c>
      <c r="BJ23">
        <v>38</v>
      </c>
      <c r="BK23">
        <v>9</v>
      </c>
      <c r="BL23">
        <v>15</v>
      </c>
      <c r="BM23">
        <v>3</v>
      </c>
      <c r="BN23">
        <v>420</v>
      </c>
      <c r="BO23">
        <v>254.1</v>
      </c>
      <c r="BP23">
        <v>131.9</v>
      </c>
      <c r="BQ23">
        <v>0</v>
      </c>
      <c r="BR23">
        <v>0</v>
      </c>
      <c r="BS23">
        <v>80</v>
      </c>
      <c r="BU23">
        <v>21</v>
      </c>
      <c r="BV23" t="s">
        <v>3</v>
      </c>
      <c r="BW23" t="s">
        <v>1012</v>
      </c>
      <c r="BX23" t="s">
        <v>132</v>
      </c>
      <c r="BY23">
        <v>29</v>
      </c>
    </row>
    <row r="24" spans="1:77" ht="12.75" customHeight="1">
      <c r="A24" s="33" t="s">
        <v>804</v>
      </c>
      <c r="B24" s="33" t="s">
        <v>1013</v>
      </c>
      <c r="C24" s="33" t="s">
        <v>161</v>
      </c>
      <c r="D24" s="33">
        <v>8</v>
      </c>
      <c r="E24" s="33">
        <v>343</v>
      </c>
      <c r="F24" s="33">
        <v>581</v>
      </c>
      <c r="G24" s="33">
        <v>4011</v>
      </c>
      <c r="H24" s="33">
        <v>23</v>
      </c>
      <c r="I24" s="33">
        <v>18</v>
      </c>
      <c r="J24" s="33">
        <v>17</v>
      </c>
      <c r="K24" s="33">
        <v>33</v>
      </c>
      <c r="L24" s="33">
        <v>0</v>
      </c>
      <c r="M24" s="33">
        <v>295.89999999999998</v>
      </c>
      <c r="N24" s="33"/>
      <c r="O24" s="33" t="s">
        <v>804</v>
      </c>
      <c r="P24" s="33" t="s">
        <v>1014</v>
      </c>
      <c r="Q24" s="33" t="s">
        <v>182</v>
      </c>
      <c r="R24" s="33">
        <v>8</v>
      </c>
      <c r="S24" s="33">
        <v>259</v>
      </c>
      <c r="T24" s="33">
        <v>1089</v>
      </c>
      <c r="U24" s="33">
        <v>8</v>
      </c>
      <c r="V24" s="33">
        <v>23</v>
      </c>
      <c r="W24" s="33">
        <v>179</v>
      </c>
      <c r="X24" s="33">
        <v>0</v>
      </c>
      <c r="Y24" s="33">
        <v>174.8</v>
      </c>
      <c r="AA24" t="s">
        <v>804</v>
      </c>
      <c r="AB24" t="s">
        <v>1015</v>
      </c>
      <c r="AC24" t="s">
        <v>99</v>
      </c>
      <c r="AD24">
        <v>11</v>
      </c>
      <c r="AE24">
        <v>76</v>
      </c>
      <c r="AF24">
        <v>1097</v>
      </c>
      <c r="AG24">
        <v>6</v>
      </c>
      <c r="AH24">
        <v>2</v>
      </c>
      <c r="AI24">
        <v>21</v>
      </c>
      <c r="AJ24">
        <v>0</v>
      </c>
      <c r="AK24">
        <v>147.80000000000001</v>
      </c>
      <c r="AM24" t="s">
        <v>804</v>
      </c>
      <c r="AN24" t="s">
        <v>1016</v>
      </c>
      <c r="AO24" t="s">
        <v>102</v>
      </c>
      <c r="AP24">
        <v>9</v>
      </c>
      <c r="AQ24">
        <v>47</v>
      </c>
      <c r="AR24">
        <v>522</v>
      </c>
      <c r="AS24">
        <v>4</v>
      </c>
      <c r="AT24">
        <v>76.2</v>
      </c>
      <c r="AV24" t="s">
        <v>804</v>
      </c>
      <c r="AW24" t="s">
        <v>1017</v>
      </c>
      <c r="AX24" t="s">
        <v>930</v>
      </c>
      <c r="AY24">
        <v>10</v>
      </c>
      <c r="AZ24">
        <v>24</v>
      </c>
      <c r="BA24">
        <v>29</v>
      </c>
      <c r="BB24">
        <v>0.82799999999999996</v>
      </c>
      <c r="BC24">
        <v>41</v>
      </c>
      <c r="BD24">
        <v>41</v>
      </c>
      <c r="BE24">
        <v>113</v>
      </c>
      <c r="BG24" t="s">
        <v>804</v>
      </c>
      <c r="BH24" t="s">
        <v>124</v>
      </c>
      <c r="BI24">
        <v>9</v>
      </c>
      <c r="BJ24">
        <v>38</v>
      </c>
      <c r="BK24">
        <v>8</v>
      </c>
      <c r="BL24">
        <v>13</v>
      </c>
      <c r="BM24">
        <v>2</v>
      </c>
      <c r="BN24">
        <v>388</v>
      </c>
      <c r="BO24">
        <v>255</v>
      </c>
      <c r="BP24">
        <v>104.8</v>
      </c>
      <c r="BQ24">
        <v>1</v>
      </c>
      <c r="BR24">
        <v>1</v>
      </c>
      <c r="BS24">
        <v>79</v>
      </c>
      <c r="BU24">
        <v>22</v>
      </c>
      <c r="BV24" t="s">
        <v>2</v>
      </c>
      <c r="BW24" t="s">
        <v>911</v>
      </c>
      <c r="BX24" t="s">
        <v>150</v>
      </c>
      <c r="BY24">
        <v>28</v>
      </c>
    </row>
    <row r="25" spans="1:77" ht="12.75" customHeight="1">
      <c r="A25" s="33" t="s">
        <v>804</v>
      </c>
      <c r="B25" s="33" t="s">
        <v>1018</v>
      </c>
      <c r="C25" s="33" t="s">
        <v>102</v>
      </c>
      <c r="D25" s="33">
        <v>9</v>
      </c>
      <c r="E25" s="33">
        <v>311</v>
      </c>
      <c r="F25" s="33">
        <v>527</v>
      </c>
      <c r="G25" s="33">
        <v>3528</v>
      </c>
      <c r="H25" s="33">
        <v>17</v>
      </c>
      <c r="I25" s="33">
        <v>15</v>
      </c>
      <c r="J25" s="33">
        <v>73</v>
      </c>
      <c r="K25" s="33">
        <v>285</v>
      </c>
      <c r="L25" s="33">
        <v>2</v>
      </c>
      <c r="M25" s="33">
        <v>284.89999999999998</v>
      </c>
      <c r="N25" s="33"/>
      <c r="O25" s="33" t="s">
        <v>804</v>
      </c>
      <c r="P25" s="33" t="s">
        <v>1019</v>
      </c>
      <c r="Q25" s="33" t="s">
        <v>125</v>
      </c>
      <c r="R25" s="33">
        <v>9</v>
      </c>
      <c r="S25" s="33">
        <v>206</v>
      </c>
      <c r="T25" s="33">
        <v>887</v>
      </c>
      <c r="U25" s="33">
        <v>6</v>
      </c>
      <c r="V25" s="33">
        <v>40</v>
      </c>
      <c r="W25" s="33">
        <v>335</v>
      </c>
      <c r="X25" s="33">
        <v>2</v>
      </c>
      <c r="Y25" s="33">
        <v>170.2</v>
      </c>
      <c r="AA25" t="s">
        <v>804</v>
      </c>
      <c r="AB25" t="s">
        <v>982</v>
      </c>
      <c r="AC25" t="s">
        <v>82</v>
      </c>
      <c r="AD25">
        <v>4</v>
      </c>
      <c r="AE25">
        <v>85</v>
      </c>
      <c r="AF25">
        <v>1044</v>
      </c>
      <c r="AG25">
        <v>7</v>
      </c>
      <c r="AH25">
        <v>0</v>
      </c>
      <c r="AI25">
        <v>0</v>
      </c>
      <c r="AJ25">
        <v>0</v>
      </c>
      <c r="AK25">
        <v>146.4</v>
      </c>
      <c r="AM25" t="s">
        <v>804</v>
      </c>
      <c r="AN25" t="s">
        <v>1020</v>
      </c>
      <c r="AO25" t="s">
        <v>139</v>
      </c>
      <c r="AP25">
        <v>11</v>
      </c>
      <c r="AQ25">
        <v>48</v>
      </c>
      <c r="AR25">
        <v>510</v>
      </c>
      <c r="AS25">
        <v>3</v>
      </c>
      <c r="AT25">
        <v>69</v>
      </c>
      <c r="AV25" t="s">
        <v>804</v>
      </c>
      <c r="AW25" t="s">
        <v>1021</v>
      </c>
      <c r="AX25" t="s">
        <v>161</v>
      </c>
      <c r="AY25">
        <v>8</v>
      </c>
      <c r="AZ25">
        <v>25</v>
      </c>
      <c r="BA25">
        <v>29</v>
      </c>
      <c r="BB25">
        <v>0.86199999999999999</v>
      </c>
      <c r="BC25">
        <v>37</v>
      </c>
      <c r="BD25">
        <v>37</v>
      </c>
      <c r="BE25">
        <v>112</v>
      </c>
      <c r="BG25" t="s">
        <v>804</v>
      </c>
      <c r="BH25" t="s">
        <v>98</v>
      </c>
      <c r="BI25">
        <v>11</v>
      </c>
      <c r="BJ25">
        <v>41</v>
      </c>
      <c r="BK25">
        <v>10</v>
      </c>
      <c r="BL25">
        <v>14</v>
      </c>
      <c r="BM25">
        <v>1</v>
      </c>
      <c r="BN25">
        <v>356</v>
      </c>
      <c r="BO25">
        <v>235.9</v>
      </c>
      <c r="BP25">
        <v>111.8</v>
      </c>
      <c r="BQ25">
        <v>1</v>
      </c>
      <c r="BR25">
        <v>1</v>
      </c>
      <c r="BS25">
        <v>79</v>
      </c>
      <c r="BU25">
        <v>23</v>
      </c>
      <c r="BV25" t="s">
        <v>3</v>
      </c>
      <c r="BW25" t="s">
        <v>923</v>
      </c>
      <c r="BX25" t="s">
        <v>112</v>
      </c>
      <c r="BY25">
        <v>28</v>
      </c>
    </row>
    <row r="26" spans="1:77" ht="12.75" customHeight="1">
      <c r="A26" s="33" t="s">
        <v>804</v>
      </c>
      <c r="B26" s="33" t="s">
        <v>1022</v>
      </c>
      <c r="C26" s="33" t="s">
        <v>190</v>
      </c>
      <c r="D26" s="33">
        <v>4</v>
      </c>
      <c r="E26" s="33">
        <v>331</v>
      </c>
      <c r="F26" s="33">
        <v>552</v>
      </c>
      <c r="G26" s="33">
        <v>3640</v>
      </c>
      <c r="H26" s="33">
        <v>21</v>
      </c>
      <c r="I26" s="33">
        <v>16</v>
      </c>
      <c r="J26" s="33">
        <v>34</v>
      </c>
      <c r="K26" s="33">
        <v>79</v>
      </c>
      <c r="L26" s="33">
        <v>1</v>
      </c>
      <c r="M26" s="33">
        <v>279.89999999999998</v>
      </c>
      <c r="N26" s="33"/>
      <c r="O26" s="33" t="s">
        <v>804</v>
      </c>
      <c r="P26" s="33" t="s">
        <v>970</v>
      </c>
      <c r="Q26" s="33" t="s">
        <v>178</v>
      </c>
      <c r="R26" s="33">
        <v>10</v>
      </c>
      <c r="S26" s="33">
        <v>263</v>
      </c>
      <c r="T26" s="33">
        <v>1133</v>
      </c>
      <c r="U26" s="33">
        <v>5</v>
      </c>
      <c r="V26" s="33">
        <v>21</v>
      </c>
      <c r="W26" s="33">
        <v>167</v>
      </c>
      <c r="X26" s="33">
        <v>0</v>
      </c>
      <c r="Y26" s="33">
        <v>160</v>
      </c>
      <c r="AA26" t="s">
        <v>804</v>
      </c>
      <c r="AB26" t="s">
        <v>1012</v>
      </c>
      <c r="AC26" t="s">
        <v>132</v>
      </c>
      <c r="AD26">
        <v>10</v>
      </c>
      <c r="AE26">
        <v>81</v>
      </c>
      <c r="AF26">
        <v>1089</v>
      </c>
      <c r="AG26">
        <v>6</v>
      </c>
      <c r="AH26">
        <v>0</v>
      </c>
      <c r="AI26">
        <v>0</v>
      </c>
      <c r="AJ26">
        <v>0</v>
      </c>
      <c r="AK26">
        <v>144.9</v>
      </c>
      <c r="AM26" t="s">
        <v>804</v>
      </c>
      <c r="AN26" t="s">
        <v>1023</v>
      </c>
      <c r="AO26" t="s">
        <v>125</v>
      </c>
      <c r="AP26">
        <v>9</v>
      </c>
      <c r="AQ26">
        <v>46</v>
      </c>
      <c r="AR26">
        <v>485</v>
      </c>
      <c r="AS26">
        <v>3</v>
      </c>
      <c r="AT26">
        <v>66.5</v>
      </c>
      <c r="AV26" t="s">
        <v>804</v>
      </c>
      <c r="AW26" t="s">
        <v>1024</v>
      </c>
      <c r="AX26" t="s">
        <v>112</v>
      </c>
      <c r="AY26">
        <v>4</v>
      </c>
      <c r="AZ26">
        <v>21</v>
      </c>
      <c r="BA26">
        <v>26</v>
      </c>
      <c r="BB26">
        <v>0.80800000000000005</v>
      </c>
      <c r="BC26">
        <v>48</v>
      </c>
      <c r="BD26">
        <v>48</v>
      </c>
      <c r="BE26">
        <v>111</v>
      </c>
      <c r="BG26" t="s">
        <v>804</v>
      </c>
      <c r="BH26" t="s">
        <v>171</v>
      </c>
      <c r="BI26">
        <v>7</v>
      </c>
      <c r="BJ26">
        <v>36</v>
      </c>
      <c r="BK26">
        <v>11</v>
      </c>
      <c r="BL26">
        <v>16</v>
      </c>
      <c r="BM26">
        <v>2</v>
      </c>
      <c r="BN26">
        <v>412</v>
      </c>
      <c r="BO26">
        <v>269.39999999999998</v>
      </c>
      <c r="BP26">
        <v>117.8</v>
      </c>
      <c r="BQ26">
        <v>0</v>
      </c>
      <c r="BR26">
        <v>0</v>
      </c>
      <c r="BS26">
        <v>75</v>
      </c>
      <c r="BU26">
        <v>24</v>
      </c>
      <c r="BV26" t="s">
        <v>3</v>
      </c>
      <c r="BW26" t="s">
        <v>1025</v>
      </c>
      <c r="BX26" t="s">
        <v>933</v>
      </c>
      <c r="BY26">
        <v>27</v>
      </c>
    </row>
    <row r="27" spans="1:77" ht="12.75" customHeight="1">
      <c r="A27" s="33" t="s">
        <v>804</v>
      </c>
      <c r="B27" s="33" t="s">
        <v>1026</v>
      </c>
      <c r="C27" s="33" t="s">
        <v>168</v>
      </c>
      <c r="D27" s="33">
        <v>5</v>
      </c>
      <c r="E27" s="33">
        <v>308</v>
      </c>
      <c r="F27" s="33">
        <v>513</v>
      </c>
      <c r="G27" s="33">
        <v>3540</v>
      </c>
      <c r="H27" s="33">
        <v>22</v>
      </c>
      <c r="I27" s="33">
        <v>17</v>
      </c>
      <c r="J27" s="33">
        <v>92</v>
      </c>
      <c r="K27" s="33">
        <v>46</v>
      </c>
      <c r="L27" s="33">
        <v>0</v>
      </c>
      <c r="M27" s="33">
        <v>269.60000000000002</v>
      </c>
      <c r="N27" s="33"/>
      <c r="O27" s="33" t="s">
        <v>804</v>
      </c>
      <c r="P27" s="33" t="s">
        <v>1027</v>
      </c>
      <c r="Q27" s="33" t="s">
        <v>102</v>
      </c>
      <c r="R27" s="33">
        <v>9</v>
      </c>
      <c r="S27" s="33">
        <v>191</v>
      </c>
      <c r="T27" s="33">
        <v>956</v>
      </c>
      <c r="U27" s="33">
        <v>6</v>
      </c>
      <c r="V27" s="33">
        <v>30</v>
      </c>
      <c r="W27" s="33">
        <v>214</v>
      </c>
      <c r="X27" s="33">
        <v>0</v>
      </c>
      <c r="Y27" s="33">
        <v>153</v>
      </c>
      <c r="AA27" t="s">
        <v>804</v>
      </c>
      <c r="AB27" t="s">
        <v>1025</v>
      </c>
      <c r="AC27" t="s">
        <v>122</v>
      </c>
      <c r="AD27">
        <v>4</v>
      </c>
      <c r="AE27">
        <v>89</v>
      </c>
      <c r="AF27">
        <v>967</v>
      </c>
      <c r="AG27">
        <v>8</v>
      </c>
      <c r="AH27">
        <v>0</v>
      </c>
      <c r="AI27">
        <v>0</v>
      </c>
      <c r="AJ27">
        <v>0</v>
      </c>
      <c r="AK27">
        <v>144.69999999999999</v>
      </c>
      <c r="AM27" t="s">
        <v>804</v>
      </c>
      <c r="AN27" t="s">
        <v>1028</v>
      </c>
      <c r="AO27" t="s">
        <v>185</v>
      </c>
      <c r="AP27">
        <v>4</v>
      </c>
      <c r="AQ27">
        <v>38</v>
      </c>
      <c r="AR27">
        <v>395</v>
      </c>
      <c r="AS27">
        <v>4</v>
      </c>
      <c r="AT27">
        <v>63.5</v>
      </c>
      <c r="AV27" t="s">
        <v>804</v>
      </c>
      <c r="AW27" t="s">
        <v>1029</v>
      </c>
      <c r="AX27" t="s">
        <v>125</v>
      </c>
      <c r="AY27">
        <v>9</v>
      </c>
      <c r="AZ27">
        <v>23</v>
      </c>
      <c r="BA27">
        <v>28</v>
      </c>
      <c r="BB27">
        <v>0.82099999999999995</v>
      </c>
      <c r="BC27">
        <v>42</v>
      </c>
      <c r="BD27">
        <v>42</v>
      </c>
      <c r="BE27">
        <v>111</v>
      </c>
      <c r="BG27" t="s">
        <v>804</v>
      </c>
      <c r="BH27" t="s">
        <v>145</v>
      </c>
      <c r="BI27">
        <v>5</v>
      </c>
      <c r="BJ27">
        <v>39</v>
      </c>
      <c r="BK27">
        <v>7</v>
      </c>
      <c r="BL27">
        <v>15</v>
      </c>
      <c r="BM27">
        <v>2</v>
      </c>
      <c r="BN27">
        <v>355</v>
      </c>
      <c r="BO27">
        <v>245</v>
      </c>
      <c r="BP27">
        <v>116.4</v>
      </c>
      <c r="BQ27">
        <v>1</v>
      </c>
      <c r="BR27">
        <v>0</v>
      </c>
      <c r="BS27">
        <v>75</v>
      </c>
      <c r="BU27">
        <v>25</v>
      </c>
      <c r="BV27" t="s">
        <v>2</v>
      </c>
      <c r="BW27" t="s">
        <v>899</v>
      </c>
      <c r="BX27" t="s">
        <v>1030</v>
      </c>
      <c r="BY27">
        <v>26</v>
      </c>
    </row>
    <row r="28" spans="1:77" ht="12.75" customHeight="1">
      <c r="A28" s="33" t="s">
        <v>804</v>
      </c>
      <c r="B28" s="33" t="s">
        <v>1031</v>
      </c>
      <c r="C28" s="33" t="s">
        <v>165</v>
      </c>
      <c r="D28" s="33">
        <v>11</v>
      </c>
      <c r="E28" s="33">
        <v>248</v>
      </c>
      <c r="F28" s="33">
        <v>435</v>
      </c>
      <c r="G28" s="33">
        <v>2956</v>
      </c>
      <c r="H28" s="33">
        <v>16</v>
      </c>
      <c r="I28" s="33">
        <v>12</v>
      </c>
      <c r="J28" s="33">
        <v>62</v>
      </c>
      <c r="K28" s="33">
        <v>291</v>
      </c>
      <c r="L28" s="33">
        <v>2</v>
      </c>
      <c r="M28" s="33">
        <v>252.9</v>
      </c>
      <c r="N28" s="33"/>
      <c r="O28" s="33" t="s">
        <v>804</v>
      </c>
      <c r="P28" s="33" t="s">
        <v>1032</v>
      </c>
      <c r="Q28" s="33" t="s">
        <v>125</v>
      </c>
      <c r="R28" s="33">
        <v>9</v>
      </c>
      <c r="S28" s="33">
        <v>152</v>
      </c>
      <c r="T28" s="33">
        <v>667</v>
      </c>
      <c r="U28" s="33">
        <v>4</v>
      </c>
      <c r="V28" s="33">
        <v>51</v>
      </c>
      <c r="W28" s="33">
        <v>419</v>
      </c>
      <c r="X28" s="33">
        <v>2</v>
      </c>
      <c r="Y28" s="33">
        <v>144.6</v>
      </c>
      <c r="AA28" t="s">
        <v>804</v>
      </c>
      <c r="AB28" t="s">
        <v>1033</v>
      </c>
      <c r="AC28" t="s">
        <v>930</v>
      </c>
      <c r="AD28">
        <v>10</v>
      </c>
      <c r="AE28">
        <v>85</v>
      </c>
      <c r="AF28">
        <v>1120</v>
      </c>
      <c r="AG28">
        <v>5</v>
      </c>
      <c r="AH28">
        <v>0</v>
      </c>
      <c r="AI28">
        <v>0</v>
      </c>
      <c r="AJ28">
        <v>0</v>
      </c>
      <c r="AK28">
        <v>142</v>
      </c>
      <c r="AM28" t="s">
        <v>804</v>
      </c>
      <c r="AN28" t="s">
        <v>1034</v>
      </c>
      <c r="AO28" t="s">
        <v>172</v>
      </c>
      <c r="AP28">
        <v>7</v>
      </c>
      <c r="AQ28">
        <v>30</v>
      </c>
      <c r="AR28">
        <v>376</v>
      </c>
      <c r="AS28">
        <v>4</v>
      </c>
      <c r="AT28">
        <v>61.6</v>
      </c>
      <c r="AV28" t="s">
        <v>804</v>
      </c>
      <c r="AW28" t="s">
        <v>1035</v>
      </c>
      <c r="AX28" t="s">
        <v>168</v>
      </c>
      <c r="AY28">
        <v>5</v>
      </c>
      <c r="AZ28">
        <v>24</v>
      </c>
      <c r="BA28">
        <v>29</v>
      </c>
      <c r="BB28">
        <v>0.82799999999999996</v>
      </c>
      <c r="BC28">
        <v>38</v>
      </c>
      <c r="BD28">
        <v>38</v>
      </c>
      <c r="BE28">
        <v>110</v>
      </c>
      <c r="BG28" t="s">
        <v>804</v>
      </c>
      <c r="BH28" t="s">
        <v>118</v>
      </c>
      <c r="BI28">
        <v>11</v>
      </c>
      <c r="BJ28">
        <v>33</v>
      </c>
      <c r="BK28">
        <v>7</v>
      </c>
      <c r="BL28">
        <v>12</v>
      </c>
      <c r="BM28">
        <v>3</v>
      </c>
      <c r="BN28">
        <v>411</v>
      </c>
      <c r="BO28">
        <v>253.9</v>
      </c>
      <c r="BP28">
        <v>125.1</v>
      </c>
      <c r="BQ28">
        <v>2</v>
      </c>
      <c r="BR28">
        <v>0</v>
      </c>
      <c r="BS28">
        <v>74</v>
      </c>
      <c r="BU28">
        <v>26</v>
      </c>
      <c r="BV28" t="s">
        <v>3</v>
      </c>
      <c r="BW28" t="s">
        <v>1036</v>
      </c>
      <c r="BX28" t="s">
        <v>915</v>
      </c>
      <c r="BY28">
        <v>26</v>
      </c>
    </row>
    <row r="29" spans="1:77" ht="12.75" customHeight="1">
      <c r="A29" s="33" t="s">
        <v>804</v>
      </c>
      <c r="B29" s="33" t="s">
        <v>1037</v>
      </c>
      <c r="C29" s="33" t="s">
        <v>115</v>
      </c>
      <c r="D29" s="33">
        <v>4</v>
      </c>
      <c r="E29" s="33">
        <v>261</v>
      </c>
      <c r="F29" s="33">
        <v>428</v>
      </c>
      <c r="G29" s="33">
        <v>2825</v>
      </c>
      <c r="H29" s="33">
        <v>13</v>
      </c>
      <c r="I29" s="33">
        <v>14</v>
      </c>
      <c r="J29" s="33">
        <v>70</v>
      </c>
      <c r="K29" s="33">
        <v>313</v>
      </c>
      <c r="L29" s="33">
        <v>2</v>
      </c>
      <c r="M29" s="33">
        <v>236.6</v>
      </c>
      <c r="N29" s="33"/>
      <c r="O29" s="33" t="s">
        <v>804</v>
      </c>
      <c r="P29" s="33" t="s">
        <v>1038</v>
      </c>
      <c r="Q29" s="33" t="s">
        <v>115</v>
      </c>
      <c r="R29" s="33">
        <v>4</v>
      </c>
      <c r="S29" s="33">
        <v>201</v>
      </c>
      <c r="T29" s="33">
        <v>845</v>
      </c>
      <c r="U29" s="33">
        <v>5</v>
      </c>
      <c r="V29" s="33">
        <v>29</v>
      </c>
      <c r="W29" s="33">
        <v>217</v>
      </c>
      <c r="X29" s="33">
        <v>1</v>
      </c>
      <c r="Y29" s="33">
        <v>142.19999999999999</v>
      </c>
      <c r="AA29" t="s">
        <v>804</v>
      </c>
      <c r="AB29" t="s">
        <v>1039</v>
      </c>
      <c r="AC29" t="s">
        <v>146</v>
      </c>
      <c r="AD29">
        <v>5</v>
      </c>
      <c r="AE29">
        <v>72</v>
      </c>
      <c r="AF29">
        <v>989</v>
      </c>
      <c r="AG29">
        <v>6</v>
      </c>
      <c r="AH29">
        <v>5</v>
      </c>
      <c r="AI29">
        <v>46</v>
      </c>
      <c r="AJ29">
        <v>0</v>
      </c>
      <c r="AK29">
        <v>139.5</v>
      </c>
      <c r="AM29" t="s">
        <v>804</v>
      </c>
      <c r="AN29" t="s">
        <v>1040</v>
      </c>
      <c r="AO29" t="s">
        <v>142</v>
      </c>
      <c r="AP29">
        <v>6</v>
      </c>
      <c r="AQ29">
        <v>39</v>
      </c>
      <c r="AR29">
        <v>416</v>
      </c>
      <c r="AS29">
        <v>3</v>
      </c>
      <c r="AT29">
        <v>59.6</v>
      </c>
      <c r="AV29" t="s">
        <v>804</v>
      </c>
      <c r="AW29" t="s">
        <v>1041</v>
      </c>
      <c r="AX29" t="s">
        <v>139</v>
      </c>
      <c r="AY29">
        <v>11</v>
      </c>
      <c r="AZ29">
        <v>24</v>
      </c>
      <c r="BA29">
        <v>28</v>
      </c>
      <c r="BB29">
        <v>0.85699999999999998</v>
      </c>
      <c r="BC29">
        <v>34</v>
      </c>
      <c r="BD29">
        <v>34</v>
      </c>
      <c r="BE29">
        <v>106</v>
      </c>
      <c r="BG29" t="s">
        <v>804</v>
      </c>
      <c r="BH29" t="s">
        <v>164</v>
      </c>
      <c r="BI29">
        <v>11</v>
      </c>
      <c r="BJ29">
        <v>39</v>
      </c>
      <c r="BK29">
        <v>10</v>
      </c>
      <c r="BL29">
        <v>11</v>
      </c>
      <c r="BM29">
        <v>2</v>
      </c>
      <c r="BN29">
        <v>388</v>
      </c>
      <c r="BO29">
        <v>240.9</v>
      </c>
      <c r="BP29">
        <v>110.3</v>
      </c>
      <c r="BQ29">
        <v>1</v>
      </c>
      <c r="BR29">
        <v>0</v>
      </c>
      <c r="BS29">
        <v>74</v>
      </c>
      <c r="BU29">
        <v>27</v>
      </c>
      <c r="BV29" t="s">
        <v>3</v>
      </c>
      <c r="BW29" t="s">
        <v>979</v>
      </c>
      <c r="BX29" t="s">
        <v>96</v>
      </c>
      <c r="BY29">
        <v>25</v>
      </c>
    </row>
    <row r="30" spans="1:77" ht="12.75" customHeight="1">
      <c r="A30" s="33" t="s">
        <v>804</v>
      </c>
      <c r="B30" s="33" t="s">
        <v>1042</v>
      </c>
      <c r="C30" s="33" t="s">
        <v>194</v>
      </c>
      <c r="D30" s="33">
        <v>7</v>
      </c>
      <c r="E30" s="33">
        <v>231</v>
      </c>
      <c r="F30" s="33">
        <v>373</v>
      </c>
      <c r="G30" s="33">
        <v>2759</v>
      </c>
      <c r="H30" s="33">
        <v>16</v>
      </c>
      <c r="I30" s="33">
        <v>14</v>
      </c>
      <c r="J30" s="33">
        <v>27</v>
      </c>
      <c r="K30" s="33">
        <v>129</v>
      </c>
      <c r="L30" s="33">
        <v>1</v>
      </c>
      <c r="M30" s="33">
        <v>220.9</v>
      </c>
      <c r="N30" s="33"/>
      <c r="O30" s="33" t="s">
        <v>804</v>
      </c>
      <c r="P30" s="33" t="s">
        <v>1043</v>
      </c>
      <c r="Q30" s="33" t="s">
        <v>154</v>
      </c>
      <c r="R30" s="33">
        <v>10</v>
      </c>
      <c r="S30" s="33">
        <v>200</v>
      </c>
      <c r="T30" s="33">
        <v>878</v>
      </c>
      <c r="U30" s="33">
        <v>8</v>
      </c>
      <c r="V30" s="33">
        <v>9</v>
      </c>
      <c r="W30" s="33">
        <v>57</v>
      </c>
      <c r="X30" s="33">
        <v>0</v>
      </c>
      <c r="Y30" s="33">
        <v>141.5</v>
      </c>
      <c r="AA30" t="s">
        <v>804</v>
      </c>
      <c r="AB30" t="s">
        <v>1044</v>
      </c>
      <c r="AC30" t="s">
        <v>930</v>
      </c>
      <c r="AD30">
        <v>10</v>
      </c>
      <c r="AE30">
        <v>61</v>
      </c>
      <c r="AF30">
        <v>940</v>
      </c>
      <c r="AG30">
        <v>6</v>
      </c>
      <c r="AH30">
        <v>3</v>
      </c>
      <c r="AI30">
        <v>22</v>
      </c>
      <c r="AJ30">
        <v>0</v>
      </c>
      <c r="AK30">
        <v>132.19999999999999</v>
      </c>
      <c r="AM30" t="s">
        <v>804</v>
      </c>
      <c r="AN30" t="s">
        <v>1045</v>
      </c>
      <c r="AO30" t="s">
        <v>168</v>
      </c>
      <c r="AP30">
        <v>5</v>
      </c>
      <c r="AQ30">
        <v>38</v>
      </c>
      <c r="AR30">
        <v>415</v>
      </c>
      <c r="AS30">
        <v>3</v>
      </c>
      <c r="AT30">
        <v>59.5</v>
      </c>
      <c r="AV30" t="s">
        <v>804</v>
      </c>
      <c r="AW30" t="s">
        <v>1046</v>
      </c>
      <c r="AX30" t="s">
        <v>198</v>
      </c>
      <c r="AY30">
        <v>9</v>
      </c>
      <c r="AZ30">
        <v>22</v>
      </c>
      <c r="BA30">
        <v>27</v>
      </c>
      <c r="BB30">
        <v>0.81499999999999995</v>
      </c>
      <c r="BC30">
        <v>37</v>
      </c>
      <c r="BD30">
        <v>37</v>
      </c>
      <c r="BE30">
        <v>103</v>
      </c>
      <c r="BG30" t="s">
        <v>804</v>
      </c>
      <c r="BH30" t="s">
        <v>149</v>
      </c>
      <c r="BI30">
        <v>10</v>
      </c>
      <c r="BJ30">
        <v>34</v>
      </c>
      <c r="BK30">
        <v>10</v>
      </c>
      <c r="BL30">
        <v>11</v>
      </c>
      <c r="BM30">
        <v>1</v>
      </c>
      <c r="BN30">
        <v>440</v>
      </c>
      <c r="BO30">
        <v>263.7</v>
      </c>
      <c r="BP30">
        <v>109.1</v>
      </c>
      <c r="BQ30">
        <v>0</v>
      </c>
      <c r="BR30">
        <v>2</v>
      </c>
      <c r="BS30">
        <v>73</v>
      </c>
      <c r="BU30">
        <v>28</v>
      </c>
      <c r="BV30" t="s">
        <v>3</v>
      </c>
      <c r="BW30" t="s">
        <v>957</v>
      </c>
      <c r="BX30" t="s">
        <v>161</v>
      </c>
      <c r="BY30">
        <v>25</v>
      </c>
    </row>
    <row r="31" spans="1:77" ht="12.75" customHeight="1">
      <c r="A31" s="33" t="s">
        <v>804</v>
      </c>
      <c r="B31" s="33" t="s">
        <v>1047</v>
      </c>
      <c r="C31" s="33" t="s">
        <v>132</v>
      </c>
      <c r="D31" s="33">
        <v>10</v>
      </c>
      <c r="E31" s="33">
        <v>206</v>
      </c>
      <c r="F31" s="33">
        <v>343</v>
      </c>
      <c r="G31" s="33">
        <v>2365</v>
      </c>
      <c r="H31" s="33">
        <v>15</v>
      </c>
      <c r="I31" s="33">
        <v>14</v>
      </c>
      <c r="J31" s="33">
        <v>46</v>
      </c>
      <c r="K31" s="33">
        <v>204</v>
      </c>
      <c r="L31" s="33">
        <v>1</v>
      </c>
      <c r="M31" s="33">
        <v>204.7</v>
      </c>
      <c r="N31" s="33"/>
      <c r="O31" s="33" t="s">
        <v>804</v>
      </c>
      <c r="P31" s="33" t="s">
        <v>988</v>
      </c>
      <c r="Q31" s="33" t="s">
        <v>168</v>
      </c>
      <c r="R31" s="33">
        <v>5</v>
      </c>
      <c r="S31" s="33">
        <v>197</v>
      </c>
      <c r="T31" s="33">
        <v>789</v>
      </c>
      <c r="U31" s="33">
        <v>5</v>
      </c>
      <c r="V31" s="33">
        <v>36</v>
      </c>
      <c r="W31" s="33">
        <v>245</v>
      </c>
      <c r="X31" s="33">
        <v>1</v>
      </c>
      <c r="Y31" s="33">
        <v>139.4</v>
      </c>
      <c r="AA31" t="s">
        <v>804</v>
      </c>
      <c r="AB31" t="s">
        <v>1048</v>
      </c>
      <c r="AC31" t="s">
        <v>154</v>
      </c>
      <c r="AD31">
        <v>10</v>
      </c>
      <c r="AE31">
        <v>84</v>
      </c>
      <c r="AF31">
        <v>946</v>
      </c>
      <c r="AG31">
        <v>6</v>
      </c>
      <c r="AH31">
        <v>0</v>
      </c>
      <c r="AI31">
        <v>0</v>
      </c>
      <c r="AJ31">
        <v>0</v>
      </c>
      <c r="AK31">
        <v>130.6</v>
      </c>
      <c r="AM31" t="s">
        <v>804</v>
      </c>
      <c r="AN31" t="s">
        <v>1049</v>
      </c>
      <c r="AO31" t="s">
        <v>119</v>
      </c>
      <c r="AP31">
        <v>11</v>
      </c>
      <c r="AQ31">
        <v>35</v>
      </c>
      <c r="AR31">
        <v>389</v>
      </c>
      <c r="AS31">
        <v>3</v>
      </c>
      <c r="AT31">
        <v>56.9</v>
      </c>
      <c r="AV31" t="s">
        <v>804</v>
      </c>
      <c r="AW31" t="s">
        <v>1050</v>
      </c>
      <c r="AX31" t="s">
        <v>146</v>
      </c>
      <c r="AY31">
        <v>5</v>
      </c>
      <c r="AZ31">
        <v>23</v>
      </c>
      <c r="BA31">
        <v>29</v>
      </c>
      <c r="BB31">
        <v>0.79300000000000004</v>
      </c>
      <c r="BC31">
        <v>33</v>
      </c>
      <c r="BD31">
        <v>33</v>
      </c>
      <c r="BE31">
        <v>102</v>
      </c>
      <c r="BG31" t="s">
        <v>804</v>
      </c>
      <c r="BH31" t="s">
        <v>193</v>
      </c>
      <c r="BI31">
        <v>7</v>
      </c>
      <c r="BJ31">
        <v>31</v>
      </c>
      <c r="BK31">
        <v>7</v>
      </c>
      <c r="BL31">
        <v>14</v>
      </c>
      <c r="BM31">
        <v>3</v>
      </c>
      <c r="BN31">
        <v>415</v>
      </c>
      <c r="BO31">
        <v>271.3</v>
      </c>
      <c r="BP31">
        <v>105</v>
      </c>
      <c r="BQ31">
        <v>1</v>
      </c>
      <c r="BR31">
        <v>0</v>
      </c>
      <c r="BS31">
        <v>72</v>
      </c>
      <c r="BU31">
        <v>29</v>
      </c>
      <c r="BV31" t="s">
        <v>2</v>
      </c>
      <c r="BW31" t="s">
        <v>941</v>
      </c>
      <c r="BX31" t="s">
        <v>185</v>
      </c>
      <c r="BY31">
        <v>24</v>
      </c>
    </row>
    <row r="32" spans="1:77" ht="12.75" customHeight="1">
      <c r="A32" s="33" t="s">
        <v>804</v>
      </c>
      <c r="B32" s="33" t="s">
        <v>1051</v>
      </c>
      <c r="C32" s="33" t="s">
        <v>198</v>
      </c>
      <c r="D32" s="33">
        <v>9</v>
      </c>
      <c r="E32" s="33">
        <v>207</v>
      </c>
      <c r="F32" s="33">
        <v>357</v>
      </c>
      <c r="G32" s="33">
        <v>2249</v>
      </c>
      <c r="H32" s="33">
        <v>11</v>
      </c>
      <c r="I32" s="33">
        <v>13</v>
      </c>
      <c r="J32" s="33">
        <v>41</v>
      </c>
      <c r="K32" s="33">
        <v>262</v>
      </c>
      <c r="L32" s="33">
        <v>1</v>
      </c>
      <c r="M32" s="33">
        <v>188.7</v>
      </c>
      <c r="N32" s="33"/>
      <c r="O32" s="33" t="s">
        <v>804</v>
      </c>
      <c r="P32" s="33" t="s">
        <v>1052</v>
      </c>
      <c r="Q32" s="33" t="s">
        <v>154</v>
      </c>
      <c r="R32" s="33">
        <v>10</v>
      </c>
      <c r="S32" s="33">
        <v>124</v>
      </c>
      <c r="T32" s="33">
        <v>535</v>
      </c>
      <c r="U32" s="33">
        <v>2</v>
      </c>
      <c r="V32" s="33">
        <v>65</v>
      </c>
      <c r="W32" s="33">
        <v>545</v>
      </c>
      <c r="X32" s="33">
        <v>3</v>
      </c>
      <c r="Y32" s="33">
        <v>138</v>
      </c>
      <c r="AA32" t="s">
        <v>804</v>
      </c>
      <c r="AB32" t="s">
        <v>1053</v>
      </c>
      <c r="AC32" t="s">
        <v>198</v>
      </c>
      <c r="AD32">
        <v>9</v>
      </c>
      <c r="AE32">
        <v>83</v>
      </c>
      <c r="AF32">
        <v>1025</v>
      </c>
      <c r="AG32">
        <v>4</v>
      </c>
      <c r="AH32">
        <v>0</v>
      </c>
      <c r="AI32">
        <v>0</v>
      </c>
      <c r="AJ32">
        <v>0</v>
      </c>
      <c r="AK32">
        <v>126.5</v>
      </c>
      <c r="AM32" t="s">
        <v>804</v>
      </c>
      <c r="AN32" t="s">
        <v>1054</v>
      </c>
      <c r="AO32" t="s">
        <v>135</v>
      </c>
      <c r="AP32">
        <v>10</v>
      </c>
      <c r="AQ32">
        <v>35</v>
      </c>
      <c r="AR32">
        <v>385</v>
      </c>
      <c r="AS32">
        <v>3</v>
      </c>
      <c r="AT32">
        <v>56.5</v>
      </c>
      <c r="AV32" t="s">
        <v>804</v>
      </c>
      <c r="AW32" t="s">
        <v>1055</v>
      </c>
      <c r="AX32" t="s">
        <v>194</v>
      </c>
      <c r="AY32">
        <v>7</v>
      </c>
      <c r="AZ32">
        <v>22</v>
      </c>
      <c r="BA32">
        <v>27</v>
      </c>
      <c r="BB32">
        <v>0.81499999999999995</v>
      </c>
      <c r="BC32">
        <v>35</v>
      </c>
      <c r="BD32">
        <v>35</v>
      </c>
      <c r="BE32">
        <v>101</v>
      </c>
      <c r="BG32" t="s">
        <v>804</v>
      </c>
      <c r="BH32" t="s">
        <v>177</v>
      </c>
      <c r="BI32">
        <v>10</v>
      </c>
      <c r="BJ32">
        <v>37</v>
      </c>
      <c r="BK32">
        <v>10</v>
      </c>
      <c r="BL32">
        <v>12</v>
      </c>
      <c r="BM32">
        <v>2</v>
      </c>
      <c r="BN32">
        <v>335</v>
      </c>
      <c r="BO32">
        <v>237.2</v>
      </c>
      <c r="BP32">
        <v>120.3</v>
      </c>
      <c r="BQ32">
        <v>0</v>
      </c>
      <c r="BR32">
        <v>0</v>
      </c>
      <c r="BS32">
        <v>71</v>
      </c>
      <c r="BU32">
        <v>30</v>
      </c>
      <c r="BV32" t="s">
        <v>3</v>
      </c>
      <c r="BW32" t="s">
        <v>936</v>
      </c>
      <c r="BX32" t="s">
        <v>109</v>
      </c>
      <c r="BY32">
        <v>24</v>
      </c>
    </row>
    <row r="33" spans="1:77" ht="12.75" customHeight="1">
      <c r="A33" s="33" t="s">
        <v>804</v>
      </c>
      <c r="B33" s="33" t="s">
        <v>1056</v>
      </c>
      <c r="C33" s="33" t="s">
        <v>139</v>
      </c>
      <c r="D33" s="33">
        <v>11</v>
      </c>
      <c r="E33" s="33">
        <v>226</v>
      </c>
      <c r="F33" s="33">
        <v>390</v>
      </c>
      <c r="G33" s="33">
        <v>2456</v>
      </c>
      <c r="H33" s="33">
        <v>13</v>
      </c>
      <c r="I33" s="33">
        <v>11</v>
      </c>
      <c r="J33" s="33">
        <v>10</v>
      </c>
      <c r="K33" s="33">
        <v>34</v>
      </c>
      <c r="L33" s="33">
        <v>0</v>
      </c>
      <c r="M33" s="33">
        <v>178.2</v>
      </c>
      <c r="N33" s="33"/>
      <c r="O33" s="33" t="s">
        <v>804</v>
      </c>
      <c r="P33" s="33" t="s">
        <v>1057</v>
      </c>
      <c r="Q33" s="33" t="s">
        <v>158</v>
      </c>
      <c r="R33" s="33">
        <v>6</v>
      </c>
      <c r="S33" s="33">
        <v>127</v>
      </c>
      <c r="T33" s="33">
        <v>533</v>
      </c>
      <c r="U33" s="33">
        <v>4</v>
      </c>
      <c r="V33" s="33">
        <v>70</v>
      </c>
      <c r="W33" s="33">
        <v>478</v>
      </c>
      <c r="X33" s="33">
        <v>2</v>
      </c>
      <c r="Y33" s="33">
        <v>137.1</v>
      </c>
      <c r="AA33" t="s">
        <v>804</v>
      </c>
      <c r="AB33" t="s">
        <v>1058</v>
      </c>
      <c r="AC33" t="s">
        <v>146</v>
      </c>
      <c r="AD33">
        <v>5</v>
      </c>
      <c r="AE33">
        <v>70</v>
      </c>
      <c r="AF33">
        <v>960</v>
      </c>
      <c r="AG33">
        <v>5</v>
      </c>
      <c r="AH33">
        <v>0</v>
      </c>
      <c r="AI33">
        <v>0</v>
      </c>
      <c r="AJ33">
        <v>0</v>
      </c>
      <c r="AK33">
        <v>126</v>
      </c>
      <c r="AM33" t="s">
        <v>804</v>
      </c>
      <c r="AN33" t="s">
        <v>1059</v>
      </c>
      <c r="AO33" t="s">
        <v>125</v>
      </c>
      <c r="AP33">
        <v>9</v>
      </c>
      <c r="AQ33">
        <v>35</v>
      </c>
      <c r="AR33">
        <v>335</v>
      </c>
      <c r="AS33">
        <v>3</v>
      </c>
      <c r="AT33">
        <v>51.5</v>
      </c>
      <c r="AV33" t="s">
        <v>804</v>
      </c>
      <c r="AW33" t="s">
        <v>1060</v>
      </c>
      <c r="AX33" t="s">
        <v>132</v>
      </c>
      <c r="AY33">
        <v>10</v>
      </c>
      <c r="AZ33">
        <v>22</v>
      </c>
      <c r="BA33">
        <v>27</v>
      </c>
      <c r="BB33">
        <v>0.81499999999999995</v>
      </c>
      <c r="BC33">
        <v>34</v>
      </c>
      <c r="BD33">
        <v>34</v>
      </c>
      <c r="BE33">
        <v>100</v>
      </c>
      <c r="BG33" t="s">
        <v>804</v>
      </c>
      <c r="BH33" t="s">
        <v>160</v>
      </c>
      <c r="BI33">
        <v>8</v>
      </c>
      <c r="BJ33">
        <v>31</v>
      </c>
      <c r="BK33">
        <v>10</v>
      </c>
      <c r="BL33">
        <v>13</v>
      </c>
      <c r="BM33">
        <v>2</v>
      </c>
      <c r="BN33">
        <v>395</v>
      </c>
      <c r="BO33">
        <v>248.8</v>
      </c>
      <c r="BP33">
        <v>121.9</v>
      </c>
      <c r="BQ33">
        <v>1</v>
      </c>
      <c r="BR33">
        <v>0</v>
      </c>
      <c r="BS33">
        <v>68</v>
      </c>
      <c r="BU33">
        <v>31</v>
      </c>
      <c r="BV33" t="s">
        <v>2</v>
      </c>
      <c r="BW33" t="s">
        <v>1061</v>
      </c>
      <c r="BX33" t="s">
        <v>939</v>
      </c>
      <c r="BY33">
        <v>24</v>
      </c>
    </row>
    <row r="34" spans="1:77" ht="12.75" customHeight="1">
      <c r="A34" s="33" t="s">
        <v>804</v>
      </c>
      <c r="B34" s="33" t="s">
        <v>1062</v>
      </c>
      <c r="C34" s="33" t="s">
        <v>150</v>
      </c>
      <c r="D34" s="33">
        <v>10</v>
      </c>
      <c r="E34" s="33">
        <v>181</v>
      </c>
      <c r="F34" s="33">
        <v>306</v>
      </c>
      <c r="G34" s="33">
        <v>2145</v>
      </c>
      <c r="H34" s="33">
        <v>15</v>
      </c>
      <c r="I34" s="33">
        <v>12</v>
      </c>
      <c r="J34" s="33">
        <v>26</v>
      </c>
      <c r="K34" s="33">
        <v>81</v>
      </c>
      <c r="L34" s="33">
        <v>0</v>
      </c>
      <c r="M34" s="33">
        <v>175.4</v>
      </c>
      <c r="N34" s="33"/>
      <c r="O34" s="33" t="s">
        <v>804</v>
      </c>
      <c r="P34" s="33" t="s">
        <v>1063</v>
      </c>
      <c r="Q34" s="33" t="s">
        <v>102</v>
      </c>
      <c r="R34" s="33">
        <v>9</v>
      </c>
      <c r="S34" s="33">
        <v>179</v>
      </c>
      <c r="T34" s="33">
        <v>735</v>
      </c>
      <c r="U34" s="33">
        <v>5</v>
      </c>
      <c r="V34" s="33">
        <v>33</v>
      </c>
      <c r="W34" s="33">
        <v>229</v>
      </c>
      <c r="X34" s="33">
        <v>1</v>
      </c>
      <c r="Y34" s="33">
        <v>132.4</v>
      </c>
      <c r="AA34" t="s">
        <v>804</v>
      </c>
      <c r="AB34" t="s">
        <v>1064</v>
      </c>
      <c r="AC34" t="s">
        <v>142</v>
      </c>
      <c r="AD34">
        <v>6</v>
      </c>
      <c r="AE34">
        <v>69</v>
      </c>
      <c r="AF34">
        <v>884</v>
      </c>
      <c r="AG34">
        <v>6</v>
      </c>
      <c r="AH34">
        <v>0</v>
      </c>
      <c r="AI34">
        <v>0</v>
      </c>
      <c r="AJ34">
        <v>0</v>
      </c>
      <c r="AK34">
        <v>124.4</v>
      </c>
      <c r="AM34" t="s">
        <v>804</v>
      </c>
      <c r="AN34" t="s">
        <v>1065</v>
      </c>
      <c r="AO34" t="s">
        <v>112</v>
      </c>
      <c r="AP34">
        <v>4</v>
      </c>
      <c r="AQ34">
        <v>37</v>
      </c>
      <c r="AR34">
        <v>388</v>
      </c>
      <c r="AS34">
        <v>2</v>
      </c>
      <c r="AT34">
        <v>50.8</v>
      </c>
      <c r="AV34" t="s">
        <v>804</v>
      </c>
      <c r="AW34" t="s">
        <v>1066</v>
      </c>
      <c r="AX34" t="s">
        <v>115</v>
      </c>
      <c r="AY34">
        <v>4</v>
      </c>
      <c r="AZ34">
        <v>20</v>
      </c>
      <c r="BA34">
        <v>25</v>
      </c>
      <c r="BB34">
        <v>0.8</v>
      </c>
      <c r="BC34">
        <v>33</v>
      </c>
      <c r="BD34">
        <v>33</v>
      </c>
      <c r="BE34">
        <v>93</v>
      </c>
      <c r="BG34" t="s">
        <v>804</v>
      </c>
      <c r="BH34" t="s">
        <v>95</v>
      </c>
      <c r="BI34">
        <v>9</v>
      </c>
      <c r="BJ34">
        <v>30</v>
      </c>
      <c r="BK34">
        <v>11</v>
      </c>
      <c r="BL34">
        <v>13</v>
      </c>
      <c r="BM34">
        <v>2</v>
      </c>
      <c r="BN34">
        <v>401</v>
      </c>
      <c r="BO34">
        <v>245</v>
      </c>
      <c r="BP34">
        <v>129.69999999999999</v>
      </c>
      <c r="BQ34">
        <v>0</v>
      </c>
      <c r="BR34">
        <v>0</v>
      </c>
      <c r="BS34">
        <v>66</v>
      </c>
      <c r="BU34">
        <v>32</v>
      </c>
      <c r="BV34" t="s">
        <v>3</v>
      </c>
      <c r="BW34" t="s">
        <v>1067</v>
      </c>
      <c r="BX34" t="s">
        <v>161</v>
      </c>
      <c r="BY34">
        <v>24</v>
      </c>
    </row>
    <row r="35" spans="1:77" ht="12.75" customHeight="1">
      <c r="A35" s="33" t="s">
        <v>804</v>
      </c>
      <c r="B35" s="33" t="s">
        <v>1068</v>
      </c>
      <c r="C35" s="33" t="s">
        <v>198</v>
      </c>
      <c r="D35" s="33">
        <v>9</v>
      </c>
      <c r="E35" s="33">
        <v>122</v>
      </c>
      <c r="F35" s="33">
        <v>199</v>
      </c>
      <c r="G35" s="33">
        <v>1355</v>
      </c>
      <c r="H35" s="33">
        <v>9</v>
      </c>
      <c r="I35" s="33">
        <v>5</v>
      </c>
      <c r="J35" s="33">
        <v>21</v>
      </c>
      <c r="K35" s="33">
        <v>111</v>
      </c>
      <c r="L35" s="33">
        <v>0</v>
      </c>
      <c r="M35" s="33">
        <v>114.9</v>
      </c>
      <c r="N35" s="33"/>
      <c r="O35" s="33" t="s">
        <v>804</v>
      </c>
      <c r="P35" s="33" t="s">
        <v>1069</v>
      </c>
      <c r="Q35" s="33" t="s">
        <v>106</v>
      </c>
      <c r="R35" s="33">
        <v>12</v>
      </c>
      <c r="S35" s="33">
        <v>178</v>
      </c>
      <c r="T35" s="33">
        <v>767</v>
      </c>
      <c r="U35" s="33">
        <v>3</v>
      </c>
      <c r="V35" s="33">
        <v>26</v>
      </c>
      <c r="W35" s="33">
        <v>235</v>
      </c>
      <c r="X35" s="33">
        <v>1</v>
      </c>
      <c r="Y35" s="33">
        <v>124.2</v>
      </c>
      <c r="AA35" t="s">
        <v>804</v>
      </c>
      <c r="AB35" t="s">
        <v>1070</v>
      </c>
      <c r="AC35" t="s">
        <v>122</v>
      </c>
      <c r="AD35">
        <v>4</v>
      </c>
      <c r="AE35">
        <v>62</v>
      </c>
      <c r="AF35">
        <v>845</v>
      </c>
      <c r="AG35">
        <v>6</v>
      </c>
      <c r="AH35">
        <v>0</v>
      </c>
      <c r="AI35">
        <v>0</v>
      </c>
      <c r="AJ35">
        <v>0</v>
      </c>
      <c r="AK35">
        <v>120.5</v>
      </c>
      <c r="AM35" t="s">
        <v>804</v>
      </c>
      <c r="AN35" t="s">
        <v>1071</v>
      </c>
      <c r="AO35" t="s">
        <v>1072</v>
      </c>
      <c r="AP35" t="s">
        <v>1073</v>
      </c>
      <c r="AQ35">
        <v>27</v>
      </c>
      <c r="AR35">
        <v>314</v>
      </c>
      <c r="AS35">
        <v>3</v>
      </c>
      <c r="AT35">
        <v>49.4</v>
      </c>
      <c r="BU35">
        <v>33</v>
      </c>
      <c r="BV35" t="s">
        <v>3</v>
      </c>
      <c r="BW35" t="s">
        <v>948</v>
      </c>
      <c r="BX35" t="s">
        <v>915</v>
      </c>
      <c r="BY35">
        <v>23</v>
      </c>
    </row>
    <row r="36" spans="1:77" ht="12.75" customHeight="1">
      <c r="A36" s="33" t="s">
        <v>804</v>
      </c>
      <c r="B36" s="33" t="s">
        <v>1074</v>
      </c>
      <c r="C36" s="33" t="s">
        <v>150</v>
      </c>
      <c r="D36" s="33">
        <v>10</v>
      </c>
      <c r="E36" s="33">
        <v>111</v>
      </c>
      <c r="F36" s="33">
        <v>188</v>
      </c>
      <c r="G36" s="33">
        <v>1295</v>
      </c>
      <c r="H36" s="33">
        <v>6</v>
      </c>
      <c r="I36" s="33">
        <v>7</v>
      </c>
      <c r="J36" s="33">
        <v>33</v>
      </c>
      <c r="K36" s="33">
        <v>89</v>
      </c>
      <c r="L36" s="33">
        <v>0</v>
      </c>
      <c r="M36" s="33">
        <v>97.7</v>
      </c>
      <c r="N36" s="33"/>
      <c r="O36" s="33" t="s">
        <v>804</v>
      </c>
      <c r="P36" s="33" t="s">
        <v>1075</v>
      </c>
      <c r="Q36" s="33" t="s">
        <v>146</v>
      </c>
      <c r="R36" s="33">
        <v>5</v>
      </c>
      <c r="S36" s="33">
        <v>168</v>
      </c>
      <c r="T36" s="33">
        <v>740</v>
      </c>
      <c r="U36" s="33">
        <v>5</v>
      </c>
      <c r="V36" s="33">
        <v>28</v>
      </c>
      <c r="W36" s="33">
        <v>187</v>
      </c>
      <c r="X36" s="33">
        <v>0</v>
      </c>
      <c r="Y36" s="33">
        <v>122.7</v>
      </c>
      <c r="AA36" t="s">
        <v>804</v>
      </c>
      <c r="AB36" t="s">
        <v>1076</v>
      </c>
      <c r="AC36" t="s">
        <v>165</v>
      </c>
      <c r="AD36">
        <v>11</v>
      </c>
      <c r="AE36">
        <v>64</v>
      </c>
      <c r="AF36">
        <v>837</v>
      </c>
      <c r="AG36">
        <v>6</v>
      </c>
      <c r="AH36">
        <v>0</v>
      </c>
      <c r="AI36">
        <v>0</v>
      </c>
      <c r="AJ36">
        <v>0</v>
      </c>
      <c r="AK36">
        <v>119.7</v>
      </c>
      <c r="AM36" t="s">
        <v>804</v>
      </c>
      <c r="AN36" t="s">
        <v>1077</v>
      </c>
      <c r="AO36" t="s">
        <v>96</v>
      </c>
      <c r="AP36">
        <v>9</v>
      </c>
      <c r="AQ36">
        <v>37</v>
      </c>
      <c r="AR36">
        <v>367</v>
      </c>
      <c r="AS36">
        <v>2</v>
      </c>
      <c r="AT36">
        <v>48.7</v>
      </c>
      <c r="BU36">
        <v>34</v>
      </c>
      <c r="BV36" t="s">
        <v>2</v>
      </c>
      <c r="BW36" t="s">
        <v>1078</v>
      </c>
      <c r="BX36" t="s">
        <v>190</v>
      </c>
      <c r="BY36">
        <v>22</v>
      </c>
    </row>
    <row r="37" spans="1:77" ht="12.75" customHeight="1">
      <c r="A37" s="33" t="s">
        <v>804</v>
      </c>
      <c r="B37" s="33" t="s">
        <v>1079</v>
      </c>
      <c r="C37" s="33" t="s">
        <v>139</v>
      </c>
      <c r="D37" s="33">
        <v>11</v>
      </c>
      <c r="E37" s="33">
        <v>97</v>
      </c>
      <c r="F37" s="33">
        <v>164</v>
      </c>
      <c r="G37" s="33">
        <v>1129</v>
      </c>
      <c r="H37" s="33">
        <v>6</v>
      </c>
      <c r="I37" s="33">
        <v>6</v>
      </c>
      <c r="J37" s="33">
        <v>24</v>
      </c>
      <c r="K37" s="33">
        <v>75</v>
      </c>
      <c r="L37" s="33">
        <v>0</v>
      </c>
      <c r="M37" s="33">
        <v>88</v>
      </c>
      <c r="N37" s="33"/>
      <c r="O37" s="33" t="s">
        <v>804</v>
      </c>
      <c r="P37" s="33" t="s">
        <v>1078</v>
      </c>
      <c r="Q37" s="33" t="s">
        <v>96</v>
      </c>
      <c r="R37" s="33">
        <v>9</v>
      </c>
      <c r="S37" s="33">
        <v>155</v>
      </c>
      <c r="T37" s="33">
        <v>635</v>
      </c>
      <c r="U37" s="33">
        <v>5</v>
      </c>
      <c r="V37" s="33">
        <v>35</v>
      </c>
      <c r="W37" s="33">
        <v>225</v>
      </c>
      <c r="X37" s="33">
        <v>1</v>
      </c>
      <c r="Y37" s="33">
        <v>122</v>
      </c>
      <c r="AA37" t="s">
        <v>804</v>
      </c>
      <c r="AB37" t="s">
        <v>1080</v>
      </c>
      <c r="AC37" t="s">
        <v>190</v>
      </c>
      <c r="AD37">
        <v>4</v>
      </c>
      <c r="AE37">
        <v>58</v>
      </c>
      <c r="AF37">
        <v>682</v>
      </c>
      <c r="AG37">
        <v>5</v>
      </c>
      <c r="AH37">
        <v>12</v>
      </c>
      <c r="AI37">
        <v>139</v>
      </c>
      <c r="AJ37">
        <v>1</v>
      </c>
      <c r="AK37">
        <v>118.1</v>
      </c>
      <c r="AM37" t="s">
        <v>804</v>
      </c>
      <c r="AN37" t="s">
        <v>1081</v>
      </c>
      <c r="AO37" t="s">
        <v>194</v>
      </c>
      <c r="AP37">
        <v>7</v>
      </c>
      <c r="AQ37">
        <v>33</v>
      </c>
      <c r="AR37">
        <v>344</v>
      </c>
      <c r="AS37">
        <v>2</v>
      </c>
      <c r="AT37">
        <v>46.4</v>
      </c>
      <c r="BU37">
        <v>35</v>
      </c>
      <c r="BV37" t="s">
        <v>0</v>
      </c>
      <c r="BW37" t="s">
        <v>1082</v>
      </c>
      <c r="BX37" t="s">
        <v>172</v>
      </c>
      <c r="BY37">
        <v>22</v>
      </c>
    </row>
    <row r="38" spans="1:77" ht="12.75" customHeight="1">
      <c r="A38" s="33" t="s">
        <v>804</v>
      </c>
      <c r="B38" s="33" t="s">
        <v>1083</v>
      </c>
      <c r="C38" s="33" t="s">
        <v>132</v>
      </c>
      <c r="D38" s="33">
        <v>10</v>
      </c>
      <c r="E38" s="33">
        <v>88</v>
      </c>
      <c r="F38" s="33">
        <v>153</v>
      </c>
      <c r="G38" s="33">
        <v>1022</v>
      </c>
      <c r="H38" s="33">
        <v>5</v>
      </c>
      <c r="I38" s="33">
        <v>5</v>
      </c>
      <c r="J38" s="33">
        <v>15</v>
      </c>
      <c r="K38" s="33">
        <v>67</v>
      </c>
      <c r="L38" s="33">
        <v>0</v>
      </c>
      <c r="M38" s="33">
        <v>77.8</v>
      </c>
      <c r="N38" s="33"/>
      <c r="O38" s="33" t="s">
        <v>804</v>
      </c>
      <c r="P38" s="33" t="s">
        <v>1084</v>
      </c>
      <c r="Q38" s="33" t="s">
        <v>146</v>
      </c>
      <c r="R38" s="33">
        <v>5</v>
      </c>
      <c r="S38" s="33">
        <v>158</v>
      </c>
      <c r="T38" s="33">
        <v>647</v>
      </c>
      <c r="U38" s="33">
        <v>4</v>
      </c>
      <c r="V38" s="33">
        <v>33</v>
      </c>
      <c r="W38" s="33">
        <v>255</v>
      </c>
      <c r="X38" s="33">
        <v>1</v>
      </c>
      <c r="Y38" s="33">
        <v>120.2</v>
      </c>
      <c r="AA38" t="s">
        <v>804</v>
      </c>
      <c r="AB38" t="s">
        <v>1085</v>
      </c>
      <c r="AC38" t="s">
        <v>139</v>
      </c>
      <c r="AD38">
        <v>11</v>
      </c>
      <c r="AE38">
        <v>64</v>
      </c>
      <c r="AF38">
        <v>880</v>
      </c>
      <c r="AG38">
        <v>5</v>
      </c>
      <c r="AH38">
        <v>0</v>
      </c>
      <c r="AI38">
        <v>0</v>
      </c>
      <c r="AJ38">
        <v>0</v>
      </c>
      <c r="AK38">
        <v>118</v>
      </c>
      <c r="AM38" t="s">
        <v>804</v>
      </c>
      <c r="AN38" t="s">
        <v>1086</v>
      </c>
      <c r="AO38" t="s">
        <v>142</v>
      </c>
      <c r="AP38">
        <v>6</v>
      </c>
      <c r="AQ38">
        <v>35</v>
      </c>
      <c r="AR38">
        <v>329</v>
      </c>
      <c r="AS38">
        <v>2</v>
      </c>
      <c r="AT38">
        <v>44.9</v>
      </c>
      <c r="BU38">
        <v>36</v>
      </c>
      <c r="BV38" t="s">
        <v>2</v>
      </c>
      <c r="BW38" t="s">
        <v>973</v>
      </c>
      <c r="BX38" t="s">
        <v>1087</v>
      </c>
      <c r="BY38">
        <v>21</v>
      </c>
    </row>
    <row r="39" spans="1:77" ht="12.75" customHeight="1">
      <c r="A39" s="33" t="s">
        <v>804</v>
      </c>
      <c r="B39" s="33" t="s">
        <v>1088</v>
      </c>
      <c r="C39" s="33" t="s">
        <v>115</v>
      </c>
      <c r="D39" s="33">
        <v>4</v>
      </c>
      <c r="E39" s="33">
        <v>75</v>
      </c>
      <c r="F39" s="33">
        <v>128</v>
      </c>
      <c r="G39" s="33">
        <v>844</v>
      </c>
      <c r="H39" s="33">
        <v>7</v>
      </c>
      <c r="I39" s="33">
        <v>6</v>
      </c>
      <c r="J39" s="33">
        <v>22</v>
      </c>
      <c r="K39" s="33">
        <v>43</v>
      </c>
      <c r="L39" s="33">
        <v>0</v>
      </c>
      <c r="M39" s="33">
        <v>74.5</v>
      </c>
      <c r="N39" s="33"/>
      <c r="O39" s="33" t="s">
        <v>804</v>
      </c>
      <c r="P39" s="33" t="s">
        <v>1089</v>
      </c>
      <c r="Q39" s="33" t="s">
        <v>178</v>
      </c>
      <c r="R39" s="33">
        <v>10</v>
      </c>
      <c r="S39" s="33">
        <v>81</v>
      </c>
      <c r="T39" s="33">
        <v>322</v>
      </c>
      <c r="U39" s="33">
        <v>1</v>
      </c>
      <c r="V39" s="33">
        <v>71</v>
      </c>
      <c r="W39" s="33">
        <v>589</v>
      </c>
      <c r="X39" s="33">
        <v>3</v>
      </c>
      <c r="Y39" s="33">
        <v>115.1</v>
      </c>
      <c r="AA39" t="s">
        <v>804</v>
      </c>
      <c r="AB39" t="s">
        <v>1090</v>
      </c>
      <c r="AC39" t="s">
        <v>154</v>
      </c>
      <c r="AD39">
        <v>10</v>
      </c>
      <c r="AE39">
        <v>74</v>
      </c>
      <c r="AF39">
        <v>878</v>
      </c>
      <c r="AG39">
        <v>5</v>
      </c>
      <c r="AH39">
        <v>0</v>
      </c>
      <c r="AI39">
        <v>0</v>
      </c>
      <c r="AJ39">
        <v>0</v>
      </c>
      <c r="AK39">
        <v>117.8</v>
      </c>
      <c r="AM39" t="s">
        <v>804</v>
      </c>
      <c r="AN39" t="s">
        <v>1091</v>
      </c>
      <c r="AO39" t="s">
        <v>161</v>
      </c>
      <c r="AP39">
        <v>8</v>
      </c>
      <c r="AQ39">
        <v>28</v>
      </c>
      <c r="AR39">
        <v>324</v>
      </c>
      <c r="AS39">
        <v>2</v>
      </c>
      <c r="AT39">
        <v>44.4</v>
      </c>
      <c r="BU39">
        <v>37</v>
      </c>
      <c r="BV39" t="s">
        <v>3</v>
      </c>
      <c r="BW39" t="s">
        <v>918</v>
      </c>
      <c r="BX39" t="s">
        <v>119</v>
      </c>
      <c r="BY39">
        <v>21</v>
      </c>
    </row>
    <row r="40" spans="1:77" ht="12.75" customHeight="1">
      <c r="A40" s="33" t="s">
        <v>804</v>
      </c>
      <c r="B40" s="33" t="s">
        <v>1092</v>
      </c>
      <c r="C40" s="33" t="s">
        <v>194</v>
      </c>
      <c r="D40" s="33">
        <v>7</v>
      </c>
      <c r="E40" s="33">
        <v>67</v>
      </c>
      <c r="F40" s="33">
        <v>114</v>
      </c>
      <c r="G40" s="33">
        <v>788</v>
      </c>
      <c r="H40" s="33">
        <v>5</v>
      </c>
      <c r="I40" s="33">
        <v>5</v>
      </c>
      <c r="J40" s="33">
        <v>16</v>
      </c>
      <c r="K40" s="33">
        <v>19</v>
      </c>
      <c r="L40" s="33">
        <v>0</v>
      </c>
      <c r="M40" s="33">
        <v>61.3</v>
      </c>
      <c r="N40" s="33"/>
      <c r="O40" s="33" t="s">
        <v>804</v>
      </c>
      <c r="P40" s="33" t="s">
        <v>965</v>
      </c>
      <c r="Q40" s="33" t="s">
        <v>168</v>
      </c>
      <c r="R40" s="33">
        <v>5</v>
      </c>
      <c r="S40" s="33">
        <v>150</v>
      </c>
      <c r="T40" s="33">
        <v>629</v>
      </c>
      <c r="U40" s="33">
        <v>5</v>
      </c>
      <c r="V40" s="33">
        <v>32</v>
      </c>
      <c r="W40" s="33">
        <v>211</v>
      </c>
      <c r="X40" s="33">
        <v>0</v>
      </c>
      <c r="Y40" s="33">
        <v>114</v>
      </c>
      <c r="AA40" t="s">
        <v>804</v>
      </c>
      <c r="AB40" t="s">
        <v>1093</v>
      </c>
      <c r="AC40" t="s">
        <v>102</v>
      </c>
      <c r="AD40">
        <v>9</v>
      </c>
      <c r="AE40">
        <v>62</v>
      </c>
      <c r="AF40">
        <v>822</v>
      </c>
      <c r="AG40">
        <v>5</v>
      </c>
      <c r="AH40">
        <v>0</v>
      </c>
      <c r="AI40">
        <v>0</v>
      </c>
      <c r="AJ40">
        <v>0</v>
      </c>
      <c r="AK40">
        <v>112.2</v>
      </c>
      <c r="AM40" t="s">
        <v>804</v>
      </c>
      <c r="AN40" t="s">
        <v>1094</v>
      </c>
      <c r="AO40" t="s">
        <v>165</v>
      </c>
      <c r="AP40">
        <v>11</v>
      </c>
      <c r="AQ40">
        <v>31</v>
      </c>
      <c r="AR40">
        <v>313</v>
      </c>
      <c r="AS40">
        <v>2</v>
      </c>
      <c r="AT40">
        <v>43.3</v>
      </c>
      <c r="BU40">
        <v>38</v>
      </c>
      <c r="BV40" t="s">
        <v>0</v>
      </c>
      <c r="BW40" t="s">
        <v>972</v>
      </c>
      <c r="BX40" t="s">
        <v>119</v>
      </c>
      <c r="BY40">
        <v>19</v>
      </c>
    </row>
    <row r="41" spans="1:77" ht="12.75" customHeight="1">
      <c r="A41" s="33" t="s">
        <v>804</v>
      </c>
      <c r="B41" s="33" t="s">
        <v>1082</v>
      </c>
      <c r="C41" s="33" t="s">
        <v>165</v>
      </c>
      <c r="D41" s="33">
        <v>11</v>
      </c>
      <c r="E41" s="33">
        <v>41</v>
      </c>
      <c r="F41" s="33">
        <v>70</v>
      </c>
      <c r="G41" s="33">
        <v>475</v>
      </c>
      <c r="H41" s="33">
        <v>3</v>
      </c>
      <c r="I41" s="33">
        <v>2</v>
      </c>
      <c r="J41" s="33">
        <v>12</v>
      </c>
      <c r="K41" s="33">
        <v>76</v>
      </c>
      <c r="L41" s="33">
        <v>1</v>
      </c>
      <c r="M41" s="33">
        <v>49.4</v>
      </c>
      <c r="N41" s="33"/>
      <c r="O41" s="33" t="s">
        <v>804</v>
      </c>
      <c r="P41" s="33" t="s">
        <v>1095</v>
      </c>
      <c r="Q41" s="33" t="s">
        <v>158</v>
      </c>
      <c r="R41" s="33">
        <v>6</v>
      </c>
      <c r="S41" s="33">
        <v>166</v>
      </c>
      <c r="T41" s="33">
        <v>745</v>
      </c>
      <c r="U41" s="33">
        <v>5</v>
      </c>
      <c r="V41" s="33">
        <v>12</v>
      </c>
      <c r="W41" s="33">
        <v>84</v>
      </c>
      <c r="X41" s="33">
        <v>0</v>
      </c>
      <c r="Y41" s="33">
        <v>112.9</v>
      </c>
      <c r="AA41" t="s">
        <v>804</v>
      </c>
      <c r="AB41" t="s">
        <v>1096</v>
      </c>
      <c r="AC41" t="s">
        <v>135</v>
      </c>
      <c r="AD41">
        <v>10</v>
      </c>
      <c r="AE41">
        <v>63</v>
      </c>
      <c r="AF41">
        <v>814</v>
      </c>
      <c r="AG41">
        <v>5</v>
      </c>
      <c r="AH41">
        <v>0</v>
      </c>
      <c r="AI41">
        <v>0</v>
      </c>
      <c r="AJ41">
        <v>0</v>
      </c>
      <c r="AK41">
        <v>111.4</v>
      </c>
      <c r="AM41" t="s">
        <v>804</v>
      </c>
      <c r="AN41" t="s">
        <v>1097</v>
      </c>
      <c r="AO41" t="s">
        <v>128</v>
      </c>
      <c r="AP41">
        <v>9</v>
      </c>
      <c r="AQ41">
        <v>26</v>
      </c>
      <c r="AR41">
        <v>310</v>
      </c>
      <c r="AS41">
        <v>2</v>
      </c>
      <c r="AT41">
        <v>43</v>
      </c>
      <c r="BU41">
        <v>39</v>
      </c>
      <c r="BV41" t="s">
        <v>3</v>
      </c>
      <c r="BW41" t="s">
        <v>1039</v>
      </c>
      <c r="BX41" t="s">
        <v>175</v>
      </c>
      <c r="BY41">
        <v>19</v>
      </c>
    </row>
    <row r="42" spans="1:77" ht="12.75" customHeight="1">
      <c r="A42" s="33" t="s">
        <v>804</v>
      </c>
      <c r="B42" s="33" t="s">
        <v>1098</v>
      </c>
      <c r="C42" s="33" t="s">
        <v>930</v>
      </c>
      <c r="D42" s="33">
        <v>10</v>
      </c>
      <c r="E42" s="33">
        <v>36</v>
      </c>
      <c r="F42" s="33">
        <v>56</v>
      </c>
      <c r="G42" s="33">
        <v>449</v>
      </c>
      <c r="H42" s="33">
        <v>3</v>
      </c>
      <c r="I42" s="33">
        <v>2</v>
      </c>
      <c r="J42" s="33">
        <v>4</v>
      </c>
      <c r="K42" s="33">
        <v>15</v>
      </c>
      <c r="L42" s="33">
        <v>0</v>
      </c>
      <c r="M42" s="33">
        <v>36</v>
      </c>
      <c r="N42" s="33"/>
      <c r="O42" s="33" t="s">
        <v>804</v>
      </c>
      <c r="P42" s="33" t="s">
        <v>1099</v>
      </c>
      <c r="Q42" s="33" t="s">
        <v>112</v>
      </c>
      <c r="R42" s="33">
        <v>4</v>
      </c>
      <c r="S42" s="33">
        <v>150</v>
      </c>
      <c r="T42" s="33">
        <v>613</v>
      </c>
      <c r="U42" s="33">
        <v>6</v>
      </c>
      <c r="V42" s="33">
        <v>11</v>
      </c>
      <c r="W42" s="33">
        <v>69</v>
      </c>
      <c r="X42" s="33">
        <v>0</v>
      </c>
      <c r="Y42" s="33">
        <v>104.2</v>
      </c>
      <c r="AA42" t="s">
        <v>804</v>
      </c>
      <c r="AB42" t="s">
        <v>1100</v>
      </c>
      <c r="AC42" t="s">
        <v>119</v>
      </c>
      <c r="AD42">
        <v>11</v>
      </c>
      <c r="AE42">
        <v>53</v>
      </c>
      <c r="AF42">
        <v>795</v>
      </c>
      <c r="AG42">
        <v>5</v>
      </c>
      <c r="AH42">
        <v>0</v>
      </c>
      <c r="AI42">
        <v>0</v>
      </c>
      <c r="AJ42">
        <v>0</v>
      </c>
      <c r="AK42">
        <v>109.5</v>
      </c>
      <c r="AM42" t="s">
        <v>804</v>
      </c>
      <c r="AN42" t="s">
        <v>1101</v>
      </c>
      <c r="AO42" t="s">
        <v>82</v>
      </c>
      <c r="AP42">
        <v>4</v>
      </c>
      <c r="AQ42">
        <v>30</v>
      </c>
      <c r="AR42">
        <v>306</v>
      </c>
      <c r="AS42">
        <v>2</v>
      </c>
      <c r="AT42">
        <v>42.6</v>
      </c>
      <c r="BU42">
        <v>40</v>
      </c>
      <c r="BV42" t="s">
        <v>0</v>
      </c>
      <c r="BW42" t="s">
        <v>926</v>
      </c>
      <c r="BX42" t="s">
        <v>96</v>
      </c>
      <c r="BY42">
        <v>19</v>
      </c>
    </row>
    <row r="43" spans="1:77" ht="12.75" customHeight="1">
      <c r="A43" s="33" t="s">
        <v>804</v>
      </c>
      <c r="B43" s="33" t="s">
        <v>1102</v>
      </c>
      <c r="C43" s="33" t="s">
        <v>112</v>
      </c>
      <c r="D43" s="33">
        <v>4</v>
      </c>
      <c r="E43" s="33">
        <v>27</v>
      </c>
      <c r="F43" s="33">
        <v>46</v>
      </c>
      <c r="G43" s="33">
        <v>313</v>
      </c>
      <c r="H43" s="33">
        <v>1</v>
      </c>
      <c r="I43" s="33">
        <v>1</v>
      </c>
      <c r="J43" s="33">
        <v>1</v>
      </c>
      <c r="K43" s="33">
        <v>4</v>
      </c>
      <c r="L43" s="33">
        <v>0</v>
      </c>
      <c r="M43" s="33">
        <v>20.100000000000001</v>
      </c>
      <c r="N43" s="33"/>
      <c r="O43" s="33" t="s">
        <v>804</v>
      </c>
      <c r="P43" s="33" t="s">
        <v>1103</v>
      </c>
      <c r="Q43" s="33" t="s">
        <v>115</v>
      </c>
      <c r="R43" s="33">
        <v>4</v>
      </c>
      <c r="S43" s="33">
        <v>139</v>
      </c>
      <c r="T43" s="33">
        <v>596</v>
      </c>
      <c r="U43" s="33">
        <v>4</v>
      </c>
      <c r="V43" s="33">
        <v>27</v>
      </c>
      <c r="W43" s="33">
        <v>166</v>
      </c>
      <c r="X43" s="33">
        <v>0</v>
      </c>
      <c r="Y43" s="33">
        <v>100.2</v>
      </c>
      <c r="AA43" t="s">
        <v>804</v>
      </c>
      <c r="AB43" t="s">
        <v>1104</v>
      </c>
      <c r="AC43" t="s">
        <v>161</v>
      </c>
      <c r="AD43">
        <v>8</v>
      </c>
      <c r="AE43">
        <v>56</v>
      </c>
      <c r="AF43">
        <v>787</v>
      </c>
      <c r="AG43">
        <v>5</v>
      </c>
      <c r="AH43">
        <v>0</v>
      </c>
      <c r="AI43">
        <v>0</v>
      </c>
      <c r="AJ43">
        <v>0</v>
      </c>
      <c r="AK43">
        <v>108.7</v>
      </c>
      <c r="AM43" t="s">
        <v>804</v>
      </c>
      <c r="AN43" t="s">
        <v>1105</v>
      </c>
      <c r="AO43" t="s">
        <v>168</v>
      </c>
      <c r="AP43">
        <v>5</v>
      </c>
      <c r="AQ43">
        <v>26</v>
      </c>
      <c r="AR43">
        <v>300</v>
      </c>
      <c r="AS43">
        <v>2</v>
      </c>
      <c r="AT43">
        <v>42</v>
      </c>
      <c r="BU43">
        <v>41</v>
      </c>
      <c r="BV43" t="s">
        <v>2</v>
      </c>
      <c r="BW43" t="s">
        <v>1063</v>
      </c>
      <c r="BX43" t="s">
        <v>102</v>
      </c>
      <c r="BY43">
        <v>19</v>
      </c>
    </row>
    <row r="44" spans="1:77" ht="12.75" customHeight="1">
      <c r="A44" s="33" t="s">
        <v>804</v>
      </c>
      <c r="B44" s="33" t="s">
        <v>1106</v>
      </c>
      <c r="C44" s="33" t="s">
        <v>168</v>
      </c>
      <c r="D44" s="33">
        <v>5</v>
      </c>
      <c r="E44" s="33">
        <v>22</v>
      </c>
      <c r="F44" s="33">
        <v>34</v>
      </c>
      <c r="G44" s="33">
        <v>255</v>
      </c>
      <c r="H44" s="33">
        <v>1</v>
      </c>
      <c r="I44" s="33">
        <v>1</v>
      </c>
      <c r="J44" s="33">
        <v>2</v>
      </c>
      <c r="K44" s="33">
        <v>8</v>
      </c>
      <c r="L44" s="33">
        <v>0</v>
      </c>
      <c r="M44" s="33">
        <v>17.600000000000001</v>
      </c>
      <c r="N44" s="33"/>
      <c r="O44" s="33" t="s">
        <v>804</v>
      </c>
      <c r="P44" s="33" t="s">
        <v>1107</v>
      </c>
      <c r="Q44" s="33" t="s">
        <v>119</v>
      </c>
      <c r="R44" s="33">
        <v>11</v>
      </c>
      <c r="S44" s="33">
        <v>103</v>
      </c>
      <c r="T44" s="33">
        <v>445</v>
      </c>
      <c r="U44" s="33">
        <v>3</v>
      </c>
      <c r="V44" s="33">
        <v>36</v>
      </c>
      <c r="W44" s="33">
        <v>299</v>
      </c>
      <c r="X44" s="33">
        <v>1</v>
      </c>
      <c r="Y44" s="33">
        <v>98.4</v>
      </c>
      <c r="AA44" t="s">
        <v>804</v>
      </c>
      <c r="AB44" t="s">
        <v>1108</v>
      </c>
      <c r="AC44" t="s">
        <v>106</v>
      </c>
      <c r="AD44">
        <v>12</v>
      </c>
      <c r="AE44">
        <v>55</v>
      </c>
      <c r="AF44">
        <v>724</v>
      </c>
      <c r="AG44">
        <v>6</v>
      </c>
      <c r="AH44">
        <v>0</v>
      </c>
      <c r="AI44">
        <v>0</v>
      </c>
      <c r="AJ44">
        <v>0</v>
      </c>
      <c r="AK44">
        <v>108.4</v>
      </c>
      <c r="AM44" t="s">
        <v>804</v>
      </c>
      <c r="AN44" t="s">
        <v>1109</v>
      </c>
      <c r="AO44" t="s">
        <v>190</v>
      </c>
      <c r="AP44">
        <v>4</v>
      </c>
      <c r="AQ44">
        <v>25</v>
      </c>
      <c r="AR44">
        <v>286</v>
      </c>
      <c r="AS44">
        <v>2</v>
      </c>
      <c r="AT44">
        <v>40.6</v>
      </c>
      <c r="BU44">
        <v>42</v>
      </c>
      <c r="BV44" t="s">
        <v>2</v>
      </c>
      <c r="BW44" t="s">
        <v>1110</v>
      </c>
      <c r="BX44" t="s">
        <v>161</v>
      </c>
      <c r="BY44">
        <v>19</v>
      </c>
    </row>
    <row r="45" spans="1:77" ht="12.75" customHeight="1">
      <c r="A45" s="33" t="s">
        <v>804</v>
      </c>
      <c r="B45" s="33" t="s">
        <v>1111</v>
      </c>
      <c r="C45" s="33" t="s">
        <v>142</v>
      </c>
      <c r="D45" s="33">
        <v>6</v>
      </c>
      <c r="E45" s="33">
        <v>22</v>
      </c>
      <c r="F45" s="33">
        <v>36</v>
      </c>
      <c r="G45" s="33">
        <v>249</v>
      </c>
      <c r="H45" s="33">
        <v>1</v>
      </c>
      <c r="I45" s="33">
        <v>1</v>
      </c>
      <c r="J45" s="33">
        <v>2</v>
      </c>
      <c r="K45" s="33">
        <v>8</v>
      </c>
      <c r="L45" s="33">
        <v>0</v>
      </c>
      <c r="M45" s="33">
        <v>17.3</v>
      </c>
      <c r="N45" s="33"/>
      <c r="O45" s="33" t="s">
        <v>804</v>
      </c>
      <c r="P45" s="33" t="s">
        <v>1061</v>
      </c>
      <c r="Q45" s="33" t="s">
        <v>172</v>
      </c>
      <c r="R45" s="33">
        <v>7</v>
      </c>
      <c r="S45" s="33">
        <v>53</v>
      </c>
      <c r="T45" s="33">
        <v>231</v>
      </c>
      <c r="U45" s="33">
        <v>1</v>
      </c>
      <c r="V45" s="33">
        <v>63</v>
      </c>
      <c r="W45" s="33">
        <v>545</v>
      </c>
      <c r="X45" s="33">
        <v>2</v>
      </c>
      <c r="Y45" s="33">
        <v>95.6</v>
      </c>
      <c r="AA45" t="s">
        <v>804</v>
      </c>
      <c r="AB45" t="s">
        <v>1112</v>
      </c>
      <c r="AC45" t="s">
        <v>168</v>
      </c>
      <c r="AD45">
        <v>5</v>
      </c>
      <c r="AE45">
        <v>57</v>
      </c>
      <c r="AF45">
        <v>776</v>
      </c>
      <c r="AG45">
        <v>5</v>
      </c>
      <c r="AH45">
        <v>0</v>
      </c>
      <c r="AI45">
        <v>0</v>
      </c>
      <c r="AJ45">
        <v>0</v>
      </c>
      <c r="AK45">
        <v>107.6</v>
      </c>
      <c r="AM45" t="s">
        <v>804</v>
      </c>
      <c r="AN45" t="s">
        <v>1113</v>
      </c>
      <c r="AO45" t="s">
        <v>158</v>
      </c>
      <c r="AP45">
        <v>6</v>
      </c>
      <c r="AQ45">
        <v>26</v>
      </c>
      <c r="AR45">
        <v>275</v>
      </c>
      <c r="AS45">
        <v>2</v>
      </c>
      <c r="AT45">
        <v>39.5</v>
      </c>
      <c r="BU45">
        <v>43</v>
      </c>
      <c r="BV45" t="s">
        <v>3</v>
      </c>
      <c r="BW45" t="s">
        <v>953</v>
      </c>
      <c r="BX45" t="s">
        <v>150</v>
      </c>
      <c r="BY45">
        <v>19</v>
      </c>
    </row>
    <row r="46" spans="1:77" ht="12.75" customHeight="1">
      <c r="A46" s="33" t="s">
        <v>804</v>
      </c>
      <c r="B46" s="33" t="s">
        <v>1114</v>
      </c>
      <c r="C46" s="33" t="s">
        <v>119</v>
      </c>
      <c r="D46" s="33">
        <v>11</v>
      </c>
      <c r="E46" s="33">
        <v>19</v>
      </c>
      <c r="F46" s="33">
        <v>33</v>
      </c>
      <c r="G46" s="33">
        <v>231</v>
      </c>
      <c r="H46" s="33">
        <v>1</v>
      </c>
      <c r="I46" s="33">
        <v>1</v>
      </c>
      <c r="J46" s="33">
        <v>0</v>
      </c>
      <c r="K46" s="33">
        <v>0</v>
      </c>
      <c r="L46" s="33">
        <v>0</v>
      </c>
      <c r="M46" s="33">
        <v>15.6</v>
      </c>
      <c r="N46" s="33"/>
      <c r="O46" s="33" t="s">
        <v>804</v>
      </c>
      <c r="P46" s="33" t="s">
        <v>1115</v>
      </c>
      <c r="Q46" s="33" t="s">
        <v>106</v>
      </c>
      <c r="R46" s="33">
        <v>12</v>
      </c>
      <c r="S46" s="33">
        <v>139</v>
      </c>
      <c r="T46" s="33">
        <v>585</v>
      </c>
      <c r="U46" s="33">
        <v>3</v>
      </c>
      <c r="V46" s="33">
        <v>23</v>
      </c>
      <c r="W46" s="33">
        <v>176</v>
      </c>
      <c r="X46" s="33">
        <v>0</v>
      </c>
      <c r="Y46" s="33">
        <v>94.1</v>
      </c>
      <c r="AA46" t="s">
        <v>804</v>
      </c>
      <c r="AB46" t="s">
        <v>1116</v>
      </c>
      <c r="AC46" t="s">
        <v>132</v>
      </c>
      <c r="AD46">
        <v>10</v>
      </c>
      <c r="AE46">
        <v>54</v>
      </c>
      <c r="AF46">
        <v>757</v>
      </c>
      <c r="AG46">
        <v>5</v>
      </c>
      <c r="AH46">
        <v>0</v>
      </c>
      <c r="AI46">
        <v>0</v>
      </c>
      <c r="AJ46">
        <v>0</v>
      </c>
      <c r="AK46">
        <v>105.7</v>
      </c>
      <c r="AM46" t="s">
        <v>804</v>
      </c>
      <c r="AN46" t="s">
        <v>1117</v>
      </c>
      <c r="AO46" t="s">
        <v>185</v>
      </c>
      <c r="AP46">
        <v>4</v>
      </c>
      <c r="AQ46">
        <v>23</v>
      </c>
      <c r="AR46">
        <v>269</v>
      </c>
      <c r="AS46">
        <v>2</v>
      </c>
      <c r="AT46">
        <v>38.9</v>
      </c>
      <c r="BU46">
        <v>44</v>
      </c>
      <c r="BV46" t="s">
        <v>0</v>
      </c>
      <c r="BW46" t="s">
        <v>1013</v>
      </c>
      <c r="BX46" t="s">
        <v>161</v>
      </c>
      <c r="BY46">
        <v>18</v>
      </c>
    </row>
    <row r="47" spans="1:77" ht="12.75" customHeight="1">
      <c r="A47" s="33" t="s">
        <v>804</v>
      </c>
      <c r="B47" s="33" t="s">
        <v>1118</v>
      </c>
      <c r="C47" s="33" t="s">
        <v>102</v>
      </c>
      <c r="D47" s="33">
        <v>9</v>
      </c>
      <c r="E47" s="33">
        <v>14</v>
      </c>
      <c r="F47" s="33">
        <v>24</v>
      </c>
      <c r="G47" s="33">
        <v>165</v>
      </c>
      <c r="H47" s="33">
        <v>1</v>
      </c>
      <c r="I47" s="33">
        <v>1</v>
      </c>
      <c r="J47" s="33">
        <v>1</v>
      </c>
      <c r="K47" s="33">
        <v>3</v>
      </c>
      <c r="L47" s="33">
        <v>0</v>
      </c>
      <c r="M47" s="33">
        <v>12.6</v>
      </c>
      <c r="N47" s="33"/>
      <c r="O47" s="33" t="s">
        <v>804</v>
      </c>
      <c r="P47" s="33" t="s">
        <v>1119</v>
      </c>
      <c r="Q47" s="33" t="s">
        <v>99</v>
      </c>
      <c r="R47" s="33">
        <v>11</v>
      </c>
      <c r="S47" s="33">
        <v>132</v>
      </c>
      <c r="T47" s="33">
        <v>526</v>
      </c>
      <c r="U47" s="33">
        <v>4</v>
      </c>
      <c r="V47" s="33">
        <v>25</v>
      </c>
      <c r="W47" s="33">
        <v>157</v>
      </c>
      <c r="X47" s="33">
        <v>0</v>
      </c>
      <c r="Y47" s="33">
        <v>92.3</v>
      </c>
      <c r="AA47" t="s">
        <v>804</v>
      </c>
      <c r="AB47" t="s">
        <v>1120</v>
      </c>
      <c r="AC47" t="s">
        <v>158</v>
      </c>
      <c r="AD47">
        <v>6</v>
      </c>
      <c r="AE47">
        <v>48</v>
      </c>
      <c r="AF47">
        <v>697</v>
      </c>
      <c r="AG47">
        <v>6</v>
      </c>
      <c r="AH47">
        <v>0</v>
      </c>
      <c r="AI47">
        <v>0</v>
      </c>
      <c r="AJ47">
        <v>0</v>
      </c>
      <c r="AK47">
        <v>105.7</v>
      </c>
      <c r="AM47" t="s">
        <v>804</v>
      </c>
      <c r="AN47" t="s">
        <v>1121</v>
      </c>
      <c r="AO47" t="s">
        <v>82</v>
      </c>
      <c r="AP47">
        <v>4</v>
      </c>
      <c r="AQ47">
        <v>23</v>
      </c>
      <c r="AR47">
        <v>269</v>
      </c>
      <c r="AS47">
        <v>2</v>
      </c>
      <c r="AT47">
        <v>38.9</v>
      </c>
      <c r="BU47">
        <v>45</v>
      </c>
      <c r="BV47" t="s">
        <v>0</v>
      </c>
      <c r="BW47" t="s">
        <v>898</v>
      </c>
      <c r="BX47" t="s">
        <v>122</v>
      </c>
      <c r="BY47">
        <v>18</v>
      </c>
    </row>
    <row r="48" spans="1:77" ht="12.75" customHeight="1">
      <c r="A48" s="33" t="s">
        <v>804</v>
      </c>
      <c r="B48" s="33" t="s">
        <v>1122</v>
      </c>
      <c r="C48" s="33" t="s">
        <v>172</v>
      </c>
      <c r="D48" s="33">
        <v>7</v>
      </c>
      <c r="E48" s="33">
        <v>19</v>
      </c>
      <c r="F48" s="33">
        <v>31</v>
      </c>
      <c r="G48" s="33">
        <v>214</v>
      </c>
      <c r="H48" s="33">
        <v>0</v>
      </c>
      <c r="I48" s="33">
        <v>0</v>
      </c>
      <c r="J48" s="33">
        <v>1</v>
      </c>
      <c r="K48" s="33">
        <v>2</v>
      </c>
      <c r="L48" s="33">
        <v>0</v>
      </c>
      <c r="M48" s="33">
        <v>10.9</v>
      </c>
      <c r="N48" s="33"/>
      <c r="O48" s="33" t="s">
        <v>804</v>
      </c>
      <c r="P48" s="33" t="s">
        <v>1123</v>
      </c>
      <c r="Q48" s="33" t="s">
        <v>165</v>
      </c>
      <c r="R48" s="33">
        <v>11</v>
      </c>
      <c r="S48" s="33">
        <v>142</v>
      </c>
      <c r="T48" s="33">
        <v>641</v>
      </c>
      <c r="U48" s="33">
        <v>4</v>
      </c>
      <c r="V48" s="33">
        <v>6</v>
      </c>
      <c r="W48" s="33">
        <v>37</v>
      </c>
      <c r="X48" s="33">
        <v>0</v>
      </c>
      <c r="Y48" s="33">
        <v>91.8</v>
      </c>
      <c r="AA48" t="s">
        <v>804</v>
      </c>
      <c r="AB48" t="s">
        <v>1124</v>
      </c>
      <c r="AC48" t="s">
        <v>128</v>
      </c>
      <c r="AD48">
        <v>9</v>
      </c>
      <c r="AE48">
        <v>48</v>
      </c>
      <c r="AF48">
        <v>677</v>
      </c>
      <c r="AG48">
        <v>6</v>
      </c>
      <c r="AH48">
        <v>0</v>
      </c>
      <c r="AI48">
        <v>0</v>
      </c>
      <c r="AJ48">
        <v>0</v>
      </c>
      <c r="AK48">
        <v>103.7</v>
      </c>
      <c r="AM48" t="s">
        <v>804</v>
      </c>
      <c r="AN48" t="s">
        <v>1125</v>
      </c>
      <c r="AO48" t="s">
        <v>161</v>
      </c>
      <c r="AP48">
        <v>8</v>
      </c>
      <c r="AQ48">
        <v>23</v>
      </c>
      <c r="AR48">
        <v>254</v>
      </c>
      <c r="AS48">
        <v>2</v>
      </c>
      <c r="AT48">
        <v>37.4</v>
      </c>
      <c r="BU48">
        <v>46</v>
      </c>
      <c r="BV48" t="s">
        <v>2</v>
      </c>
      <c r="BW48" t="s">
        <v>1126</v>
      </c>
      <c r="BX48" t="s">
        <v>96</v>
      </c>
      <c r="BY48">
        <v>18</v>
      </c>
    </row>
    <row r="49" spans="1:77" ht="12.75" customHeight="1">
      <c r="A49" s="33" t="s">
        <v>804</v>
      </c>
      <c r="B49" s="33" t="s">
        <v>1127</v>
      </c>
      <c r="C49" s="33" t="s">
        <v>175</v>
      </c>
      <c r="D49" s="33">
        <v>12</v>
      </c>
      <c r="E49" s="33">
        <v>16</v>
      </c>
      <c r="F49" s="33">
        <v>28</v>
      </c>
      <c r="G49" s="33">
        <v>185</v>
      </c>
      <c r="H49" s="33">
        <v>0</v>
      </c>
      <c r="I49" s="33">
        <v>0</v>
      </c>
      <c r="J49" s="33">
        <v>0</v>
      </c>
      <c r="K49" s="33">
        <v>0</v>
      </c>
      <c r="L49" s="33">
        <v>0</v>
      </c>
      <c r="M49" s="33">
        <v>9.3000000000000007</v>
      </c>
      <c r="N49" s="33"/>
      <c r="O49" s="33" t="s">
        <v>804</v>
      </c>
      <c r="P49" s="33" t="s">
        <v>1128</v>
      </c>
      <c r="Q49" s="33" t="s">
        <v>198</v>
      </c>
      <c r="R49" s="33">
        <v>9</v>
      </c>
      <c r="S49" s="33">
        <v>122</v>
      </c>
      <c r="T49" s="33">
        <v>488</v>
      </c>
      <c r="U49" s="33">
        <v>5</v>
      </c>
      <c r="V49" s="33">
        <v>13</v>
      </c>
      <c r="W49" s="33">
        <v>89</v>
      </c>
      <c r="X49" s="33">
        <v>0</v>
      </c>
      <c r="Y49" s="33">
        <v>87.7</v>
      </c>
      <c r="AA49" t="s">
        <v>804</v>
      </c>
      <c r="AB49" t="s">
        <v>1129</v>
      </c>
      <c r="AC49" t="s">
        <v>182</v>
      </c>
      <c r="AD49">
        <v>8</v>
      </c>
      <c r="AE49">
        <v>54</v>
      </c>
      <c r="AF49">
        <v>737</v>
      </c>
      <c r="AG49">
        <v>5</v>
      </c>
      <c r="AH49">
        <v>0</v>
      </c>
      <c r="AI49">
        <v>0</v>
      </c>
      <c r="AJ49">
        <v>0</v>
      </c>
      <c r="AK49">
        <v>103.7</v>
      </c>
      <c r="AM49" t="s">
        <v>804</v>
      </c>
      <c r="AN49" t="s">
        <v>1130</v>
      </c>
      <c r="AO49" t="s">
        <v>99</v>
      </c>
      <c r="AP49">
        <v>11</v>
      </c>
      <c r="AQ49">
        <v>21</v>
      </c>
      <c r="AR49">
        <v>228</v>
      </c>
      <c r="AS49">
        <v>2</v>
      </c>
      <c r="AT49">
        <v>34.799999999999997</v>
      </c>
      <c r="BU49">
        <v>47</v>
      </c>
      <c r="BV49" t="s">
        <v>3</v>
      </c>
      <c r="BW49" t="s">
        <v>1131</v>
      </c>
      <c r="BX49" t="s">
        <v>106</v>
      </c>
      <c r="BY49">
        <v>18</v>
      </c>
    </row>
    <row r="50" spans="1:77" ht="12.75" customHeight="1">
      <c r="A50" s="33" t="s">
        <v>804</v>
      </c>
      <c r="B50" s="33" t="s">
        <v>1132</v>
      </c>
      <c r="C50" s="33" t="s">
        <v>128</v>
      </c>
      <c r="D50" s="33">
        <v>9</v>
      </c>
      <c r="E50" s="33">
        <v>9</v>
      </c>
      <c r="F50" s="33">
        <v>15</v>
      </c>
      <c r="G50" s="33">
        <v>104</v>
      </c>
      <c r="H50" s="33">
        <v>0</v>
      </c>
      <c r="I50" s="33">
        <v>1</v>
      </c>
      <c r="J50" s="33">
        <v>0</v>
      </c>
      <c r="K50" s="33">
        <v>0</v>
      </c>
      <c r="L50" s="33">
        <v>0</v>
      </c>
      <c r="M50" s="33">
        <v>5.2</v>
      </c>
      <c r="N50" s="33"/>
      <c r="O50" s="33" t="s">
        <v>804</v>
      </c>
      <c r="P50" s="33" t="s">
        <v>1133</v>
      </c>
      <c r="Q50" s="33" t="s">
        <v>122</v>
      </c>
      <c r="R50" s="33">
        <v>4</v>
      </c>
      <c r="S50" s="33">
        <v>109</v>
      </c>
      <c r="T50" s="33">
        <v>445</v>
      </c>
      <c r="U50" s="33">
        <v>3</v>
      </c>
      <c r="V50" s="33">
        <v>26</v>
      </c>
      <c r="W50" s="33">
        <v>176</v>
      </c>
      <c r="X50" s="33">
        <v>1</v>
      </c>
      <c r="Y50" s="33">
        <v>86.1</v>
      </c>
      <c r="AA50" t="s">
        <v>804</v>
      </c>
      <c r="AB50" t="s">
        <v>1134</v>
      </c>
      <c r="AC50" t="s">
        <v>125</v>
      </c>
      <c r="AD50">
        <v>9</v>
      </c>
      <c r="AE50">
        <v>58</v>
      </c>
      <c r="AF50">
        <v>785</v>
      </c>
      <c r="AG50">
        <v>4</v>
      </c>
      <c r="AH50">
        <v>0</v>
      </c>
      <c r="AI50">
        <v>0</v>
      </c>
      <c r="AJ50">
        <v>0</v>
      </c>
      <c r="AK50">
        <v>102.5</v>
      </c>
      <c r="AM50" t="s">
        <v>804</v>
      </c>
      <c r="AN50" t="s">
        <v>1135</v>
      </c>
      <c r="AO50" t="s">
        <v>128</v>
      </c>
      <c r="AP50">
        <v>9</v>
      </c>
      <c r="AQ50">
        <v>20</v>
      </c>
      <c r="AR50">
        <v>215</v>
      </c>
      <c r="AS50">
        <v>2</v>
      </c>
      <c r="AT50">
        <v>33.5</v>
      </c>
      <c r="BU50">
        <v>48</v>
      </c>
      <c r="BV50" t="s">
        <v>3</v>
      </c>
      <c r="BW50" t="s">
        <v>1009</v>
      </c>
      <c r="BX50" t="s">
        <v>939</v>
      </c>
      <c r="BY50">
        <v>18</v>
      </c>
    </row>
    <row r="51" spans="1:77" ht="12.75" customHeight="1">
      <c r="A51" s="33" t="s">
        <v>804</v>
      </c>
      <c r="B51" s="33" t="s">
        <v>1136</v>
      </c>
      <c r="C51" s="33" t="s">
        <v>190</v>
      </c>
      <c r="D51" s="33">
        <v>4</v>
      </c>
      <c r="E51" s="33">
        <v>9</v>
      </c>
      <c r="F51" s="33">
        <v>16</v>
      </c>
      <c r="G51" s="33">
        <v>104</v>
      </c>
      <c r="H51" s="33">
        <v>0</v>
      </c>
      <c r="I51" s="33">
        <v>1</v>
      </c>
      <c r="J51" s="33">
        <v>0</v>
      </c>
      <c r="K51" s="33">
        <v>0</v>
      </c>
      <c r="L51" s="33">
        <v>0</v>
      </c>
      <c r="M51" s="33">
        <v>5.2</v>
      </c>
      <c r="N51" s="33"/>
      <c r="O51" s="33" t="s">
        <v>804</v>
      </c>
      <c r="P51" s="33" t="s">
        <v>1137</v>
      </c>
      <c r="Q51" s="33" t="s">
        <v>106</v>
      </c>
      <c r="R51" s="33">
        <v>12</v>
      </c>
      <c r="S51" s="33">
        <v>80</v>
      </c>
      <c r="T51" s="33">
        <v>321</v>
      </c>
      <c r="U51" s="33">
        <v>4</v>
      </c>
      <c r="V51" s="33">
        <v>26</v>
      </c>
      <c r="W51" s="33">
        <v>193</v>
      </c>
      <c r="X51" s="33">
        <v>1</v>
      </c>
      <c r="Y51" s="33">
        <v>81.400000000000006</v>
      </c>
      <c r="AA51" t="s">
        <v>804</v>
      </c>
      <c r="AB51" t="s">
        <v>1138</v>
      </c>
      <c r="AC51" t="s">
        <v>96</v>
      </c>
      <c r="AD51">
        <v>9</v>
      </c>
      <c r="AE51">
        <v>61</v>
      </c>
      <c r="AF51">
        <v>775</v>
      </c>
      <c r="AG51">
        <v>4</v>
      </c>
      <c r="AH51">
        <v>0</v>
      </c>
      <c r="AI51">
        <v>0</v>
      </c>
      <c r="AJ51">
        <v>0</v>
      </c>
      <c r="AK51">
        <v>101.5</v>
      </c>
      <c r="AM51" t="s">
        <v>804</v>
      </c>
      <c r="AN51" t="s">
        <v>1139</v>
      </c>
      <c r="AO51" t="s">
        <v>165</v>
      </c>
      <c r="AP51">
        <v>11</v>
      </c>
      <c r="AQ51">
        <v>24</v>
      </c>
      <c r="AR51">
        <v>256</v>
      </c>
      <c r="AS51">
        <v>1</v>
      </c>
      <c r="AT51">
        <v>31.6</v>
      </c>
      <c r="BU51">
        <v>49</v>
      </c>
      <c r="BV51" t="s">
        <v>0</v>
      </c>
      <c r="BW51" t="s">
        <v>966</v>
      </c>
      <c r="BX51" t="s">
        <v>971</v>
      </c>
      <c r="BY51">
        <v>17</v>
      </c>
    </row>
    <row r="52" spans="1:77" ht="12.75" customHeight="1">
      <c r="A52" s="33" t="s">
        <v>804</v>
      </c>
      <c r="B52" s="33" t="s">
        <v>1140</v>
      </c>
      <c r="C52" s="33" t="s">
        <v>99</v>
      </c>
      <c r="D52" s="33">
        <v>11</v>
      </c>
      <c r="E52" s="33">
        <v>9</v>
      </c>
      <c r="F52" s="33">
        <v>14</v>
      </c>
      <c r="G52" s="33">
        <v>97</v>
      </c>
      <c r="H52" s="33">
        <v>0</v>
      </c>
      <c r="I52" s="33">
        <v>0</v>
      </c>
      <c r="J52" s="33">
        <v>1</v>
      </c>
      <c r="K52" s="33">
        <v>3</v>
      </c>
      <c r="L52" s="33">
        <v>0</v>
      </c>
      <c r="M52" s="33">
        <v>5.2</v>
      </c>
      <c r="N52" s="33"/>
      <c r="O52" s="33" t="s">
        <v>804</v>
      </c>
      <c r="P52" s="33" t="s">
        <v>1141</v>
      </c>
      <c r="Q52" s="33" t="s">
        <v>168</v>
      </c>
      <c r="R52" s="33">
        <v>5</v>
      </c>
      <c r="S52" s="33">
        <v>51</v>
      </c>
      <c r="T52" s="33">
        <v>229</v>
      </c>
      <c r="U52" s="33">
        <v>1</v>
      </c>
      <c r="V52" s="33">
        <v>36</v>
      </c>
      <c r="W52" s="33">
        <v>314</v>
      </c>
      <c r="X52" s="33">
        <v>2</v>
      </c>
      <c r="Y52" s="33">
        <v>72.3</v>
      </c>
      <c r="AA52" t="s">
        <v>804</v>
      </c>
      <c r="AB52" t="s">
        <v>1142</v>
      </c>
      <c r="AC52" t="s">
        <v>172</v>
      </c>
      <c r="AD52">
        <v>7</v>
      </c>
      <c r="AE52">
        <v>46</v>
      </c>
      <c r="AF52">
        <v>698</v>
      </c>
      <c r="AG52">
        <v>5</v>
      </c>
      <c r="AH52">
        <v>0</v>
      </c>
      <c r="AI52">
        <v>0</v>
      </c>
      <c r="AJ52">
        <v>0</v>
      </c>
      <c r="AK52">
        <v>99.8</v>
      </c>
      <c r="AM52" t="s">
        <v>804</v>
      </c>
      <c r="AN52" t="s">
        <v>1143</v>
      </c>
      <c r="AO52" t="s">
        <v>139</v>
      </c>
      <c r="AP52">
        <v>11</v>
      </c>
      <c r="AQ52">
        <v>20</v>
      </c>
      <c r="AR52">
        <v>212</v>
      </c>
      <c r="AS52">
        <v>1</v>
      </c>
      <c r="AT52">
        <v>27.2</v>
      </c>
      <c r="BU52">
        <v>50</v>
      </c>
      <c r="BV52" t="s">
        <v>2</v>
      </c>
      <c r="BW52" t="s">
        <v>1014</v>
      </c>
      <c r="BX52" t="s">
        <v>1144</v>
      </c>
      <c r="BY52">
        <v>16</v>
      </c>
    </row>
    <row r="53" spans="1:77" ht="12.75" customHeight="1">
      <c r="A53" s="33" t="s">
        <v>804</v>
      </c>
      <c r="B53" s="33" t="s">
        <v>79</v>
      </c>
      <c r="C53" s="33" t="s">
        <v>103</v>
      </c>
      <c r="D53" s="33" t="s">
        <v>870</v>
      </c>
      <c r="E53" s="33" t="s">
        <v>804</v>
      </c>
      <c r="F53" s="33" t="s">
        <v>804</v>
      </c>
      <c r="G53" s="33" t="s">
        <v>804</v>
      </c>
      <c r="H53" s="33" t="s">
        <v>804</v>
      </c>
      <c r="I53" s="33" t="s">
        <v>804</v>
      </c>
      <c r="J53" s="33" t="s">
        <v>804</v>
      </c>
      <c r="K53" s="33" t="s">
        <v>804</v>
      </c>
      <c r="L53" s="33" t="s">
        <v>804</v>
      </c>
      <c r="M53" s="33" t="s">
        <v>804</v>
      </c>
      <c r="N53" s="33"/>
      <c r="O53" s="33" t="s">
        <v>804</v>
      </c>
      <c r="P53" s="33" t="s">
        <v>103</v>
      </c>
      <c r="Q53" s="33" t="s">
        <v>116</v>
      </c>
      <c r="R53" s="33" t="s">
        <v>870</v>
      </c>
      <c r="S53" s="33" t="s">
        <v>804</v>
      </c>
      <c r="T53" s="33" t="s">
        <v>804</v>
      </c>
      <c r="U53" s="33" t="s">
        <v>804</v>
      </c>
      <c r="V53" s="33" t="s">
        <v>804</v>
      </c>
      <c r="W53" s="33" t="s">
        <v>804</v>
      </c>
      <c r="X53" s="33" t="s">
        <v>804</v>
      </c>
      <c r="Y53" s="33" t="s">
        <v>804</v>
      </c>
      <c r="AA53" t="s">
        <v>804</v>
      </c>
      <c r="AB53" t="s">
        <v>116</v>
      </c>
      <c r="AC53" t="s">
        <v>103</v>
      </c>
      <c r="AD53" t="s">
        <v>870</v>
      </c>
      <c r="AE53" t="s">
        <v>804</v>
      </c>
      <c r="AF53" t="s">
        <v>804</v>
      </c>
      <c r="AG53" t="s">
        <v>804</v>
      </c>
      <c r="AH53" t="s">
        <v>804</v>
      </c>
      <c r="AI53" t="s">
        <v>804</v>
      </c>
      <c r="AJ53" t="s">
        <v>804</v>
      </c>
      <c r="AK53" t="s">
        <v>804</v>
      </c>
      <c r="AM53" t="s">
        <v>804</v>
      </c>
      <c r="AN53" t="s">
        <v>116</v>
      </c>
      <c r="AO53" t="s">
        <v>870</v>
      </c>
      <c r="AP53" t="s">
        <v>804</v>
      </c>
      <c r="AQ53" t="s">
        <v>804</v>
      </c>
      <c r="AR53" t="s">
        <v>804</v>
      </c>
      <c r="AS53" t="s">
        <v>804</v>
      </c>
      <c r="AT53" t="s">
        <v>804</v>
      </c>
      <c r="BU53">
        <v>51</v>
      </c>
      <c r="BV53" t="s">
        <v>3</v>
      </c>
      <c r="BW53" t="s">
        <v>1145</v>
      </c>
      <c r="BX53" t="s">
        <v>119</v>
      </c>
      <c r="BY53">
        <v>16</v>
      </c>
    </row>
    <row r="54" spans="1:77" ht="12.75" customHeight="1">
      <c r="A54" s="33" t="s">
        <v>872</v>
      </c>
      <c r="B54" s="33" t="s">
        <v>873</v>
      </c>
      <c r="C54" s="33" t="s">
        <v>874</v>
      </c>
      <c r="D54" s="33" t="s">
        <v>875</v>
      </c>
      <c r="E54" s="33" t="s">
        <v>876</v>
      </c>
      <c r="F54" s="33" t="s">
        <v>877</v>
      </c>
      <c r="G54" s="33" t="s">
        <v>878</v>
      </c>
      <c r="H54" s="33" t="s">
        <v>879</v>
      </c>
      <c r="I54" s="33" t="s">
        <v>880</v>
      </c>
      <c r="J54" s="33" t="s">
        <v>877</v>
      </c>
      <c r="K54" s="33" t="s">
        <v>878</v>
      </c>
      <c r="L54" s="33" t="s">
        <v>879</v>
      </c>
      <c r="M54" s="33" t="s">
        <v>881</v>
      </c>
      <c r="N54" s="33"/>
      <c r="O54" s="33" t="s">
        <v>872</v>
      </c>
      <c r="P54" s="33" t="s">
        <v>873</v>
      </c>
      <c r="Q54" s="33" t="s">
        <v>874</v>
      </c>
      <c r="R54" s="33" t="s">
        <v>875</v>
      </c>
      <c r="S54" s="33" t="s">
        <v>877</v>
      </c>
      <c r="T54" s="33" t="s">
        <v>878</v>
      </c>
      <c r="U54" s="33" t="s">
        <v>879</v>
      </c>
      <c r="V54" s="33" t="s">
        <v>882</v>
      </c>
      <c r="W54" s="33" t="s">
        <v>878</v>
      </c>
      <c r="X54" s="33" t="s">
        <v>879</v>
      </c>
      <c r="Y54" s="33" t="s">
        <v>881</v>
      </c>
      <c r="AA54" t="s">
        <v>872</v>
      </c>
      <c r="AB54" t="s">
        <v>873</v>
      </c>
      <c r="AC54" t="s">
        <v>874</v>
      </c>
      <c r="AD54" t="s">
        <v>875</v>
      </c>
      <c r="AE54" t="s">
        <v>882</v>
      </c>
      <c r="AF54" t="s">
        <v>878</v>
      </c>
      <c r="AG54" t="s">
        <v>879</v>
      </c>
      <c r="AH54" t="s">
        <v>877</v>
      </c>
      <c r="AI54" t="s">
        <v>878</v>
      </c>
      <c r="AJ54" t="s">
        <v>879</v>
      </c>
      <c r="AK54" t="s">
        <v>881</v>
      </c>
      <c r="AM54" t="s">
        <v>872</v>
      </c>
      <c r="AN54" t="s">
        <v>873</v>
      </c>
      <c r="AO54" t="s">
        <v>874</v>
      </c>
      <c r="AP54" t="s">
        <v>875</v>
      </c>
      <c r="AQ54" t="s">
        <v>882</v>
      </c>
      <c r="AR54" t="s">
        <v>878</v>
      </c>
      <c r="AS54" t="s">
        <v>879</v>
      </c>
      <c r="AT54" t="s">
        <v>881</v>
      </c>
      <c r="BU54">
        <v>52</v>
      </c>
      <c r="BV54" t="s">
        <v>3</v>
      </c>
      <c r="BW54" t="s">
        <v>995</v>
      </c>
      <c r="BX54" t="s">
        <v>172</v>
      </c>
      <c r="BY54">
        <v>16</v>
      </c>
    </row>
    <row r="55" spans="1:77" ht="12.75" customHeight="1">
      <c r="A55" s="33" t="s">
        <v>804</v>
      </c>
      <c r="B55" s="33" t="s">
        <v>1146</v>
      </c>
      <c r="C55" s="33" t="s">
        <v>102</v>
      </c>
      <c r="D55" s="33">
        <v>8</v>
      </c>
      <c r="E55" s="33">
        <v>12</v>
      </c>
      <c r="F55" s="33">
        <v>21</v>
      </c>
      <c r="G55" s="33">
        <v>144</v>
      </c>
      <c r="H55" s="33">
        <v>1</v>
      </c>
      <c r="I55" s="33">
        <v>1</v>
      </c>
      <c r="J55" s="33">
        <v>3</v>
      </c>
      <c r="K55" s="33">
        <v>16</v>
      </c>
      <c r="L55" s="33">
        <v>0</v>
      </c>
      <c r="M55" s="33">
        <v>12.8</v>
      </c>
      <c r="N55" s="33"/>
      <c r="O55" s="33" t="s">
        <v>804</v>
      </c>
      <c r="P55" s="33" t="s">
        <v>1147</v>
      </c>
      <c r="Q55" s="33" t="s">
        <v>96</v>
      </c>
      <c r="R55" s="33">
        <v>7</v>
      </c>
      <c r="S55" s="33">
        <v>73</v>
      </c>
      <c r="T55" s="33">
        <v>335</v>
      </c>
      <c r="U55" s="33">
        <v>2</v>
      </c>
      <c r="V55" s="33">
        <v>37</v>
      </c>
      <c r="W55" s="33">
        <v>245</v>
      </c>
      <c r="X55" s="33">
        <v>1</v>
      </c>
      <c r="Y55" s="33">
        <v>76</v>
      </c>
      <c r="AA55" t="s">
        <v>804</v>
      </c>
      <c r="AB55" t="s">
        <v>1148</v>
      </c>
      <c r="AC55" t="s">
        <v>194</v>
      </c>
      <c r="AD55">
        <v>5</v>
      </c>
      <c r="AE55">
        <v>48</v>
      </c>
      <c r="AF55">
        <v>662</v>
      </c>
      <c r="AG55">
        <v>4</v>
      </c>
      <c r="AH55">
        <v>0</v>
      </c>
      <c r="AI55">
        <v>0</v>
      </c>
      <c r="AJ55">
        <v>0</v>
      </c>
      <c r="AK55">
        <v>90.2</v>
      </c>
      <c r="AM55" t="s">
        <v>804</v>
      </c>
      <c r="AN55" t="s">
        <v>1149</v>
      </c>
      <c r="AO55" t="s">
        <v>82</v>
      </c>
      <c r="AP55">
        <v>10</v>
      </c>
      <c r="AQ55">
        <v>10</v>
      </c>
      <c r="AR55">
        <v>100</v>
      </c>
      <c r="AS55">
        <v>1</v>
      </c>
      <c r="AT55">
        <v>16</v>
      </c>
      <c r="BU55">
        <v>53</v>
      </c>
      <c r="BV55" t="s">
        <v>3</v>
      </c>
      <c r="BW55" t="s">
        <v>900</v>
      </c>
      <c r="BX55" t="s">
        <v>122</v>
      </c>
      <c r="BY55">
        <v>16</v>
      </c>
    </row>
    <row r="56" spans="1:77" ht="12.75" customHeight="1">
      <c r="A56" s="33" t="s">
        <v>804</v>
      </c>
      <c r="B56" s="33" t="s">
        <v>1102</v>
      </c>
      <c r="C56" s="33" t="s">
        <v>109</v>
      </c>
      <c r="D56" s="33">
        <v>6</v>
      </c>
      <c r="E56" s="33">
        <v>20</v>
      </c>
      <c r="F56" s="33">
        <v>33</v>
      </c>
      <c r="G56" s="33">
        <v>225</v>
      </c>
      <c r="H56" s="33">
        <v>0</v>
      </c>
      <c r="I56" s="33">
        <v>0</v>
      </c>
      <c r="J56" s="33">
        <v>2</v>
      </c>
      <c r="K56" s="33">
        <v>11</v>
      </c>
      <c r="L56" s="33">
        <v>0</v>
      </c>
      <c r="M56" s="33">
        <v>12.4</v>
      </c>
      <c r="N56" s="33"/>
      <c r="O56" s="33" t="s">
        <v>804</v>
      </c>
      <c r="P56" s="33" t="s">
        <v>1150</v>
      </c>
      <c r="Q56" s="33" t="s">
        <v>178</v>
      </c>
      <c r="R56" s="33">
        <v>7</v>
      </c>
      <c r="S56" s="33">
        <v>80</v>
      </c>
      <c r="T56" s="33">
        <v>336</v>
      </c>
      <c r="U56" s="33">
        <v>4</v>
      </c>
      <c r="V56" s="33">
        <v>27</v>
      </c>
      <c r="W56" s="33">
        <v>184</v>
      </c>
      <c r="X56" s="33">
        <v>0</v>
      </c>
      <c r="Y56" s="33">
        <v>76</v>
      </c>
      <c r="AA56" t="s">
        <v>804</v>
      </c>
      <c r="AB56" t="s">
        <v>962</v>
      </c>
      <c r="AC56" t="s">
        <v>128</v>
      </c>
      <c r="AD56">
        <v>10</v>
      </c>
      <c r="AE56">
        <v>41</v>
      </c>
      <c r="AF56">
        <v>565</v>
      </c>
      <c r="AG56">
        <v>5</v>
      </c>
      <c r="AH56">
        <v>4</v>
      </c>
      <c r="AI56">
        <v>34</v>
      </c>
      <c r="AJ56">
        <v>0</v>
      </c>
      <c r="AK56">
        <v>89.9</v>
      </c>
      <c r="AM56" t="s">
        <v>804</v>
      </c>
      <c r="AN56" t="s">
        <v>1151</v>
      </c>
      <c r="AO56" t="s">
        <v>106</v>
      </c>
      <c r="AP56">
        <v>6</v>
      </c>
      <c r="AQ56">
        <v>14</v>
      </c>
      <c r="AR56">
        <v>150</v>
      </c>
      <c r="AS56">
        <v>0</v>
      </c>
      <c r="AT56">
        <v>15</v>
      </c>
      <c r="BU56">
        <v>54</v>
      </c>
      <c r="BV56" t="s">
        <v>16</v>
      </c>
      <c r="BW56" t="s">
        <v>1152</v>
      </c>
      <c r="BX56" t="s">
        <v>933</v>
      </c>
      <c r="BY56">
        <v>16</v>
      </c>
    </row>
    <row r="57" spans="1:77" ht="12.75" customHeight="1">
      <c r="A57" s="33" t="s">
        <v>804</v>
      </c>
      <c r="B57" s="33" t="s">
        <v>1153</v>
      </c>
      <c r="C57" s="33" t="s">
        <v>96</v>
      </c>
      <c r="D57" s="33">
        <v>7</v>
      </c>
      <c r="E57" s="33">
        <v>19</v>
      </c>
      <c r="F57" s="33">
        <v>33</v>
      </c>
      <c r="G57" s="33">
        <v>212</v>
      </c>
      <c r="H57" s="33">
        <v>0</v>
      </c>
      <c r="I57" s="33">
        <v>1</v>
      </c>
      <c r="J57" s="33">
        <v>2</v>
      </c>
      <c r="K57" s="33">
        <v>5</v>
      </c>
      <c r="L57" s="33">
        <v>0</v>
      </c>
      <c r="M57" s="33">
        <v>11.1</v>
      </c>
      <c r="N57" s="33"/>
      <c r="O57" s="33" t="s">
        <v>804</v>
      </c>
      <c r="P57" s="33" t="s">
        <v>1133</v>
      </c>
      <c r="Q57" s="33" t="s">
        <v>122</v>
      </c>
      <c r="R57" s="33">
        <v>7</v>
      </c>
      <c r="S57" s="33">
        <v>85</v>
      </c>
      <c r="T57" s="33">
        <v>356</v>
      </c>
      <c r="U57" s="33">
        <v>3</v>
      </c>
      <c r="V57" s="33">
        <v>33</v>
      </c>
      <c r="W57" s="33">
        <v>204</v>
      </c>
      <c r="X57" s="33">
        <v>0</v>
      </c>
      <c r="Y57" s="33">
        <v>74</v>
      </c>
      <c r="AA57" t="s">
        <v>804</v>
      </c>
      <c r="AB57" t="s">
        <v>1154</v>
      </c>
      <c r="AC57" t="s">
        <v>930</v>
      </c>
      <c r="AD57">
        <v>10</v>
      </c>
      <c r="AE57">
        <v>49</v>
      </c>
      <c r="AF57">
        <v>645</v>
      </c>
      <c r="AG57">
        <v>4</v>
      </c>
      <c r="AH57">
        <v>0</v>
      </c>
      <c r="AI57">
        <v>0</v>
      </c>
      <c r="AJ57">
        <v>0</v>
      </c>
      <c r="AK57">
        <v>88.5</v>
      </c>
      <c r="AM57" t="s">
        <v>804</v>
      </c>
      <c r="AN57" t="s">
        <v>1101</v>
      </c>
      <c r="AO57" t="s">
        <v>150</v>
      </c>
      <c r="AP57">
        <v>11</v>
      </c>
      <c r="AQ57">
        <v>14</v>
      </c>
      <c r="AR57">
        <v>145</v>
      </c>
      <c r="AS57">
        <v>0</v>
      </c>
      <c r="AT57">
        <v>14.5</v>
      </c>
      <c r="BU57">
        <v>55</v>
      </c>
      <c r="BV57" t="s">
        <v>3</v>
      </c>
      <c r="BW57" t="s">
        <v>928</v>
      </c>
      <c r="BX57" t="s">
        <v>175</v>
      </c>
      <c r="BY57">
        <v>16</v>
      </c>
    </row>
    <row r="58" spans="1:77" ht="12.75" customHeight="1">
      <c r="A58" s="33" t="s">
        <v>804</v>
      </c>
      <c r="B58" s="33" t="s">
        <v>1111</v>
      </c>
      <c r="C58" s="33" t="s">
        <v>158</v>
      </c>
      <c r="D58" s="33">
        <v>6</v>
      </c>
      <c r="E58" s="33">
        <v>19</v>
      </c>
      <c r="F58" s="33">
        <v>29</v>
      </c>
      <c r="G58" s="33">
        <v>206</v>
      </c>
      <c r="H58" s="33">
        <v>0</v>
      </c>
      <c r="I58" s="33">
        <v>0</v>
      </c>
      <c r="J58" s="33">
        <v>0</v>
      </c>
      <c r="K58" s="33">
        <v>0</v>
      </c>
      <c r="L58" s="33">
        <v>0</v>
      </c>
      <c r="M58" s="33">
        <v>10.3</v>
      </c>
      <c r="N58" s="33"/>
      <c r="O58" s="33" t="s">
        <v>804</v>
      </c>
      <c r="P58" s="33" t="s">
        <v>1155</v>
      </c>
      <c r="Q58" s="33" t="s">
        <v>112</v>
      </c>
      <c r="R58" s="33">
        <v>8</v>
      </c>
      <c r="S58" s="33">
        <v>111</v>
      </c>
      <c r="T58" s="33">
        <v>467</v>
      </c>
      <c r="U58" s="33">
        <v>3</v>
      </c>
      <c r="V58" s="33">
        <v>18</v>
      </c>
      <c r="W58" s="33">
        <v>92</v>
      </c>
      <c r="X58" s="33">
        <v>0</v>
      </c>
      <c r="Y58" s="33">
        <v>73.900000000000006</v>
      </c>
      <c r="AA58" t="s">
        <v>804</v>
      </c>
      <c r="AB58" t="s">
        <v>1156</v>
      </c>
      <c r="AC58" t="s">
        <v>198</v>
      </c>
      <c r="AD58">
        <v>11</v>
      </c>
      <c r="AE58">
        <v>47</v>
      </c>
      <c r="AF58">
        <v>625</v>
      </c>
      <c r="AG58">
        <v>4</v>
      </c>
      <c r="AH58">
        <v>2</v>
      </c>
      <c r="AI58">
        <v>11</v>
      </c>
      <c r="AJ58">
        <v>0</v>
      </c>
      <c r="AK58">
        <v>87.6</v>
      </c>
      <c r="AM58" t="s">
        <v>804</v>
      </c>
      <c r="AN58" t="s">
        <v>996</v>
      </c>
      <c r="AO58" t="s">
        <v>178</v>
      </c>
      <c r="AP58">
        <v>7</v>
      </c>
      <c r="AQ58">
        <v>7</v>
      </c>
      <c r="AR58">
        <v>78</v>
      </c>
      <c r="AS58">
        <v>1</v>
      </c>
      <c r="AT58">
        <v>13.8</v>
      </c>
      <c r="BU58">
        <v>56</v>
      </c>
      <c r="BV58" t="s">
        <v>3</v>
      </c>
      <c r="BW58" t="s">
        <v>1157</v>
      </c>
      <c r="BX58" t="s">
        <v>102</v>
      </c>
      <c r="BY58">
        <v>16</v>
      </c>
    </row>
    <row r="59" spans="1:77" ht="12.75" customHeight="1">
      <c r="A59" s="33" t="s">
        <v>804</v>
      </c>
      <c r="B59" s="33" t="s">
        <v>1140</v>
      </c>
      <c r="C59" s="33" t="s">
        <v>99</v>
      </c>
      <c r="D59" s="33">
        <v>8</v>
      </c>
      <c r="E59" s="33">
        <v>15</v>
      </c>
      <c r="F59" s="33">
        <v>24</v>
      </c>
      <c r="G59" s="33">
        <v>162</v>
      </c>
      <c r="H59" s="33">
        <v>0</v>
      </c>
      <c r="I59" s="33">
        <v>0</v>
      </c>
      <c r="J59" s="33">
        <v>3</v>
      </c>
      <c r="K59" s="33">
        <v>7</v>
      </c>
      <c r="L59" s="33">
        <v>0</v>
      </c>
      <c r="M59" s="33">
        <v>8.8000000000000007</v>
      </c>
      <c r="N59" s="33"/>
      <c r="O59" s="33" t="s">
        <v>804</v>
      </c>
      <c r="P59" s="33" t="s">
        <v>1158</v>
      </c>
      <c r="Q59" s="33" t="s">
        <v>125</v>
      </c>
      <c r="R59" s="33">
        <v>5</v>
      </c>
      <c r="S59" s="33">
        <v>119</v>
      </c>
      <c r="T59" s="33">
        <v>510</v>
      </c>
      <c r="U59" s="33">
        <v>3</v>
      </c>
      <c r="V59" s="33">
        <v>6</v>
      </c>
      <c r="W59" s="33">
        <v>45</v>
      </c>
      <c r="X59" s="33">
        <v>0</v>
      </c>
      <c r="Y59" s="33">
        <v>73.5</v>
      </c>
      <c r="AA59" t="s">
        <v>804</v>
      </c>
      <c r="AB59" t="s">
        <v>1159</v>
      </c>
      <c r="AC59" t="s">
        <v>146</v>
      </c>
      <c r="AD59">
        <v>7</v>
      </c>
      <c r="AE59">
        <v>54</v>
      </c>
      <c r="AF59">
        <v>635</v>
      </c>
      <c r="AG59">
        <v>4</v>
      </c>
      <c r="AH59">
        <v>0</v>
      </c>
      <c r="AI59">
        <v>0</v>
      </c>
      <c r="AJ59">
        <v>0</v>
      </c>
      <c r="AK59">
        <v>87.5</v>
      </c>
      <c r="AM59" t="s">
        <v>804</v>
      </c>
      <c r="AN59" t="s">
        <v>1160</v>
      </c>
      <c r="AO59" t="s">
        <v>132</v>
      </c>
      <c r="AP59">
        <v>8</v>
      </c>
      <c r="AQ59">
        <v>6</v>
      </c>
      <c r="AR59">
        <v>72</v>
      </c>
      <c r="AS59">
        <v>1</v>
      </c>
      <c r="AT59">
        <v>13.2</v>
      </c>
      <c r="BU59">
        <v>57</v>
      </c>
      <c r="BV59" t="s">
        <v>0</v>
      </c>
      <c r="BW59" t="s">
        <v>946</v>
      </c>
      <c r="BX59" t="s">
        <v>930</v>
      </c>
      <c r="BY59">
        <v>15</v>
      </c>
    </row>
    <row r="60" spans="1:77" ht="12.75" customHeight="1">
      <c r="A60" s="33" t="s">
        <v>804</v>
      </c>
      <c r="B60" s="33" t="s">
        <v>1161</v>
      </c>
      <c r="C60" s="33" t="s">
        <v>161</v>
      </c>
      <c r="D60" s="33">
        <v>11</v>
      </c>
      <c r="E60" s="33">
        <v>15</v>
      </c>
      <c r="F60" s="33">
        <v>25</v>
      </c>
      <c r="G60" s="33">
        <v>165</v>
      </c>
      <c r="H60" s="33">
        <v>0</v>
      </c>
      <c r="I60" s="33">
        <v>0</v>
      </c>
      <c r="J60" s="33">
        <v>0</v>
      </c>
      <c r="K60" s="33">
        <v>0</v>
      </c>
      <c r="L60" s="33">
        <v>0</v>
      </c>
      <c r="M60" s="33">
        <v>8.3000000000000007</v>
      </c>
      <c r="N60" s="33"/>
      <c r="O60" s="33" t="s">
        <v>804</v>
      </c>
      <c r="P60" s="33" t="s">
        <v>1162</v>
      </c>
      <c r="Q60" s="33" t="s">
        <v>175</v>
      </c>
      <c r="R60" s="33">
        <v>4</v>
      </c>
      <c r="S60" s="33">
        <v>117</v>
      </c>
      <c r="T60" s="33">
        <v>467</v>
      </c>
      <c r="U60" s="33">
        <v>3</v>
      </c>
      <c r="V60" s="33">
        <v>13</v>
      </c>
      <c r="W60" s="33">
        <v>85</v>
      </c>
      <c r="X60" s="33">
        <v>0</v>
      </c>
      <c r="Y60" s="33">
        <v>73.2</v>
      </c>
      <c r="AA60" t="s">
        <v>804</v>
      </c>
      <c r="AB60" t="s">
        <v>1163</v>
      </c>
      <c r="AC60" t="s">
        <v>132</v>
      </c>
      <c r="AD60">
        <v>8</v>
      </c>
      <c r="AE60">
        <v>46</v>
      </c>
      <c r="AF60">
        <v>587</v>
      </c>
      <c r="AG60">
        <v>4</v>
      </c>
      <c r="AH60">
        <v>0</v>
      </c>
      <c r="AI60">
        <v>0</v>
      </c>
      <c r="AJ60">
        <v>0</v>
      </c>
      <c r="AK60">
        <v>82.7</v>
      </c>
      <c r="AM60" t="s">
        <v>804</v>
      </c>
      <c r="AN60" t="s">
        <v>1164</v>
      </c>
      <c r="AO60" t="s">
        <v>128</v>
      </c>
      <c r="AP60">
        <v>10</v>
      </c>
      <c r="AQ60">
        <v>5</v>
      </c>
      <c r="AR60">
        <v>65</v>
      </c>
      <c r="AS60">
        <v>1</v>
      </c>
      <c r="AT60">
        <v>12.5</v>
      </c>
      <c r="BU60">
        <v>58</v>
      </c>
      <c r="BV60" t="s">
        <v>2</v>
      </c>
      <c r="BW60" t="s">
        <v>1032</v>
      </c>
      <c r="BX60" t="s">
        <v>146</v>
      </c>
      <c r="BY60">
        <v>15</v>
      </c>
    </row>
    <row r="61" spans="1:77" ht="12.75" customHeight="1">
      <c r="A61" s="33" t="s">
        <v>804</v>
      </c>
      <c r="B61" s="33" t="s">
        <v>1165</v>
      </c>
      <c r="C61" s="33" t="s">
        <v>168</v>
      </c>
      <c r="D61" s="33">
        <v>5</v>
      </c>
      <c r="E61" s="33">
        <v>14</v>
      </c>
      <c r="F61" s="33">
        <v>23</v>
      </c>
      <c r="G61" s="33">
        <v>158</v>
      </c>
      <c r="H61" s="33">
        <v>0</v>
      </c>
      <c r="I61" s="33">
        <v>1</v>
      </c>
      <c r="J61" s="33">
        <v>0</v>
      </c>
      <c r="K61" s="33">
        <v>0</v>
      </c>
      <c r="L61" s="33">
        <v>0</v>
      </c>
      <c r="M61" s="33">
        <v>7.9</v>
      </c>
      <c r="N61" s="33"/>
      <c r="O61" s="33" t="s">
        <v>804</v>
      </c>
      <c r="P61" s="33" t="s">
        <v>1166</v>
      </c>
      <c r="Q61" s="33" t="s">
        <v>142</v>
      </c>
      <c r="R61" s="33">
        <v>7</v>
      </c>
      <c r="S61" s="33">
        <v>34</v>
      </c>
      <c r="T61" s="33">
        <v>135</v>
      </c>
      <c r="U61" s="33">
        <v>1</v>
      </c>
      <c r="V61" s="33">
        <v>52</v>
      </c>
      <c r="W61" s="33">
        <v>402</v>
      </c>
      <c r="X61" s="33">
        <v>2</v>
      </c>
      <c r="Y61" s="33">
        <v>71.7</v>
      </c>
      <c r="AA61" t="s">
        <v>804</v>
      </c>
      <c r="AB61" t="s">
        <v>1167</v>
      </c>
      <c r="AC61" t="s">
        <v>119</v>
      </c>
      <c r="AD61">
        <v>5</v>
      </c>
      <c r="AE61">
        <v>42</v>
      </c>
      <c r="AF61">
        <v>578</v>
      </c>
      <c r="AG61">
        <v>4</v>
      </c>
      <c r="AH61">
        <v>0</v>
      </c>
      <c r="AI61">
        <v>0</v>
      </c>
      <c r="AJ61">
        <v>0</v>
      </c>
      <c r="AK61">
        <v>81.8</v>
      </c>
      <c r="AM61" t="s">
        <v>804</v>
      </c>
      <c r="AN61" t="s">
        <v>1168</v>
      </c>
      <c r="AO61" t="s">
        <v>109</v>
      </c>
      <c r="AP61">
        <v>6</v>
      </c>
      <c r="AQ61">
        <v>5</v>
      </c>
      <c r="AR61">
        <v>57</v>
      </c>
      <c r="AS61">
        <v>1</v>
      </c>
      <c r="AT61">
        <v>11.7</v>
      </c>
      <c r="BU61">
        <v>59</v>
      </c>
      <c r="BV61" t="s">
        <v>3</v>
      </c>
      <c r="BW61" t="s">
        <v>1169</v>
      </c>
      <c r="BX61" t="s">
        <v>933</v>
      </c>
      <c r="BY61">
        <v>15</v>
      </c>
    </row>
    <row r="62" spans="1:77" ht="12.75" customHeight="1">
      <c r="A62" s="33" t="s">
        <v>804</v>
      </c>
      <c r="B62" s="33" t="s">
        <v>1170</v>
      </c>
      <c r="C62" s="33" t="s">
        <v>115</v>
      </c>
      <c r="D62" s="33">
        <v>10</v>
      </c>
      <c r="E62" s="33">
        <v>14</v>
      </c>
      <c r="F62" s="33">
        <v>22</v>
      </c>
      <c r="G62" s="33">
        <v>156</v>
      </c>
      <c r="H62" s="33">
        <v>0</v>
      </c>
      <c r="I62" s="33">
        <v>1</v>
      </c>
      <c r="J62" s="33">
        <v>0</v>
      </c>
      <c r="K62" s="33">
        <v>0</v>
      </c>
      <c r="L62" s="33">
        <v>0</v>
      </c>
      <c r="M62" s="33">
        <v>7.8</v>
      </c>
      <c r="N62" s="33"/>
      <c r="O62" s="33" t="s">
        <v>804</v>
      </c>
      <c r="P62" s="33" t="s">
        <v>1171</v>
      </c>
      <c r="Q62" s="33" t="s">
        <v>194</v>
      </c>
      <c r="R62" s="33">
        <v>5</v>
      </c>
      <c r="S62" s="33">
        <v>104</v>
      </c>
      <c r="T62" s="33">
        <v>456</v>
      </c>
      <c r="U62" s="33">
        <v>3</v>
      </c>
      <c r="V62" s="33">
        <v>13</v>
      </c>
      <c r="W62" s="33">
        <v>79</v>
      </c>
      <c r="X62" s="33">
        <v>0</v>
      </c>
      <c r="Y62" s="33">
        <v>71.5</v>
      </c>
      <c r="AA62" t="s">
        <v>804</v>
      </c>
      <c r="AB62" t="s">
        <v>1172</v>
      </c>
      <c r="AC62" t="s">
        <v>165</v>
      </c>
      <c r="AD62">
        <v>9</v>
      </c>
      <c r="AE62">
        <v>39</v>
      </c>
      <c r="AF62">
        <v>545</v>
      </c>
      <c r="AG62">
        <v>4</v>
      </c>
      <c r="AH62">
        <v>0</v>
      </c>
      <c r="AI62">
        <v>25</v>
      </c>
      <c r="AJ62">
        <v>0</v>
      </c>
      <c r="AK62">
        <v>81</v>
      </c>
      <c r="AM62" t="s">
        <v>804</v>
      </c>
      <c r="AN62" t="s">
        <v>1173</v>
      </c>
      <c r="AO62" t="s">
        <v>198</v>
      </c>
      <c r="AP62">
        <v>11</v>
      </c>
      <c r="AQ62">
        <v>11</v>
      </c>
      <c r="AR62">
        <v>111</v>
      </c>
      <c r="AS62">
        <v>0</v>
      </c>
      <c r="AT62">
        <v>11.1</v>
      </c>
      <c r="BU62">
        <v>60</v>
      </c>
      <c r="BV62" t="s">
        <v>16</v>
      </c>
      <c r="BW62" t="s">
        <v>968</v>
      </c>
      <c r="BX62" t="s">
        <v>971</v>
      </c>
      <c r="BY62">
        <v>15</v>
      </c>
    </row>
    <row r="63" spans="1:77" ht="12.75" customHeight="1">
      <c r="A63" s="33" t="s">
        <v>804</v>
      </c>
      <c r="B63" s="33" t="s">
        <v>1174</v>
      </c>
      <c r="C63" s="33" t="s">
        <v>154</v>
      </c>
      <c r="D63" s="33">
        <v>9</v>
      </c>
      <c r="E63" s="33">
        <v>11</v>
      </c>
      <c r="F63" s="33">
        <v>18</v>
      </c>
      <c r="G63" s="33">
        <v>136</v>
      </c>
      <c r="H63" s="33">
        <v>0</v>
      </c>
      <c r="I63" s="33">
        <v>0</v>
      </c>
      <c r="J63" s="33">
        <v>0</v>
      </c>
      <c r="K63" s="33">
        <v>0</v>
      </c>
      <c r="L63" s="33">
        <v>0</v>
      </c>
      <c r="M63" s="33">
        <v>6.8</v>
      </c>
      <c r="N63" s="33"/>
      <c r="O63" s="33" t="s">
        <v>804</v>
      </c>
      <c r="P63" s="33" t="s">
        <v>1175</v>
      </c>
      <c r="Q63" s="33" t="s">
        <v>168</v>
      </c>
      <c r="R63" s="33">
        <v>5</v>
      </c>
      <c r="S63" s="33">
        <v>104</v>
      </c>
      <c r="T63" s="33">
        <v>489</v>
      </c>
      <c r="U63" s="33">
        <v>2</v>
      </c>
      <c r="V63" s="33">
        <v>13</v>
      </c>
      <c r="W63" s="33">
        <v>105</v>
      </c>
      <c r="X63" s="33">
        <v>0</v>
      </c>
      <c r="Y63" s="33">
        <v>71.400000000000006</v>
      </c>
      <c r="AA63" t="s">
        <v>804</v>
      </c>
      <c r="AB63" t="s">
        <v>1176</v>
      </c>
      <c r="AC63" t="s">
        <v>142</v>
      </c>
      <c r="AD63">
        <v>7</v>
      </c>
      <c r="AE63">
        <v>42</v>
      </c>
      <c r="AF63">
        <v>556</v>
      </c>
      <c r="AG63">
        <v>4</v>
      </c>
      <c r="AH63">
        <v>0</v>
      </c>
      <c r="AI63">
        <v>0</v>
      </c>
      <c r="AJ63">
        <v>0</v>
      </c>
      <c r="AK63">
        <v>79.599999999999994</v>
      </c>
      <c r="AM63" t="s">
        <v>804</v>
      </c>
      <c r="AN63" t="s">
        <v>1177</v>
      </c>
      <c r="AO63" t="s">
        <v>185</v>
      </c>
      <c r="AP63">
        <v>11</v>
      </c>
      <c r="AQ63">
        <v>10</v>
      </c>
      <c r="AR63">
        <v>100</v>
      </c>
      <c r="AS63">
        <v>0</v>
      </c>
      <c r="AT63">
        <v>10</v>
      </c>
      <c r="BU63">
        <v>61</v>
      </c>
      <c r="BV63" t="s">
        <v>3</v>
      </c>
      <c r="BW63" t="s">
        <v>1064</v>
      </c>
      <c r="BX63" t="s">
        <v>1030</v>
      </c>
      <c r="BY63">
        <v>15</v>
      </c>
    </row>
    <row r="64" spans="1:77" ht="12.75" customHeight="1">
      <c r="A64" s="33" t="s">
        <v>804</v>
      </c>
      <c r="B64" s="33" t="s">
        <v>1127</v>
      </c>
      <c r="C64" s="33" t="s">
        <v>112</v>
      </c>
      <c r="D64" s="33">
        <v>8</v>
      </c>
      <c r="E64" s="33">
        <v>7</v>
      </c>
      <c r="F64" s="33">
        <v>11</v>
      </c>
      <c r="G64" s="33">
        <v>75</v>
      </c>
      <c r="H64" s="33">
        <v>0</v>
      </c>
      <c r="I64" s="33">
        <v>0</v>
      </c>
      <c r="J64" s="33">
        <v>1</v>
      </c>
      <c r="K64" s="33">
        <v>2</v>
      </c>
      <c r="L64" s="33">
        <v>0</v>
      </c>
      <c r="M64" s="33">
        <v>4</v>
      </c>
      <c r="N64" s="33"/>
      <c r="O64" s="33" t="s">
        <v>804</v>
      </c>
      <c r="P64" s="33" t="s">
        <v>1052</v>
      </c>
      <c r="Q64" s="33" t="s">
        <v>154</v>
      </c>
      <c r="R64" s="33">
        <v>9</v>
      </c>
      <c r="S64" s="33">
        <v>95</v>
      </c>
      <c r="T64" s="33">
        <v>456</v>
      </c>
      <c r="U64" s="33">
        <v>3</v>
      </c>
      <c r="V64" s="33">
        <v>11</v>
      </c>
      <c r="W64" s="33">
        <v>77</v>
      </c>
      <c r="X64" s="33">
        <v>0</v>
      </c>
      <c r="Y64" s="33">
        <v>71.3</v>
      </c>
      <c r="AA64" t="s">
        <v>804</v>
      </c>
      <c r="AB64" t="s">
        <v>1178</v>
      </c>
      <c r="AC64" t="s">
        <v>112</v>
      </c>
      <c r="AD64">
        <v>8</v>
      </c>
      <c r="AE64">
        <v>42</v>
      </c>
      <c r="AF64">
        <v>549</v>
      </c>
      <c r="AG64">
        <v>4</v>
      </c>
      <c r="AH64">
        <v>0</v>
      </c>
      <c r="AI64">
        <v>0</v>
      </c>
      <c r="AJ64">
        <v>0</v>
      </c>
      <c r="AK64">
        <v>78.900000000000006</v>
      </c>
      <c r="AM64" t="s">
        <v>804</v>
      </c>
      <c r="AN64" t="s">
        <v>1179</v>
      </c>
      <c r="AO64" t="s">
        <v>158</v>
      </c>
      <c r="AP64">
        <v>6</v>
      </c>
      <c r="AQ64">
        <v>8</v>
      </c>
      <c r="AR64">
        <v>86</v>
      </c>
      <c r="AS64">
        <v>0</v>
      </c>
      <c r="AT64">
        <v>8.6</v>
      </c>
      <c r="BU64">
        <v>62</v>
      </c>
      <c r="BV64" t="s">
        <v>3</v>
      </c>
      <c r="BW64" t="s">
        <v>1044</v>
      </c>
      <c r="BX64" t="s">
        <v>172</v>
      </c>
      <c r="BY64">
        <v>14</v>
      </c>
    </row>
    <row r="65" spans="1:77" ht="12.75" customHeight="1">
      <c r="A65" s="33" t="s">
        <v>804</v>
      </c>
      <c r="B65" s="33" t="s">
        <v>1136</v>
      </c>
      <c r="C65" s="33" t="s">
        <v>125</v>
      </c>
      <c r="D65" s="33">
        <v>5</v>
      </c>
      <c r="E65" s="33">
        <v>6</v>
      </c>
      <c r="F65" s="33">
        <v>10</v>
      </c>
      <c r="G65" s="33">
        <v>65</v>
      </c>
      <c r="H65" s="33">
        <v>0</v>
      </c>
      <c r="I65" s="33">
        <v>0</v>
      </c>
      <c r="J65" s="33">
        <v>0</v>
      </c>
      <c r="K65" s="33">
        <v>0</v>
      </c>
      <c r="L65" s="33">
        <v>0</v>
      </c>
      <c r="M65" s="33">
        <v>3.3</v>
      </c>
      <c r="N65" s="33"/>
      <c r="O65" s="33" t="s">
        <v>804</v>
      </c>
      <c r="P65" s="33" t="s">
        <v>1119</v>
      </c>
      <c r="Q65" s="33" t="s">
        <v>99</v>
      </c>
      <c r="R65" s="33">
        <v>8</v>
      </c>
      <c r="S65" s="33">
        <v>88</v>
      </c>
      <c r="T65" s="33">
        <v>387</v>
      </c>
      <c r="U65" s="33">
        <v>2</v>
      </c>
      <c r="V65" s="33">
        <v>14</v>
      </c>
      <c r="W65" s="33">
        <v>112</v>
      </c>
      <c r="X65" s="33">
        <v>0</v>
      </c>
      <c r="Y65" s="33">
        <v>61.9</v>
      </c>
      <c r="AA65" t="s">
        <v>804</v>
      </c>
      <c r="AB65" t="s">
        <v>1180</v>
      </c>
      <c r="AC65" t="s">
        <v>182</v>
      </c>
      <c r="AD65">
        <v>9</v>
      </c>
      <c r="AE65">
        <v>35</v>
      </c>
      <c r="AF65">
        <v>524</v>
      </c>
      <c r="AG65">
        <v>4</v>
      </c>
      <c r="AH65">
        <v>0</v>
      </c>
      <c r="AI65">
        <v>0</v>
      </c>
      <c r="AJ65">
        <v>0</v>
      </c>
      <c r="AK65">
        <v>76.400000000000006</v>
      </c>
      <c r="AM65" t="s">
        <v>804</v>
      </c>
      <c r="AN65" t="s">
        <v>1181</v>
      </c>
      <c r="AO65" t="s">
        <v>112</v>
      </c>
      <c r="AP65">
        <v>8</v>
      </c>
      <c r="AQ65">
        <v>7</v>
      </c>
      <c r="AR65">
        <v>77</v>
      </c>
      <c r="AS65">
        <v>0</v>
      </c>
      <c r="AT65">
        <v>7.7</v>
      </c>
      <c r="BU65">
        <v>63</v>
      </c>
      <c r="BV65" t="s">
        <v>3</v>
      </c>
      <c r="BW65" t="s">
        <v>1076</v>
      </c>
      <c r="BX65" t="s">
        <v>122</v>
      </c>
      <c r="BY65">
        <v>14</v>
      </c>
    </row>
    <row r="66" spans="1:77" ht="12.75" customHeight="1">
      <c r="A66" s="33" t="s">
        <v>804</v>
      </c>
      <c r="B66" s="33" t="s">
        <v>1182</v>
      </c>
      <c r="C66" s="33" t="s">
        <v>122</v>
      </c>
      <c r="D66" s="33">
        <v>7</v>
      </c>
      <c r="E66" s="33">
        <v>4</v>
      </c>
      <c r="F66" s="33">
        <v>7</v>
      </c>
      <c r="G66" s="33">
        <v>45</v>
      </c>
      <c r="H66" s="33">
        <v>0</v>
      </c>
      <c r="I66" s="33">
        <v>0</v>
      </c>
      <c r="J66" s="33">
        <v>0</v>
      </c>
      <c r="K66" s="33">
        <v>0</v>
      </c>
      <c r="L66" s="33">
        <v>0</v>
      </c>
      <c r="M66" s="33">
        <v>2.2999999999999998</v>
      </c>
      <c r="N66" s="33"/>
      <c r="O66" s="33" t="s">
        <v>804</v>
      </c>
      <c r="P66" s="33" t="s">
        <v>1183</v>
      </c>
      <c r="Q66" s="33" t="s">
        <v>115</v>
      </c>
      <c r="R66" s="33">
        <v>10</v>
      </c>
      <c r="S66" s="33">
        <v>108</v>
      </c>
      <c r="T66" s="33">
        <v>442</v>
      </c>
      <c r="U66" s="33">
        <v>1</v>
      </c>
      <c r="V66" s="33">
        <v>18</v>
      </c>
      <c r="W66" s="33">
        <v>107</v>
      </c>
      <c r="X66" s="33">
        <v>0</v>
      </c>
      <c r="Y66" s="33">
        <v>60.9</v>
      </c>
      <c r="AA66" t="s">
        <v>804</v>
      </c>
      <c r="AB66" t="s">
        <v>1184</v>
      </c>
      <c r="AC66" t="s">
        <v>150</v>
      </c>
      <c r="AD66">
        <v>11</v>
      </c>
      <c r="AE66">
        <v>42</v>
      </c>
      <c r="AF66">
        <v>565</v>
      </c>
      <c r="AG66">
        <v>3</v>
      </c>
      <c r="AH66">
        <v>0</v>
      </c>
      <c r="AI66">
        <v>0</v>
      </c>
      <c r="AJ66">
        <v>0</v>
      </c>
      <c r="AK66">
        <v>74.5</v>
      </c>
      <c r="AM66" t="s">
        <v>804</v>
      </c>
      <c r="AN66" t="s">
        <v>1185</v>
      </c>
      <c r="AO66" t="s">
        <v>96</v>
      </c>
      <c r="AP66">
        <v>7</v>
      </c>
      <c r="AQ66">
        <v>8</v>
      </c>
      <c r="AR66">
        <v>77</v>
      </c>
      <c r="AS66">
        <v>0</v>
      </c>
      <c r="AT66">
        <v>7.7</v>
      </c>
      <c r="BU66">
        <v>64</v>
      </c>
      <c r="BV66" t="s">
        <v>3</v>
      </c>
      <c r="BW66" t="s">
        <v>974</v>
      </c>
      <c r="BX66" t="s">
        <v>1087</v>
      </c>
      <c r="BY66">
        <v>14</v>
      </c>
    </row>
    <row r="67" spans="1:77" ht="12.75" customHeight="1">
      <c r="A67" s="33" t="s">
        <v>804</v>
      </c>
      <c r="B67" s="33" t="s">
        <v>1186</v>
      </c>
      <c r="C67" s="33" t="s">
        <v>106</v>
      </c>
      <c r="D67" s="33">
        <v>6</v>
      </c>
      <c r="E67" s="33">
        <v>2</v>
      </c>
      <c r="F67" s="33">
        <v>4</v>
      </c>
      <c r="G67" s="33">
        <v>26</v>
      </c>
      <c r="H67" s="33">
        <v>0</v>
      </c>
      <c r="I67" s="33">
        <v>0</v>
      </c>
      <c r="J67" s="33">
        <v>1</v>
      </c>
      <c r="K67" s="33">
        <v>2</v>
      </c>
      <c r="L67" s="33">
        <v>0</v>
      </c>
      <c r="M67" s="33">
        <v>1.5</v>
      </c>
      <c r="N67" s="33"/>
      <c r="O67" s="33" t="s">
        <v>804</v>
      </c>
      <c r="P67" s="33" t="s">
        <v>1187</v>
      </c>
      <c r="Q67" s="33" t="s">
        <v>185</v>
      </c>
      <c r="R67" s="33">
        <v>11</v>
      </c>
      <c r="S67" s="33">
        <v>89</v>
      </c>
      <c r="T67" s="33">
        <v>409</v>
      </c>
      <c r="U67" s="33">
        <v>2</v>
      </c>
      <c r="V67" s="33">
        <v>9</v>
      </c>
      <c r="W67" s="33">
        <v>65</v>
      </c>
      <c r="X67" s="33">
        <v>0</v>
      </c>
      <c r="Y67" s="33">
        <v>59.4</v>
      </c>
      <c r="AA67" t="s">
        <v>804</v>
      </c>
      <c r="AB67" t="s">
        <v>1188</v>
      </c>
      <c r="AC67" t="s">
        <v>158</v>
      </c>
      <c r="AD67">
        <v>6</v>
      </c>
      <c r="AE67">
        <v>34</v>
      </c>
      <c r="AF67">
        <v>565</v>
      </c>
      <c r="AG67">
        <v>3</v>
      </c>
      <c r="AH67">
        <v>0</v>
      </c>
      <c r="AI67">
        <v>0</v>
      </c>
      <c r="AJ67">
        <v>0</v>
      </c>
      <c r="AK67">
        <v>74.5</v>
      </c>
      <c r="AM67" t="s">
        <v>804</v>
      </c>
      <c r="AN67" t="s">
        <v>907</v>
      </c>
      <c r="AO67" t="s">
        <v>122</v>
      </c>
      <c r="AP67">
        <v>7</v>
      </c>
      <c r="AQ67">
        <v>4</v>
      </c>
      <c r="AR67">
        <v>46</v>
      </c>
      <c r="AS67">
        <v>0</v>
      </c>
      <c r="AT67">
        <v>4.5999999999999996</v>
      </c>
      <c r="BU67">
        <v>65</v>
      </c>
      <c r="BV67" t="s">
        <v>1189</v>
      </c>
      <c r="BW67" t="s">
        <v>1190</v>
      </c>
      <c r="BX67" t="s">
        <v>161</v>
      </c>
      <c r="BY67">
        <v>12</v>
      </c>
    </row>
    <row r="68" spans="1:77" ht="12.75" customHeight="1">
      <c r="A68" s="33" t="s">
        <v>804</v>
      </c>
      <c r="B68" s="33" t="s">
        <v>1068</v>
      </c>
      <c r="C68" s="33" t="s">
        <v>178</v>
      </c>
      <c r="D68" s="33">
        <v>7</v>
      </c>
      <c r="E68" s="33">
        <v>1</v>
      </c>
      <c r="F68" s="33">
        <v>2</v>
      </c>
      <c r="G68" s="33">
        <v>10</v>
      </c>
      <c r="H68" s="33">
        <v>0</v>
      </c>
      <c r="I68" s="33">
        <v>0</v>
      </c>
      <c r="J68" s="33">
        <v>0</v>
      </c>
      <c r="K68" s="33">
        <v>0</v>
      </c>
      <c r="L68" s="33">
        <v>0</v>
      </c>
      <c r="M68" s="33">
        <v>0.5</v>
      </c>
      <c r="N68" s="33"/>
      <c r="O68" s="33" t="s">
        <v>804</v>
      </c>
      <c r="P68" s="33" t="s">
        <v>1141</v>
      </c>
      <c r="Q68" s="33" t="s">
        <v>168</v>
      </c>
      <c r="R68" s="33">
        <v>5</v>
      </c>
      <c r="S68" s="33">
        <v>45</v>
      </c>
      <c r="T68" s="33">
        <v>165</v>
      </c>
      <c r="U68" s="33">
        <v>0</v>
      </c>
      <c r="V68" s="33">
        <v>55</v>
      </c>
      <c r="W68" s="33">
        <v>345</v>
      </c>
      <c r="X68" s="33">
        <v>1</v>
      </c>
      <c r="Y68" s="33">
        <v>57</v>
      </c>
      <c r="AA68" t="s">
        <v>804</v>
      </c>
      <c r="AB68" t="s">
        <v>1191</v>
      </c>
      <c r="AC68" t="s">
        <v>106</v>
      </c>
      <c r="AD68">
        <v>6</v>
      </c>
      <c r="AE68">
        <v>44</v>
      </c>
      <c r="AF68">
        <v>565</v>
      </c>
      <c r="AG68">
        <v>3</v>
      </c>
      <c r="AH68">
        <v>0</v>
      </c>
      <c r="AI68">
        <v>0</v>
      </c>
      <c r="AJ68">
        <v>0</v>
      </c>
      <c r="AK68">
        <v>74.5</v>
      </c>
      <c r="BU68">
        <v>66</v>
      </c>
      <c r="BV68" t="s">
        <v>0</v>
      </c>
      <c r="BW68" t="s">
        <v>934</v>
      </c>
      <c r="BX68" t="s">
        <v>135</v>
      </c>
      <c r="BY68">
        <v>12</v>
      </c>
    </row>
    <row r="69" spans="1:77" ht="12.75" customHeight="1">
      <c r="A69" s="33"/>
      <c r="B69" s="33"/>
      <c r="C69" s="33"/>
      <c r="D69" s="33"/>
      <c r="E69" s="33"/>
      <c r="F69" s="33"/>
      <c r="G69" s="33"/>
      <c r="H69" s="33"/>
      <c r="I69" s="33"/>
      <c r="J69" s="33"/>
      <c r="K69" s="33"/>
      <c r="L69" s="33"/>
      <c r="M69" s="33"/>
      <c r="N69" s="33"/>
      <c r="O69" s="33" t="s">
        <v>804</v>
      </c>
      <c r="P69" s="33" t="s">
        <v>1192</v>
      </c>
      <c r="Q69" s="33" t="s">
        <v>135</v>
      </c>
      <c r="R69" s="33">
        <v>4</v>
      </c>
      <c r="S69" s="33">
        <v>87</v>
      </c>
      <c r="T69" s="33">
        <v>357</v>
      </c>
      <c r="U69" s="33">
        <v>2</v>
      </c>
      <c r="V69" s="33">
        <v>14</v>
      </c>
      <c r="W69" s="33">
        <v>82</v>
      </c>
      <c r="X69" s="33">
        <v>0</v>
      </c>
      <c r="Y69" s="33">
        <v>55.9</v>
      </c>
      <c r="AA69" t="s">
        <v>804</v>
      </c>
      <c r="AB69" t="s">
        <v>1193</v>
      </c>
      <c r="AC69" t="s">
        <v>109</v>
      </c>
      <c r="AD69">
        <v>6</v>
      </c>
      <c r="AE69">
        <v>47</v>
      </c>
      <c r="AF69">
        <v>559</v>
      </c>
      <c r="AG69">
        <v>3</v>
      </c>
      <c r="AH69">
        <v>0</v>
      </c>
      <c r="AI69">
        <v>0</v>
      </c>
      <c r="AJ69">
        <v>0</v>
      </c>
      <c r="AK69">
        <v>73.900000000000006</v>
      </c>
      <c r="BU69">
        <v>67</v>
      </c>
      <c r="BV69" t="s">
        <v>16</v>
      </c>
      <c r="BW69" t="s">
        <v>1071</v>
      </c>
      <c r="BX69" t="s">
        <v>915</v>
      </c>
      <c r="BY69">
        <v>12</v>
      </c>
    </row>
    <row r="70" spans="1:77" ht="12.75" customHeight="1">
      <c r="A70" s="33"/>
      <c r="B70" s="33"/>
      <c r="C70" s="33"/>
      <c r="D70" s="33"/>
      <c r="E70" s="33"/>
      <c r="F70" s="33"/>
      <c r="G70" s="33"/>
      <c r="H70" s="33"/>
      <c r="I70" s="33"/>
      <c r="J70" s="33"/>
      <c r="K70" s="33"/>
      <c r="L70" s="33"/>
      <c r="M70" s="33"/>
      <c r="N70" s="33"/>
      <c r="O70" s="33" t="s">
        <v>804</v>
      </c>
      <c r="P70" s="33" t="s">
        <v>1194</v>
      </c>
      <c r="Q70" s="33" t="s">
        <v>128</v>
      </c>
      <c r="R70" s="33">
        <v>10</v>
      </c>
      <c r="S70" s="33">
        <v>76</v>
      </c>
      <c r="T70" s="33">
        <v>320</v>
      </c>
      <c r="U70" s="33">
        <v>2</v>
      </c>
      <c r="V70" s="33">
        <v>12</v>
      </c>
      <c r="W70" s="33">
        <v>82</v>
      </c>
      <c r="X70" s="33">
        <v>0</v>
      </c>
      <c r="Y70" s="33">
        <v>52.2</v>
      </c>
      <c r="AA70" t="s">
        <v>804</v>
      </c>
      <c r="AB70" t="s">
        <v>1195</v>
      </c>
      <c r="AC70" t="s">
        <v>82</v>
      </c>
      <c r="AD70">
        <v>10</v>
      </c>
      <c r="AE70">
        <v>41</v>
      </c>
      <c r="AF70">
        <v>556</v>
      </c>
      <c r="AG70">
        <v>3</v>
      </c>
      <c r="AH70">
        <v>0</v>
      </c>
      <c r="AI70">
        <v>0</v>
      </c>
      <c r="AJ70">
        <v>0</v>
      </c>
      <c r="AK70">
        <v>73.599999999999994</v>
      </c>
      <c r="BU70">
        <v>68</v>
      </c>
      <c r="BV70" t="s">
        <v>16</v>
      </c>
      <c r="BW70" t="s">
        <v>913</v>
      </c>
      <c r="BX70" t="s">
        <v>1144</v>
      </c>
      <c r="BY70">
        <v>12</v>
      </c>
    </row>
    <row r="71" spans="1:77" ht="12.75" customHeight="1">
      <c r="A71" s="33"/>
      <c r="B71" s="33"/>
      <c r="C71" s="33"/>
      <c r="D71" s="33"/>
      <c r="E71" s="33"/>
      <c r="F71" s="33"/>
      <c r="G71" s="33"/>
      <c r="H71" s="33"/>
      <c r="I71" s="33"/>
      <c r="J71" s="33"/>
      <c r="K71" s="33"/>
      <c r="L71" s="33"/>
      <c r="M71" s="33"/>
      <c r="N71" s="33"/>
      <c r="O71" s="33" t="s">
        <v>804</v>
      </c>
      <c r="P71" s="33" t="s">
        <v>1196</v>
      </c>
      <c r="Q71" s="33" t="s">
        <v>128</v>
      </c>
      <c r="R71" s="33">
        <v>10</v>
      </c>
      <c r="S71" s="33">
        <v>58</v>
      </c>
      <c r="T71" s="33">
        <v>245</v>
      </c>
      <c r="U71" s="33">
        <v>1</v>
      </c>
      <c r="V71" s="33">
        <v>24</v>
      </c>
      <c r="W71" s="33">
        <v>154</v>
      </c>
      <c r="X71" s="33">
        <v>1</v>
      </c>
      <c r="Y71" s="33">
        <v>51.9</v>
      </c>
      <c r="AA71" t="s">
        <v>804</v>
      </c>
      <c r="AB71" t="s">
        <v>1197</v>
      </c>
      <c r="AC71" t="s">
        <v>102</v>
      </c>
      <c r="AD71">
        <v>8</v>
      </c>
      <c r="AE71">
        <v>41</v>
      </c>
      <c r="AF71">
        <v>544</v>
      </c>
      <c r="AG71">
        <v>3</v>
      </c>
      <c r="AH71">
        <v>0</v>
      </c>
      <c r="AI71">
        <v>0</v>
      </c>
      <c r="AJ71">
        <v>0</v>
      </c>
      <c r="AK71">
        <v>72.400000000000006</v>
      </c>
      <c r="BU71">
        <v>69</v>
      </c>
      <c r="BV71" t="s">
        <v>2</v>
      </c>
      <c r="BW71" t="s">
        <v>1128</v>
      </c>
      <c r="BX71" t="s">
        <v>165</v>
      </c>
      <c r="BY71">
        <v>11</v>
      </c>
    </row>
    <row r="72" spans="1:77" ht="12.75" customHeight="1">
      <c r="A72" s="33"/>
      <c r="B72" s="33"/>
      <c r="C72" s="33"/>
      <c r="D72" s="33"/>
      <c r="E72" s="33"/>
      <c r="F72" s="33"/>
      <c r="G72" s="33"/>
      <c r="H72" s="33"/>
      <c r="I72" s="33"/>
      <c r="J72" s="33"/>
      <c r="K72" s="33"/>
      <c r="L72" s="33"/>
      <c r="M72" s="33"/>
      <c r="N72" s="33"/>
      <c r="O72" s="33" t="s">
        <v>804</v>
      </c>
      <c r="P72" s="33" t="s">
        <v>1198</v>
      </c>
      <c r="Q72" s="33" t="s">
        <v>198</v>
      </c>
      <c r="R72" s="33">
        <v>11</v>
      </c>
      <c r="S72" s="33">
        <v>56</v>
      </c>
      <c r="T72" s="33">
        <v>265</v>
      </c>
      <c r="U72" s="33">
        <v>2</v>
      </c>
      <c r="V72" s="33">
        <v>16</v>
      </c>
      <c r="W72" s="33">
        <v>125</v>
      </c>
      <c r="X72" s="33">
        <v>0</v>
      </c>
      <c r="Y72" s="33">
        <v>51</v>
      </c>
      <c r="AA72" t="s">
        <v>804</v>
      </c>
      <c r="AB72" t="s">
        <v>1199</v>
      </c>
      <c r="AC72" t="s">
        <v>135</v>
      </c>
      <c r="AD72">
        <v>4</v>
      </c>
      <c r="AE72">
        <v>45</v>
      </c>
      <c r="AF72">
        <v>536</v>
      </c>
      <c r="AG72">
        <v>3</v>
      </c>
      <c r="AH72">
        <v>0</v>
      </c>
      <c r="AI72">
        <v>0</v>
      </c>
      <c r="AJ72">
        <v>0</v>
      </c>
      <c r="AK72">
        <v>71.599999999999994</v>
      </c>
      <c r="BU72">
        <v>70</v>
      </c>
      <c r="BV72" t="s">
        <v>1200</v>
      </c>
      <c r="BW72" t="s">
        <v>1201</v>
      </c>
      <c r="BX72" t="s">
        <v>1144</v>
      </c>
      <c r="BY72">
        <v>11</v>
      </c>
    </row>
    <row r="73" spans="1:77" ht="12.75" customHeight="1">
      <c r="A73" s="33"/>
      <c r="B73" s="33"/>
      <c r="C73" s="33"/>
      <c r="D73" s="33"/>
      <c r="E73" s="33"/>
      <c r="F73" s="33"/>
      <c r="G73" s="33"/>
      <c r="H73" s="33"/>
      <c r="I73" s="33"/>
      <c r="J73" s="33"/>
      <c r="K73" s="33"/>
      <c r="L73" s="33"/>
      <c r="M73" s="33"/>
      <c r="N73" s="33"/>
      <c r="O73" s="33" t="s">
        <v>804</v>
      </c>
      <c r="P73" s="33" t="s">
        <v>1202</v>
      </c>
      <c r="Q73" s="33" t="s">
        <v>96</v>
      </c>
      <c r="R73" s="33">
        <v>7</v>
      </c>
      <c r="S73" s="33">
        <v>41</v>
      </c>
      <c r="T73" s="33">
        <v>195</v>
      </c>
      <c r="U73" s="33">
        <v>1</v>
      </c>
      <c r="V73" s="33">
        <v>23</v>
      </c>
      <c r="W73" s="33">
        <v>190</v>
      </c>
      <c r="X73" s="33">
        <v>1</v>
      </c>
      <c r="Y73" s="33">
        <v>50.5</v>
      </c>
      <c r="AA73" t="s">
        <v>804</v>
      </c>
      <c r="AB73" t="s">
        <v>1134</v>
      </c>
      <c r="AC73" t="s">
        <v>185</v>
      </c>
      <c r="AD73">
        <v>11</v>
      </c>
      <c r="AE73">
        <v>43</v>
      </c>
      <c r="AF73">
        <v>529</v>
      </c>
      <c r="AG73">
        <v>3</v>
      </c>
      <c r="AH73">
        <v>0</v>
      </c>
      <c r="AI73">
        <v>0</v>
      </c>
      <c r="AJ73">
        <v>0</v>
      </c>
      <c r="AK73">
        <v>70.900000000000006</v>
      </c>
      <c r="BU73">
        <v>71</v>
      </c>
      <c r="BV73" t="s">
        <v>0</v>
      </c>
      <c r="BW73" t="s">
        <v>977</v>
      </c>
      <c r="BX73" t="s">
        <v>109</v>
      </c>
      <c r="BY73">
        <v>11</v>
      </c>
    </row>
    <row r="74" spans="1:77" ht="12.75" customHeight="1">
      <c r="A74" s="33"/>
      <c r="B74" s="33"/>
      <c r="C74" s="33"/>
      <c r="D74" s="33"/>
      <c r="E74" s="33"/>
      <c r="F74" s="33"/>
      <c r="G74" s="33"/>
      <c r="H74" s="33"/>
      <c r="I74" s="33"/>
      <c r="J74" s="33"/>
      <c r="K74" s="33"/>
      <c r="L74" s="33"/>
      <c r="M74" s="33"/>
      <c r="N74" s="33"/>
      <c r="O74" s="33" t="s">
        <v>804</v>
      </c>
      <c r="P74" s="33" t="s">
        <v>1203</v>
      </c>
      <c r="Q74" s="33" t="s">
        <v>122</v>
      </c>
      <c r="R74" s="33">
        <v>7</v>
      </c>
      <c r="S74" s="33">
        <v>61</v>
      </c>
      <c r="T74" s="33">
        <v>257</v>
      </c>
      <c r="U74" s="33">
        <v>2</v>
      </c>
      <c r="V74" s="33">
        <v>15</v>
      </c>
      <c r="W74" s="33">
        <v>110</v>
      </c>
      <c r="X74" s="33">
        <v>0</v>
      </c>
      <c r="Y74" s="33">
        <v>48.7</v>
      </c>
      <c r="AA74" t="s">
        <v>804</v>
      </c>
      <c r="AB74" t="s">
        <v>1204</v>
      </c>
      <c r="AC74" t="s">
        <v>168</v>
      </c>
      <c r="AD74">
        <v>5</v>
      </c>
      <c r="AE74">
        <v>31</v>
      </c>
      <c r="AF74">
        <v>449</v>
      </c>
      <c r="AG74">
        <v>3</v>
      </c>
      <c r="AH74">
        <v>7</v>
      </c>
      <c r="AI74">
        <v>46</v>
      </c>
      <c r="AJ74">
        <v>0</v>
      </c>
      <c r="AK74">
        <v>67.5</v>
      </c>
      <c r="BU74">
        <v>72</v>
      </c>
      <c r="BV74" t="s">
        <v>2</v>
      </c>
      <c r="BW74" t="s">
        <v>1205</v>
      </c>
      <c r="BX74" t="s">
        <v>112</v>
      </c>
      <c r="BY74">
        <v>10</v>
      </c>
    </row>
    <row r="75" spans="1:77" ht="12.75" customHeight="1">
      <c r="A75" s="33"/>
      <c r="B75" s="33"/>
      <c r="C75" s="33"/>
      <c r="D75" s="33"/>
      <c r="E75" s="33"/>
      <c r="F75" s="33"/>
      <c r="G75" s="33"/>
      <c r="H75" s="33"/>
      <c r="I75" s="33"/>
      <c r="J75" s="33"/>
      <c r="K75" s="33"/>
      <c r="L75" s="33"/>
      <c r="M75" s="33"/>
      <c r="N75" s="33"/>
      <c r="O75" s="33" t="s">
        <v>804</v>
      </c>
      <c r="P75" s="33" t="s">
        <v>1206</v>
      </c>
      <c r="Q75" s="33" t="s">
        <v>178</v>
      </c>
      <c r="R75" s="33">
        <v>7</v>
      </c>
      <c r="S75" s="33">
        <v>76</v>
      </c>
      <c r="T75" s="33">
        <v>305</v>
      </c>
      <c r="U75" s="33">
        <v>2</v>
      </c>
      <c r="V75" s="33">
        <v>8</v>
      </c>
      <c r="W75" s="33">
        <v>52</v>
      </c>
      <c r="X75" s="33">
        <v>0</v>
      </c>
      <c r="Y75" s="33">
        <v>47.7</v>
      </c>
      <c r="AA75" t="s">
        <v>804</v>
      </c>
      <c r="AB75" t="s">
        <v>1058</v>
      </c>
      <c r="AC75" t="s">
        <v>146</v>
      </c>
      <c r="AD75">
        <v>7</v>
      </c>
      <c r="AE75">
        <v>44</v>
      </c>
      <c r="AF75">
        <v>554</v>
      </c>
      <c r="AG75">
        <v>2</v>
      </c>
      <c r="AH75">
        <v>0</v>
      </c>
      <c r="AI75">
        <v>0</v>
      </c>
      <c r="AJ75">
        <v>0</v>
      </c>
      <c r="AK75">
        <v>67.400000000000006</v>
      </c>
      <c r="BU75">
        <v>73</v>
      </c>
      <c r="BV75" t="s">
        <v>3</v>
      </c>
      <c r="BW75" t="s">
        <v>1015</v>
      </c>
      <c r="BX75" t="s">
        <v>99</v>
      </c>
      <c r="BY75">
        <v>10</v>
      </c>
    </row>
    <row r="76" spans="1:77" ht="12.75" customHeight="1">
      <c r="A76" s="33"/>
      <c r="B76" s="33"/>
      <c r="C76" s="33"/>
      <c r="D76" s="33"/>
      <c r="E76" s="33"/>
      <c r="F76" s="33"/>
      <c r="G76" s="33"/>
      <c r="H76" s="33"/>
      <c r="I76" s="33"/>
      <c r="J76" s="33"/>
      <c r="K76" s="33"/>
      <c r="L76" s="33"/>
      <c r="M76" s="33"/>
      <c r="N76" s="33"/>
      <c r="O76" s="33" t="s">
        <v>804</v>
      </c>
      <c r="P76" s="33" t="s">
        <v>1137</v>
      </c>
      <c r="Q76" s="33" t="s">
        <v>106</v>
      </c>
      <c r="R76" s="33">
        <v>6</v>
      </c>
      <c r="S76" s="33">
        <v>19</v>
      </c>
      <c r="T76" s="33">
        <v>84</v>
      </c>
      <c r="U76" s="33">
        <v>2</v>
      </c>
      <c r="V76" s="33">
        <v>28</v>
      </c>
      <c r="W76" s="33">
        <v>185</v>
      </c>
      <c r="X76" s="33">
        <v>1</v>
      </c>
      <c r="Y76" s="33">
        <v>44.9</v>
      </c>
      <c r="AA76" t="s">
        <v>804</v>
      </c>
      <c r="AB76" t="s">
        <v>985</v>
      </c>
      <c r="AC76" t="s">
        <v>82</v>
      </c>
      <c r="AD76">
        <v>10</v>
      </c>
      <c r="AE76">
        <v>34</v>
      </c>
      <c r="AF76">
        <v>456</v>
      </c>
      <c r="AG76">
        <v>3</v>
      </c>
      <c r="AH76">
        <v>3</v>
      </c>
      <c r="AI76">
        <v>13</v>
      </c>
      <c r="AJ76">
        <v>0</v>
      </c>
      <c r="AK76">
        <v>64.900000000000006</v>
      </c>
      <c r="BU76">
        <v>74</v>
      </c>
      <c r="BV76" t="s">
        <v>2</v>
      </c>
      <c r="BW76" t="s">
        <v>1207</v>
      </c>
      <c r="BX76" t="s">
        <v>122</v>
      </c>
      <c r="BY76">
        <v>10</v>
      </c>
    </row>
    <row r="77" spans="1:77" ht="12.75" customHeight="1">
      <c r="A77" s="33"/>
      <c r="B77" s="33"/>
      <c r="C77" s="33"/>
      <c r="D77" s="33"/>
      <c r="E77" s="33"/>
      <c r="F77" s="33"/>
      <c r="G77" s="33"/>
      <c r="H77" s="33"/>
      <c r="I77" s="33"/>
      <c r="J77" s="33"/>
      <c r="K77" s="33"/>
      <c r="L77" s="33"/>
      <c r="M77" s="33"/>
      <c r="N77" s="33"/>
      <c r="O77" s="33" t="s">
        <v>804</v>
      </c>
      <c r="P77" s="33" t="s">
        <v>1208</v>
      </c>
      <c r="Q77" s="33" t="s">
        <v>165</v>
      </c>
      <c r="R77" s="33">
        <v>9</v>
      </c>
      <c r="S77" s="33">
        <v>50</v>
      </c>
      <c r="T77" s="33">
        <v>245</v>
      </c>
      <c r="U77" s="33">
        <v>1</v>
      </c>
      <c r="V77" s="33">
        <v>16</v>
      </c>
      <c r="W77" s="33">
        <v>133</v>
      </c>
      <c r="X77" s="33">
        <v>0</v>
      </c>
      <c r="Y77" s="33">
        <v>43.8</v>
      </c>
      <c r="AA77" t="s">
        <v>804</v>
      </c>
      <c r="AB77" t="s">
        <v>1209</v>
      </c>
      <c r="AC77" t="s">
        <v>122</v>
      </c>
      <c r="AD77">
        <v>7</v>
      </c>
      <c r="AE77">
        <v>32</v>
      </c>
      <c r="AF77">
        <v>456</v>
      </c>
      <c r="AG77">
        <v>3</v>
      </c>
      <c r="AH77">
        <v>0</v>
      </c>
      <c r="AI77">
        <v>0</v>
      </c>
      <c r="AJ77">
        <v>0</v>
      </c>
      <c r="AK77">
        <v>63.6</v>
      </c>
      <c r="BU77">
        <v>75</v>
      </c>
      <c r="BV77" t="s">
        <v>3</v>
      </c>
      <c r="BW77" t="s">
        <v>1210</v>
      </c>
      <c r="BX77" t="s">
        <v>198</v>
      </c>
      <c r="BY77">
        <v>10</v>
      </c>
    </row>
    <row r="78" spans="1:77" ht="12.75" customHeight="1">
      <c r="A78" s="33"/>
      <c r="B78" s="33"/>
      <c r="C78" s="33"/>
      <c r="D78" s="33"/>
      <c r="E78" s="33"/>
      <c r="F78" s="33"/>
      <c r="G78" s="33"/>
      <c r="H78" s="33"/>
      <c r="I78" s="33"/>
      <c r="J78" s="33"/>
      <c r="K78" s="33"/>
      <c r="L78" s="33"/>
      <c r="M78" s="33"/>
      <c r="N78" s="33"/>
      <c r="O78" s="33" t="s">
        <v>804</v>
      </c>
      <c r="P78" s="33" t="s">
        <v>1211</v>
      </c>
      <c r="Q78" s="33" t="s">
        <v>82</v>
      </c>
      <c r="R78" s="33">
        <v>10</v>
      </c>
      <c r="S78" s="33">
        <v>47</v>
      </c>
      <c r="T78" s="33">
        <v>189</v>
      </c>
      <c r="U78" s="33">
        <v>0</v>
      </c>
      <c r="V78" s="33">
        <v>35</v>
      </c>
      <c r="W78" s="33">
        <v>245</v>
      </c>
      <c r="X78" s="33">
        <v>0</v>
      </c>
      <c r="Y78" s="33">
        <v>43.4</v>
      </c>
      <c r="AA78" t="s">
        <v>804</v>
      </c>
      <c r="AB78" t="s">
        <v>1131</v>
      </c>
      <c r="AC78" t="s">
        <v>190</v>
      </c>
      <c r="AD78">
        <v>9</v>
      </c>
      <c r="AE78">
        <v>34</v>
      </c>
      <c r="AF78">
        <v>446</v>
      </c>
      <c r="AG78">
        <v>3</v>
      </c>
      <c r="AH78">
        <v>0</v>
      </c>
      <c r="AI78">
        <v>0</v>
      </c>
      <c r="AJ78">
        <v>0</v>
      </c>
      <c r="AK78">
        <v>62.6</v>
      </c>
      <c r="BU78">
        <v>76</v>
      </c>
      <c r="BV78" t="s">
        <v>1189</v>
      </c>
      <c r="BW78" t="s">
        <v>1212</v>
      </c>
      <c r="BX78" t="s">
        <v>150</v>
      </c>
      <c r="BY78">
        <v>10</v>
      </c>
    </row>
    <row r="79" spans="1:77" ht="12.75" customHeight="1">
      <c r="A79" s="33"/>
      <c r="B79" s="33"/>
      <c r="C79" s="33"/>
      <c r="D79" s="33"/>
      <c r="E79" s="33"/>
      <c r="F79" s="33"/>
      <c r="G79" s="33"/>
      <c r="H79" s="33"/>
      <c r="I79" s="33"/>
      <c r="J79" s="33"/>
      <c r="K79" s="33"/>
      <c r="L79" s="33"/>
      <c r="M79" s="33"/>
      <c r="N79" s="33"/>
      <c r="O79" s="33" t="s">
        <v>804</v>
      </c>
      <c r="P79" s="33" t="s">
        <v>1213</v>
      </c>
      <c r="Q79" s="33" t="s">
        <v>172</v>
      </c>
      <c r="R79" s="33">
        <v>7</v>
      </c>
      <c r="S79" s="33">
        <v>54</v>
      </c>
      <c r="T79" s="33">
        <v>245</v>
      </c>
      <c r="U79" s="33">
        <v>2</v>
      </c>
      <c r="V79" s="33">
        <v>8</v>
      </c>
      <c r="W79" s="33">
        <v>64</v>
      </c>
      <c r="X79" s="33">
        <v>0</v>
      </c>
      <c r="Y79" s="33">
        <v>42.9</v>
      </c>
      <c r="AA79" t="s">
        <v>804</v>
      </c>
      <c r="AB79" t="s">
        <v>1214</v>
      </c>
      <c r="AC79" t="s">
        <v>102</v>
      </c>
      <c r="AD79">
        <v>8</v>
      </c>
      <c r="AE79">
        <v>32</v>
      </c>
      <c r="AF79">
        <v>425</v>
      </c>
      <c r="AG79">
        <v>3</v>
      </c>
      <c r="AH79">
        <v>0</v>
      </c>
      <c r="AI79">
        <v>0</v>
      </c>
      <c r="AJ79">
        <v>0</v>
      </c>
      <c r="AK79">
        <v>60.5</v>
      </c>
      <c r="BU79">
        <v>77</v>
      </c>
      <c r="BV79" t="s">
        <v>16</v>
      </c>
      <c r="BW79" t="s">
        <v>949</v>
      </c>
      <c r="BX79" t="s">
        <v>119</v>
      </c>
      <c r="BY79">
        <v>10</v>
      </c>
    </row>
    <row r="80" spans="1:77" ht="12.75" customHeight="1">
      <c r="A80" s="33"/>
      <c r="B80" s="33"/>
      <c r="C80" s="33"/>
      <c r="D80" s="33"/>
      <c r="E80" s="33"/>
      <c r="F80" s="33"/>
      <c r="G80" s="33"/>
      <c r="H80" s="33"/>
      <c r="I80" s="33"/>
      <c r="J80" s="33"/>
      <c r="K80" s="33"/>
      <c r="L80" s="33"/>
      <c r="M80" s="33"/>
      <c r="N80" s="33"/>
      <c r="O80" s="33" t="s">
        <v>804</v>
      </c>
      <c r="P80" s="33" t="s">
        <v>1215</v>
      </c>
      <c r="Q80" s="33" t="s">
        <v>182</v>
      </c>
      <c r="R80" s="33">
        <v>9</v>
      </c>
      <c r="S80" s="33">
        <v>39</v>
      </c>
      <c r="T80" s="33">
        <v>188</v>
      </c>
      <c r="U80" s="33">
        <v>4</v>
      </c>
      <c r="V80" s="33">
        <v>0</v>
      </c>
      <c r="W80" s="33">
        <v>0</v>
      </c>
      <c r="X80" s="33">
        <v>0</v>
      </c>
      <c r="Y80" s="33">
        <v>42.8</v>
      </c>
      <c r="AA80" t="s">
        <v>804</v>
      </c>
      <c r="AB80" t="s">
        <v>1216</v>
      </c>
      <c r="AC80" t="s">
        <v>194</v>
      </c>
      <c r="AD80">
        <v>5</v>
      </c>
      <c r="AE80">
        <v>35</v>
      </c>
      <c r="AF80">
        <v>465</v>
      </c>
      <c r="AG80">
        <v>2</v>
      </c>
      <c r="AH80">
        <v>0</v>
      </c>
      <c r="AI80">
        <v>0</v>
      </c>
      <c r="AJ80">
        <v>0</v>
      </c>
      <c r="AK80">
        <v>58.5</v>
      </c>
      <c r="BU80">
        <v>78</v>
      </c>
      <c r="BV80" t="s">
        <v>0</v>
      </c>
      <c r="BW80" t="s">
        <v>983</v>
      </c>
      <c r="BX80" t="s">
        <v>175</v>
      </c>
      <c r="BY80">
        <v>9</v>
      </c>
    </row>
    <row r="81" spans="1:77" ht="12.75" customHeight="1">
      <c r="A81" s="33"/>
      <c r="B81" s="33"/>
      <c r="C81" s="33"/>
      <c r="D81" s="33"/>
      <c r="E81" s="33"/>
      <c r="F81" s="33"/>
      <c r="G81" s="33"/>
      <c r="H81" s="33"/>
      <c r="I81" s="33"/>
      <c r="J81" s="33"/>
      <c r="K81" s="33"/>
      <c r="L81" s="33"/>
      <c r="M81" s="33"/>
      <c r="N81" s="33"/>
      <c r="O81" s="33" t="s">
        <v>804</v>
      </c>
      <c r="P81" s="33" t="s">
        <v>1217</v>
      </c>
      <c r="Q81" s="33" t="s">
        <v>135</v>
      </c>
      <c r="R81" s="33">
        <v>4</v>
      </c>
      <c r="S81" s="33">
        <v>67</v>
      </c>
      <c r="T81" s="33">
        <v>275</v>
      </c>
      <c r="U81" s="33">
        <v>2</v>
      </c>
      <c r="V81" s="33">
        <v>2</v>
      </c>
      <c r="W81" s="33">
        <v>14</v>
      </c>
      <c r="X81" s="33">
        <v>0</v>
      </c>
      <c r="Y81" s="33">
        <v>40.9</v>
      </c>
      <c r="AA81" t="s">
        <v>804</v>
      </c>
      <c r="AB81" t="s">
        <v>1218</v>
      </c>
      <c r="AC81" t="s">
        <v>142</v>
      </c>
      <c r="AD81">
        <v>7</v>
      </c>
      <c r="AE81">
        <v>29</v>
      </c>
      <c r="AF81">
        <v>389</v>
      </c>
      <c r="AG81">
        <v>3</v>
      </c>
      <c r="AH81">
        <v>1</v>
      </c>
      <c r="AI81">
        <v>7</v>
      </c>
      <c r="AJ81">
        <v>0</v>
      </c>
      <c r="AK81">
        <v>57.6</v>
      </c>
      <c r="BU81">
        <v>79</v>
      </c>
      <c r="BV81" t="s">
        <v>2</v>
      </c>
      <c r="BW81" t="s">
        <v>1115</v>
      </c>
      <c r="BX81" t="s">
        <v>106</v>
      </c>
      <c r="BY81">
        <v>9</v>
      </c>
    </row>
    <row r="82" spans="1:77" ht="12.75" customHeight="1">
      <c r="A82" s="33"/>
      <c r="B82" s="33"/>
      <c r="C82" s="33"/>
      <c r="D82" s="33"/>
      <c r="E82" s="33"/>
      <c r="F82" s="33"/>
      <c r="G82" s="33"/>
      <c r="H82" s="33"/>
      <c r="I82" s="33"/>
      <c r="J82" s="33"/>
      <c r="K82" s="33"/>
      <c r="L82" s="33"/>
      <c r="M82" s="33"/>
      <c r="N82" s="33"/>
      <c r="O82" s="33" t="s">
        <v>804</v>
      </c>
      <c r="P82" s="33" t="s">
        <v>1219</v>
      </c>
      <c r="Q82" s="33" t="s">
        <v>168</v>
      </c>
      <c r="R82" s="33">
        <v>5</v>
      </c>
      <c r="S82" s="33">
        <v>68</v>
      </c>
      <c r="T82" s="33">
        <v>277</v>
      </c>
      <c r="U82" s="33">
        <v>1</v>
      </c>
      <c r="V82" s="33">
        <v>5</v>
      </c>
      <c r="W82" s="33">
        <v>34</v>
      </c>
      <c r="X82" s="33">
        <v>0</v>
      </c>
      <c r="Y82" s="33">
        <v>37.1</v>
      </c>
      <c r="AA82" t="s">
        <v>804</v>
      </c>
      <c r="AB82" t="s">
        <v>1220</v>
      </c>
      <c r="AC82" t="s">
        <v>178</v>
      </c>
      <c r="AD82">
        <v>7</v>
      </c>
      <c r="AE82">
        <v>30</v>
      </c>
      <c r="AF82">
        <v>417</v>
      </c>
      <c r="AG82">
        <v>2</v>
      </c>
      <c r="AH82">
        <v>6</v>
      </c>
      <c r="AI82">
        <v>33</v>
      </c>
      <c r="AJ82">
        <v>0</v>
      </c>
      <c r="AK82">
        <v>57</v>
      </c>
      <c r="BU82">
        <v>80</v>
      </c>
      <c r="BV82" t="s">
        <v>1200</v>
      </c>
      <c r="BW82" t="s">
        <v>1221</v>
      </c>
      <c r="BX82" t="s">
        <v>115</v>
      </c>
      <c r="BY82">
        <v>9</v>
      </c>
    </row>
    <row r="83" spans="1:77" ht="12.75" customHeight="1">
      <c r="A83" s="33"/>
      <c r="B83" s="33"/>
      <c r="C83" s="33"/>
      <c r="D83" s="33"/>
      <c r="E83" s="33"/>
      <c r="F83" s="33"/>
      <c r="G83" s="33"/>
      <c r="H83" s="33"/>
      <c r="I83" s="33"/>
      <c r="J83" s="33"/>
      <c r="K83" s="33"/>
      <c r="L83" s="33"/>
      <c r="M83" s="33"/>
      <c r="N83" s="33"/>
      <c r="O83" s="33" t="s">
        <v>804</v>
      </c>
      <c r="P83" s="33" t="s">
        <v>1222</v>
      </c>
      <c r="Q83" s="33" t="s">
        <v>128</v>
      </c>
      <c r="R83" s="33">
        <v>10</v>
      </c>
      <c r="S83" s="33">
        <v>20</v>
      </c>
      <c r="T83" s="33">
        <v>86</v>
      </c>
      <c r="U83" s="33">
        <v>3</v>
      </c>
      <c r="V83" s="33">
        <v>12</v>
      </c>
      <c r="W83" s="33">
        <v>86</v>
      </c>
      <c r="X83" s="33">
        <v>0</v>
      </c>
      <c r="Y83" s="33">
        <v>35.200000000000003</v>
      </c>
      <c r="AA83" t="s">
        <v>804</v>
      </c>
      <c r="AB83" t="s">
        <v>1223</v>
      </c>
      <c r="AC83" t="s">
        <v>115</v>
      </c>
      <c r="AD83">
        <v>10</v>
      </c>
      <c r="AE83">
        <v>35</v>
      </c>
      <c r="AF83">
        <v>446</v>
      </c>
      <c r="AG83">
        <v>2</v>
      </c>
      <c r="AH83">
        <v>0</v>
      </c>
      <c r="AI83">
        <v>0</v>
      </c>
      <c r="AJ83">
        <v>0</v>
      </c>
      <c r="AK83">
        <v>56.6</v>
      </c>
      <c r="BU83">
        <v>81</v>
      </c>
      <c r="BV83" t="s">
        <v>3</v>
      </c>
      <c r="BW83" t="s">
        <v>1033</v>
      </c>
      <c r="BX83" t="s">
        <v>930</v>
      </c>
      <c r="BY83">
        <v>9</v>
      </c>
    </row>
    <row r="84" spans="1:77" ht="12.75" customHeight="1">
      <c r="A84" s="33"/>
      <c r="B84" s="33"/>
      <c r="C84" s="33"/>
      <c r="D84" s="33"/>
      <c r="E84" s="33"/>
      <c r="F84" s="33"/>
      <c r="G84" s="33"/>
      <c r="H84" s="33"/>
      <c r="I84" s="33"/>
      <c r="J84" s="33"/>
      <c r="K84" s="33"/>
      <c r="L84" s="33"/>
      <c r="M84" s="33"/>
      <c r="N84" s="33"/>
      <c r="O84" s="33" t="s">
        <v>804</v>
      </c>
      <c r="P84" s="33" t="s">
        <v>999</v>
      </c>
      <c r="Q84" s="33" t="s">
        <v>930</v>
      </c>
      <c r="R84" s="33">
        <v>10</v>
      </c>
      <c r="S84" s="33">
        <v>64</v>
      </c>
      <c r="T84" s="33">
        <v>256</v>
      </c>
      <c r="U84" s="33">
        <v>1</v>
      </c>
      <c r="V84" s="33">
        <v>4</v>
      </c>
      <c r="W84" s="33">
        <v>33</v>
      </c>
      <c r="X84" s="33">
        <v>0</v>
      </c>
      <c r="Y84" s="33">
        <v>34.9</v>
      </c>
      <c r="AA84" t="s">
        <v>804</v>
      </c>
      <c r="AB84" t="s">
        <v>1224</v>
      </c>
      <c r="AC84" t="s">
        <v>930</v>
      </c>
      <c r="AD84">
        <v>10</v>
      </c>
      <c r="AE84">
        <v>23</v>
      </c>
      <c r="AF84">
        <v>365</v>
      </c>
      <c r="AG84">
        <v>3</v>
      </c>
      <c r="AH84">
        <v>0</v>
      </c>
      <c r="AI84">
        <v>0</v>
      </c>
      <c r="AJ84">
        <v>0</v>
      </c>
      <c r="AK84">
        <v>54.5</v>
      </c>
      <c r="BU84">
        <v>82</v>
      </c>
      <c r="BV84" t="s">
        <v>2</v>
      </c>
      <c r="BW84" t="s">
        <v>1027</v>
      </c>
      <c r="BX84" t="s">
        <v>102</v>
      </c>
      <c r="BY84">
        <v>9</v>
      </c>
    </row>
    <row r="85" spans="1:77" ht="12.75" customHeight="1">
      <c r="A85" s="33"/>
      <c r="B85" s="33"/>
      <c r="C85" s="33"/>
      <c r="D85" s="33"/>
      <c r="E85" s="33"/>
      <c r="F85" s="33"/>
      <c r="G85" s="33"/>
      <c r="H85" s="33"/>
      <c r="I85" s="33"/>
      <c r="J85" s="33"/>
      <c r="K85" s="33"/>
      <c r="L85" s="33"/>
      <c r="M85" s="33"/>
      <c r="N85" s="33"/>
      <c r="O85" s="33" t="s">
        <v>804</v>
      </c>
      <c r="P85" s="33" t="s">
        <v>1225</v>
      </c>
      <c r="Q85" s="33" t="s">
        <v>185</v>
      </c>
      <c r="R85" s="33">
        <v>11</v>
      </c>
      <c r="S85" s="33">
        <v>37</v>
      </c>
      <c r="T85" s="33">
        <v>182</v>
      </c>
      <c r="U85" s="33">
        <v>0</v>
      </c>
      <c r="V85" s="33">
        <v>15</v>
      </c>
      <c r="W85" s="33">
        <v>105</v>
      </c>
      <c r="X85" s="33">
        <v>1</v>
      </c>
      <c r="Y85" s="33">
        <v>34.700000000000003</v>
      </c>
      <c r="AA85" t="s">
        <v>804</v>
      </c>
      <c r="AB85" t="s">
        <v>1226</v>
      </c>
      <c r="AC85" t="s">
        <v>172</v>
      </c>
      <c r="AD85">
        <v>7</v>
      </c>
      <c r="AE85">
        <v>26</v>
      </c>
      <c r="AF85">
        <v>413</v>
      </c>
      <c r="AG85">
        <v>2</v>
      </c>
      <c r="AH85">
        <v>0</v>
      </c>
      <c r="AI85">
        <v>0</v>
      </c>
      <c r="AJ85">
        <v>0</v>
      </c>
      <c r="AK85">
        <v>53.3</v>
      </c>
      <c r="BU85">
        <v>83</v>
      </c>
      <c r="BV85" t="s">
        <v>2</v>
      </c>
      <c r="BW85" t="s">
        <v>1227</v>
      </c>
      <c r="BX85" t="s">
        <v>175</v>
      </c>
      <c r="BY85">
        <v>9</v>
      </c>
    </row>
    <row r="86" spans="1:77" ht="12.75" customHeight="1">
      <c r="A86" s="33"/>
      <c r="B86" s="33"/>
      <c r="C86" s="33"/>
      <c r="D86" s="33"/>
      <c r="E86" s="33"/>
      <c r="F86" s="33"/>
      <c r="G86" s="33"/>
      <c r="H86" s="33"/>
      <c r="I86" s="33"/>
      <c r="J86" s="33"/>
      <c r="K86" s="33"/>
      <c r="L86" s="33"/>
      <c r="M86" s="33"/>
      <c r="N86" s="33"/>
      <c r="O86" s="33" t="s">
        <v>804</v>
      </c>
      <c r="P86" s="33" t="s">
        <v>1228</v>
      </c>
      <c r="Q86" s="33" t="s">
        <v>175</v>
      </c>
      <c r="R86" s="33">
        <v>4</v>
      </c>
      <c r="S86" s="33">
        <v>36</v>
      </c>
      <c r="T86" s="33">
        <v>155</v>
      </c>
      <c r="U86" s="33">
        <v>0</v>
      </c>
      <c r="V86" s="33">
        <v>26</v>
      </c>
      <c r="W86" s="33">
        <v>189</v>
      </c>
      <c r="X86" s="33">
        <v>0</v>
      </c>
      <c r="Y86" s="33">
        <v>34.4</v>
      </c>
      <c r="AA86" t="s">
        <v>804</v>
      </c>
      <c r="AB86" t="s">
        <v>942</v>
      </c>
      <c r="AC86" t="s">
        <v>109</v>
      </c>
      <c r="AD86">
        <v>6</v>
      </c>
      <c r="AE86">
        <v>26</v>
      </c>
      <c r="AF86">
        <v>412</v>
      </c>
      <c r="AG86">
        <v>2</v>
      </c>
      <c r="AH86">
        <v>0</v>
      </c>
      <c r="AI86">
        <v>0</v>
      </c>
      <c r="AJ86">
        <v>0</v>
      </c>
      <c r="AK86">
        <v>53.2</v>
      </c>
      <c r="BU86">
        <v>84</v>
      </c>
      <c r="BV86" t="s">
        <v>1200</v>
      </c>
      <c r="BW86" t="s">
        <v>1229</v>
      </c>
      <c r="BX86" t="s">
        <v>190</v>
      </c>
      <c r="BY86">
        <v>8</v>
      </c>
    </row>
    <row r="87" spans="1:77" ht="12.75" customHeight="1">
      <c r="A87" s="33"/>
      <c r="B87" s="33"/>
      <c r="C87" s="33"/>
      <c r="D87" s="33"/>
      <c r="E87" s="33"/>
      <c r="F87" s="33"/>
      <c r="G87" s="33"/>
      <c r="H87" s="33"/>
      <c r="I87" s="33"/>
      <c r="J87" s="33"/>
      <c r="K87" s="33"/>
      <c r="L87" s="33"/>
      <c r="M87" s="33"/>
      <c r="N87" s="33"/>
      <c r="O87" s="33" t="s">
        <v>804</v>
      </c>
      <c r="P87" s="33" t="s">
        <v>1230</v>
      </c>
      <c r="Q87" s="33" t="s">
        <v>125</v>
      </c>
      <c r="R87" s="33">
        <v>5</v>
      </c>
      <c r="S87" s="33">
        <v>51</v>
      </c>
      <c r="T87" s="33">
        <v>205</v>
      </c>
      <c r="U87" s="33">
        <v>1</v>
      </c>
      <c r="V87" s="33">
        <v>4</v>
      </c>
      <c r="W87" s="33">
        <v>30</v>
      </c>
      <c r="X87" s="33">
        <v>0</v>
      </c>
      <c r="Y87" s="33">
        <v>29.5</v>
      </c>
      <c r="AA87" t="s">
        <v>804</v>
      </c>
      <c r="AB87" t="s">
        <v>1231</v>
      </c>
      <c r="AC87" t="s">
        <v>115</v>
      </c>
      <c r="AD87">
        <v>10</v>
      </c>
      <c r="AE87">
        <v>25</v>
      </c>
      <c r="AF87">
        <v>376</v>
      </c>
      <c r="AG87">
        <v>2</v>
      </c>
      <c r="AH87">
        <v>0</v>
      </c>
      <c r="AI87">
        <v>0</v>
      </c>
      <c r="AJ87">
        <v>0</v>
      </c>
      <c r="AK87">
        <v>49.6</v>
      </c>
      <c r="BU87">
        <v>85</v>
      </c>
      <c r="BV87" t="s">
        <v>3</v>
      </c>
      <c r="BW87" t="s">
        <v>1096</v>
      </c>
      <c r="BX87" t="s">
        <v>135</v>
      </c>
      <c r="BY87">
        <v>8</v>
      </c>
    </row>
    <row r="88" spans="1:77" ht="12.75" customHeight="1">
      <c r="A88" s="33"/>
      <c r="B88" s="33"/>
      <c r="C88" s="33"/>
      <c r="D88" s="33"/>
      <c r="E88" s="33"/>
      <c r="F88" s="33"/>
      <c r="G88" s="33"/>
      <c r="H88" s="33"/>
      <c r="I88" s="33"/>
      <c r="J88" s="33"/>
      <c r="K88" s="33"/>
      <c r="L88" s="33"/>
      <c r="M88" s="33"/>
      <c r="N88" s="33"/>
      <c r="O88" s="33" t="s">
        <v>804</v>
      </c>
      <c r="P88" s="33" t="s">
        <v>1123</v>
      </c>
      <c r="Q88" s="33" t="s">
        <v>158</v>
      </c>
      <c r="R88" s="33">
        <v>6</v>
      </c>
      <c r="S88" s="33">
        <v>45</v>
      </c>
      <c r="T88" s="33">
        <v>179</v>
      </c>
      <c r="U88" s="33">
        <v>1</v>
      </c>
      <c r="V88" s="33">
        <v>3</v>
      </c>
      <c r="W88" s="33">
        <v>26</v>
      </c>
      <c r="X88" s="33">
        <v>0</v>
      </c>
      <c r="Y88" s="33">
        <v>26.5</v>
      </c>
      <c r="AA88" t="s">
        <v>804</v>
      </c>
      <c r="AB88" t="s">
        <v>1232</v>
      </c>
      <c r="AC88" t="s">
        <v>185</v>
      </c>
      <c r="AD88">
        <v>11</v>
      </c>
      <c r="AE88">
        <v>36</v>
      </c>
      <c r="AF88">
        <v>436</v>
      </c>
      <c r="AG88">
        <v>1</v>
      </c>
      <c r="AH88">
        <v>0</v>
      </c>
      <c r="AI88">
        <v>0</v>
      </c>
      <c r="AJ88">
        <v>0</v>
      </c>
      <c r="AK88">
        <v>49.6</v>
      </c>
      <c r="BU88">
        <v>86</v>
      </c>
      <c r="BV88" t="s">
        <v>2</v>
      </c>
      <c r="BW88" t="s">
        <v>1233</v>
      </c>
      <c r="BX88" t="s">
        <v>135</v>
      </c>
      <c r="BY88">
        <v>8</v>
      </c>
    </row>
    <row r="89" spans="1:77" ht="12.75" customHeight="1">
      <c r="A89" s="33"/>
      <c r="B89" s="33"/>
      <c r="C89" s="33"/>
      <c r="D89" s="33"/>
      <c r="E89" s="33"/>
      <c r="F89" s="33"/>
      <c r="G89" s="33"/>
      <c r="H89" s="33"/>
      <c r="I89" s="33"/>
      <c r="J89" s="33"/>
      <c r="K89" s="33"/>
      <c r="L89" s="33"/>
      <c r="M89" s="33"/>
      <c r="N89" s="33"/>
      <c r="O89" s="33" t="s">
        <v>804</v>
      </c>
      <c r="P89" s="33" t="s">
        <v>963</v>
      </c>
      <c r="Q89" s="33" t="s">
        <v>146</v>
      </c>
      <c r="R89" s="33">
        <v>7</v>
      </c>
      <c r="S89" s="33">
        <v>2</v>
      </c>
      <c r="T89" s="33">
        <v>7</v>
      </c>
      <c r="U89" s="33">
        <v>0</v>
      </c>
      <c r="V89" s="33">
        <v>24</v>
      </c>
      <c r="W89" s="33">
        <v>195</v>
      </c>
      <c r="X89" s="33">
        <v>1</v>
      </c>
      <c r="Y89" s="33">
        <v>26.2</v>
      </c>
      <c r="AA89" t="s">
        <v>804</v>
      </c>
      <c r="AB89" t="s">
        <v>1234</v>
      </c>
      <c r="AC89" t="s">
        <v>150</v>
      </c>
      <c r="AD89">
        <v>11</v>
      </c>
      <c r="AE89">
        <v>29</v>
      </c>
      <c r="AF89">
        <v>367</v>
      </c>
      <c r="AG89">
        <v>2</v>
      </c>
      <c r="AH89">
        <v>0</v>
      </c>
      <c r="AI89">
        <v>0</v>
      </c>
      <c r="AJ89">
        <v>0</v>
      </c>
      <c r="AK89">
        <v>48.7</v>
      </c>
      <c r="BU89">
        <v>87</v>
      </c>
      <c r="BV89" t="s">
        <v>0</v>
      </c>
      <c r="BW89" t="s">
        <v>1026</v>
      </c>
      <c r="BX89" t="s">
        <v>132</v>
      </c>
      <c r="BY89">
        <v>8</v>
      </c>
    </row>
    <row r="90" spans="1:77" ht="12.75" customHeight="1">
      <c r="A90" s="33"/>
      <c r="B90" s="33"/>
      <c r="C90" s="33"/>
      <c r="D90" s="33"/>
      <c r="E90" s="33"/>
      <c r="F90" s="33"/>
      <c r="G90" s="33"/>
      <c r="H90" s="33"/>
      <c r="I90" s="33"/>
      <c r="J90" s="33"/>
      <c r="K90" s="33"/>
      <c r="L90" s="33"/>
      <c r="M90" s="33"/>
      <c r="N90" s="33"/>
      <c r="O90" s="33" t="s">
        <v>804</v>
      </c>
      <c r="P90" s="33" t="s">
        <v>1235</v>
      </c>
      <c r="Q90" s="33" t="s">
        <v>112</v>
      </c>
      <c r="R90" s="33">
        <v>8</v>
      </c>
      <c r="S90" s="33">
        <v>35</v>
      </c>
      <c r="T90" s="33">
        <v>121</v>
      </c>
      <c r="U90" s="33">
        <v>0</v>
      </c>
      <c r="V90" s="33">
        <v>26</v>
      </c>
      <c r="W90" s="33">
        <v>135</v>
      </c>
      <c r="X90" s="33">
        <v>0</v>
      </c>
      <c r="Y90" s="33">
        <v>25.6</v>
      </c>
      <c r="AA90" t="s">
        <v>804</v>
      </c>
      <c r="AB90" t="s">
        <v>1236</v>
      </c>
      <c r="AC90" t="s">
        <v>109</v>
      </c>
      <c r="AD90">
        <v>6</v>
      </c>
      <c r="AE90">
        <v>24</v>
      </c>
      <c r="AF90">
        <v>356</v>
      </c>
      <c r="AG90">
        <v>2</v>
      </c>
      <c r="AH90">
        <v>0</v>
      </c>
      <c r="AI90">
        <v>0</v>
      </c>
      <c r="AJ90">
        <v>0</v>
      </c>
      <c r="AK90">
        <v>47.6</v>
      </c>
      <c r="BU90">
        <v>88</v>
      </c>
      <c r="BV90" t="s">
        <v>16</v>
      </c>
      <c r="BW90" t="s">
        <v>1059</v>
      </c>
      <c r="BX90" t="s">
        <v>125</v>
      </c>
      <c r="BY90">
        <v>8</v>
      </c>
    </row>
    <row r="91" spans="1:77" ht="12.75" customHeight="1">
      <c r="A91" s="33"/>
      <c r="B91" s="33"/>
      <c r="C91" s="33"/>
      <c r="D91" s="33"/>
      <c r="E91" s="33"/>
      <c r="F91" s="33"/>
      <c r="G91" s="33"/>
      <c r="H91" s="33"/>
      <c r="I91" s="33"/>
      <c r="J91" s="33"/>
      <c r="K91" s="33"/>
      <c r="L91" s="33"/>
      <c r="M91" s="33"/>
      <c r="N91" s="33"/>
      <c r="O91" s="33" t="s">
        <v>804</v>
      </c>
      <c r="P91" s="33" t="s">
        <v>1237</v>
      </c>
      <c r="Q91" s="33" t="s">
        <v>182</v>
      </c>
      <c r="R91" s="33">
        <v>9</v>
      </c>
      <c r="S91" s="33">
        <v>32</v>
      </c>
      <c r="T91" s="33">
        <v>135</v>
      </c>
      <c r="U91" s="33">
        <v>1</v>
      </c>
      <c r="V91" s="33">
        <v>5</v>
      </c>
      <c r="W91" s="33">
        <v>31</v>
      </c>
      <c r="X91" s="33">
        <v>0</v>
      </c>
      <c r="Y91" s="33">
        <v>22.6</v>
      </c>
      <c r="AA91" t="s">
        <v>804</v>
      </c>
      <c r="AB91" t="s">
        <v>1138</v>
      </c>
      <c r="AC91" t="s">
        <v>96</v>
      </c>
      <c r="AD91">
        <v>7</v>
      </c>
      <c r="AE91">
        <v>28</v>
      </c>
      <c r="AF91">
        <v>355</v>
      </c>
      <c r="AG91">
        <v>2</v>
      </c>
      <c r="AH91">
        <v>0</v>
      </c>
      <c r="AI91">
        <v>0</v>
      </c>
      <c r="AJ91">
        <v>0</v>
      </c>
      <c r="AK91">
        <v>47.5</v>
      </c>
      <c r="BU91">
        <v>89</v>
      </c>
      <c r="BV91" t="s">
        <v>2</v>
      </c>
      <c r="BW91" t="s">
        <v>1238</v>
      </c>
      <c r="BX91" t="s">
        <v>930</v>
      </c>
      <c r="BY91">
        <v>8</v>
      </c>
    </row>
    <row r="92" spans="1:77" ht="12.75" customHeight="1">
      <c r="A92" s="33"/>
      <c r="B92" s="33"/>
      <c r="C92" s="33"/>
      <c r="D92" s="33"/>
      <c r="E92" s="33"/>
      <c r="F92" s="33"/>
      <c r="G92" s="33"/>
      <c r="H92" s="33"/>
      <c r="I92" s="33"/>
      <c r="J92" s="33"/>
      <c r="K92" s="33"/>
      <c r="L92" s="33"/>
      <c r="M92" s="33"/>
      <c r="N92" s="33"/>
      <c r="O92" s="33" t="s">
        <v>804</v>
      </c>
      <c r="P92" s="33" t="s">
        <v>1239</v>
      </c>
      <c r="Q92" s="33" t="s">
        <v>1072</v>
      </c>
      <c r="R92" s="33" t="s">
        <v>1073</v>
      </c>
      <c r="S92" s="33">
        <v>24</v>
      </c>
      <c r="T92" s="33">
        <v>100</v>
      </c>
      <c r="U92" s="33">
        <v>0</v>
      </c>
      <c r="V92" s="33">
        <v>14</v>
      </c>
      <c r="W92" s="33">
        <v>100</v>
      </c>
      <c r="X92" s="33">
        <v>0</v>
      </c>
      <c r="Y92" s="33">
        <v>20</v>
      </c>
      <c r="AA92" t="s">
        <v>804</v>
      </c>
      <c r="AB92" t="s">
        <v>1240</v>
      </c>
      <c r="AC92" t="s">
        <v>135</v>
      </c>
      <c r="AD92">
        <v>4</v>
      </c>
      <c r="AE92">
        <v>29</v>
      </c>
      <c r="AF92">
        <v>350</v>
      </c>
      <c r="AG92">
        <v>2</v>
      </c>
      <c r="AH92">
        <v>0</v>
      </c>
      <c r="AI92">
        <v>0</v>
      </c>
      <c r="AJ92">
        <v>0</v>
      </c>
      <c r="AK92">
        <v>47</v>
      </c>
      <c r="BU92">
        <v>90</v>
      </c>
      <c r="BV92" t="s">
        <v>2</v>
      </c>
      <c r="BW92" t="s">
        <v>1241</v>
      </c>
      <c r="BX92" t="s">
        <v>939</v>
      </c>
      <c r="BY92">
        <v>8</v>
      </c>
    </row>
    <row r="93" spans="1:77" ht="12.75" customHeight="1">
      <c r="A93" s="33"/>
      <c r="B93" s="33"/>
      <c r="C93" s="33"/>
      <c r="D93" s="33"/>
      <c r="E93" s="33"/>
      <c r="F93" s="33"/>
      <c r="G93" s="33"/>
      <c r="H93" s="33"/>
      <c r="I93" s="33"/>
      <c r="J93" s="33"/>
      <c r="K93" s="33"/>
      <c r="L93" s="33"/>
      <c r="M93" s="33"/>
      <c r="N93" s="33"/>
      <c r="O93" s="33" t="s">
        <v>804</v>
      </c>
      <c r="P93" s="33" t="s">
        <v>1242</v>
      </c>
      <c r="Q93" s="33" t="s">
        <v>125</v>
      </c>
      <c r="R93" s="33">
        <v>5</v>
      </c>
      <c r="S93" s="33">
        <v>36</v>
      </c>
      <c r="T93" s="33">
        <v>151</v>
      </c>
      <c r="U93" s="33">
        <v>0</v>
      </c>
      <c r="V93" s="33">
        <v>5</v>
      </c>
      <c r="W93" s="33">
        <v>40</v>
      </c>
      <c r="X93" s="33">
        <v>0</v>
      </c>
      <c r="Y93" s="33">
        <v>19.100000000000001</v>
      </c>
      <c r="AA93" t="s">
        <v>804</v>
      </c>
      <c r="AB93" t="s">
        <v>1243</v>
      </c>
      <c r="AC93" t="s">
        <v>178</v>
      </c>
      <c r="AD93">
        <v>7</v>
      </c>
      <c r="AE93">
        <v>21</v>
      </c>
      <c r="AF93">
        <v>326</v>
      </c>
      <c r="AG93">
        <v>2</v>
      </c>
      <c r="AH93">
        <v>1</v>
      </c>
      <c r="AI93">
        <v>11</v>
      </c>
      <c r="AJ93">
        <v>0</v>
      </c>
      <c r="AK93">
        <v>45.7</v>
      </c>
      <c r="BU93">
        <v>91</v>
      </c>
      <c r="BV93" t="s">
        <v>2</v>
      </c>
      <c r="BW93" t="s">
        <v>1244</v>
      </c>
      <c r="BX93" t="s">
        <v>82</v>
      </c>
      <c r="BY93">
        <v>7</v>
      </c>
    </row>
    <row r="94" spans="1:77" ht="12.75" customHeight="1">
      <c r="A94" s="33"/>
      <c r="B94" s="33"/>
      <c r="C94" s="33"/>
      <c r="D94" s="33"/>
      <c r="E94" s="33"/>
      <c r="F94" s="33"/>
      <c r="G94" s="33"/>
      <c r="H94" s="33"/>
      <c r="I94" s="33"/>
      <c r="J94" s="33"/>
      <c r="K94" s="33"/>
      <c r="L94" s="33"/>
      <c r="M94" s="33"/>
      <c r="N94" s="33"/>
      <c r="O94" s="33" t="s">
        <v>804</v>
      </c>
      <c r="P94" s="33" t="s">
        <v>1245</v>
      </c>
      <c r="Q94" s="33" t="s">
        <v>165</v>
      </c>
      <c r="R94" s="33">
        <v>9</v>
      </c>
      <c r="S94" s="33">
        <v>29</v>
      </c>
      <c r="T94" s="33">
        <v>135</v>
      </c>
      <c r="U94" s="33">
        <v>0</v>
      </c>
      <c r="V94" s="33">
        <v>7</v>
      </c>
      <c r="W94" s="33">
        <v>56</v>
      </c>
      <c r="X94" s="33">
        <v>0</v>
      </c>
      <c r="Y94" s="33">
        <v>19.100000000000001</v>
      </c>
      <c r="AA94" t="s">
        <v>804</v>
      </c>
      <c r="AB94" t="s">
        <v>1246</v>
      </c>
      <c r="AC94" t="s">
        <v>135</v>
      </c>
      <c r="AD94">
        <v>4</v>
      </c>
      <c r="AE94">
        <v>25</v>
      </c>
      <c r="AF94">
        <v>335</v>
      </c>
      <c r="AG94">
        <v>2</v>
      </c>
      <c r="AH94">
        <v>0</v>
      </c>
      <c r="AI94">
        <v>0</v>
      </c>
      <c r="AJ94">
        <v>0</v>
      </c>
      <c r="AK94">
        <v>45.5</v>
      </c>
      <c r="BU94">
        <v>92</v>
      </c>
      <c r="BV94" t="s">
        <v>2</v>
      </c>
      <c r="BW94" t="s">
        <v>1247</v>
      </c>
      <c r="BX94" t="s">
        <v>1030</v>
      </c>
      <c r="BY94">
        <v>7</v>
      </c>
    </row>
    <row r="95" spans="1:77" ht="12.75" customHeight="1">
      <c r="A95" s="33"/>
      <c r="B95" s="33"/>
      <c r="C95" s="33"/>
      <c r="D95" s="33"/>
      <c r="E95" s="33"/>
      <c r="F95" s="33"/>
      <c r="G95" s="33"/>
      <c r="H95" s="33"/>
      <c r="I95" s="33"/>
      <c r="J95" s="33"/>
      <c r="K95" s="33"/>
      <c r="L95" s="33"/>
      <c r="M95" s="33"/>
      <c r="N95" s="33"/>
      <c r="O95" s="33" t="s">
        <v>804</v>
      </c>
      <c r="P95" s="33" t="s">
        <v>1248</v>
      </c>
      <c r="Q95" s="33" t="s">
        <v>172</v>
      </c>
      <c r="R95" s="33">
        <v>7</v>
      </c>
      <c r="S95" s="33">
        <v>36</v>
      </c>
      <c r="T95" s="33">
        <v>154</v>
      </c>
      <c r="U95" s="33">
        <v>0</v>
      </c>
      <c r="V95" s="33">
        <v>2</v>
      </c>
      <c r="W95" s="33">
        <v>15</v>
      </c>
      <c r="X95" s="33">
        <v>0</v>
      </c>
      <c r="Y95" s="33">
        <v>16.899999999999999</v>
      </c>
      <c r="AA95" t="s">
        <v>804</v>
      </c>
      <c r="AB95" t="s">
        <v>1249</v>
      </c>
      <c r="AC95" t="s">
        <v>168</v>
      </c>
      <c r="AD95">
        <v>5</v>
      </c>
      <c r="AE95">
        <v>22</v>
      </c>
      <c r="AF95">
        <v>333</v>
      </c>
      <c r="AG95">
        <v>2</v>
      </c>
      <c r="AH95">
        <v>0</v>
      </c>
      <c r="AI95">
        <v>0</v>
      </c>
      <c r="AJ95">
        <v>0</v>
      </c>
      <c r="AK95">
        <v>45.3</v>
      </c>
      <c r="BU95">
        <v>93</v>
      </c>
      <c r="BV95" t="s">
        <v>3</v>
      </c>
      <c r="BW95" t="s">
        <v>1250</v>
      </c>
      <c r="BX95" t="s">
        <v>139</v>
      </c>
      <c r="BY95">
        <v>7</v>
      </c>
    </row>
    <row r="96" spans="1:77" ht="12.75" customHeight="1">
      <c r="A96" s="33"/>
      <c r="B96" s="33"/>
      <c r="C96" s="33"/>
      <c r="D96" s="33"/>
      <c r="E96" s="33"/>
      <c r="F96" s="33"/>
      <c r="G96" s="33"/>
      <c r="H96" s="33"/>
      <c r="I96" s="33"/>
      <c r="J96" s="33"/>
      <c r="K96" s="33"/>
      <c r="L96" s="33"/>
      <c r="M96" s="33"/>
      <c r="N96" s="33"/>
      <c r="O96" s="33" t="s">
        <v>804</v>
      </c>
      <c r="P96" s="33" t="s">
        <v>1075</v>
      </c>
      <c r="Q96" s="33" t="s">
        <v>146</v>
      </c>
      <c r="R96" s="33">
        <v>7</v>
      </c>
      <c r="S96" s="33">
        <v>33</v>
      </c>
      <c r="T96" s="33">
        <v>146</v>
      </c>
      <c r="U96" s="33">
        <v>0</v>
      </c>
      <c r="V96" s="33">
        <v>3</v>
      </c>
      <c r="W96" s="33">
        <v>22</v>
      </c>
      <c r="X96" s="33">
        <v>0</v>
      </c>
      <c r="Y96" s="33">
        <v>16.8</v>
      </c>
      <c r="AA96" t="s">
        <v>804</v>
      </c>
      <c r="AB96" t="s">
        <v>1251</v>
      </c>
      <c r="AC96" t="s">
        <v>182</v>
      </c>
      <c r="AD96">
        <v>9</v>
      </c>
      <c r="AE96">
        <v>21</v>
      </c>
      <c r="AF96">
        <v>324</v>
      </c>
      <c r="AG96">
        <v>2</v>
      </c>
      <c r="AH96">
        <v>0</v>
      </c>
      <c r="AI96">
        <v>0</v>
      </c>
      <c r="AJ96">
        <v>0</v>
      </c>
      <c r="AK96">
        <v>44.4</v>
      </c>
      <c r="BU96">
        <v>94</v>
      </c>
      <c r="BV96" t="s">
        <v>1189</v>
      </c>
      <c r="BW96" t="s">
        <v>1252</v>
      </c>
      <c r="BX96" t="s">
        <v>102</v>
      </c>
      <c r="BY96">
        <v>7</v>
      </c>
    </row>
    <row r="97" spans="1:77" ht="12.75" customHeight="1">
      <c r="A97" s="33"/>
      <c r="B97" s="33"/>
      <c r="C97" s="33"/>
      <c r="D97" s="33"/>
      <c r="E97" s="33"/>
      <c r="F97" s="33"/>
      <c r="G97" s="33"/>
      <c r="H97" s="33"/>
      <c r="I97" s="33"/>
      <c r="J97" s="33"/>
      <c r="K97" s="33"/>
      <c r="L97" s="33"/>
      <c r="M97" s="33"/>
      <c r="N97" s="33"/>
      <c r="O97" s="33" t="s">
        <v>804</v>
      </c>
      <c r="P97" s="33" t="s">
        <v>1253</v>
      </c>
      <c r="Q97" s="33" t="s">
        <v>132</v>
      </c>
      <c r="R97" s="33">
        <v>8</v>
      </c>
      <c r="S97" s="33">
        <v>13</v>
      </c>
      <c r="T97" s="33">
        <v>65</v>
      </c>
      <c r="U97" s="33">
        <v>0</v>
      </c>
      <c r="V97" s="33">
        <v>11</v>
      </c>
      <c r="W97" s="33">
        <v>84</v>
      </c>
      <c r="X97" s="33">
        <v>0</v>
      </c>
      <c r="Y97" s="33">
        <v>14.9</v>
      </c>
      <c r="AA97" t="s">
        <v>804</v>
      </c>
      <c r="AB97" t="s">
        <v>1254</v>
      </c>
      <c r="AC97" t="s">
        <v>146</v>
      </c>
      <c r="AD97">
        <v>7</v>
      </c>
      <c r="AE97">
        <v>27</v>
      </c>
      <c r="AF97">
        <v>382</v>
      </c>
      <c r="AG97">
        <v>1</v>
      </c>
      <c r="AH97">
        <v>0</v>
      </c>
      <c r="AI97">
        <v>0</v>
      </c>
      <c r="AJ97">
        <v>0</v>
      </c>
      <c r="AK97">
        <v>44.2</v>
      </c>
      <c r="BU97">
        <v>95</v>
      </c>
      <c r="BV97" t="s">
        <v>16</v>
      </c>
      <c r="BW97" t="s">
        <v>1255</v>
      </c>
      <c r="BX97" t="s">
        <v>930</v>
      </c>
      <c r="BY97">
        <v>7</v>
      </c>
    </row>
    <row r="98" spans="1:77" ht="12.75" customHeight="1">
      <c r="A98" s="33"/>
      <c r="B98" s="33"/>
      <c r="C98" s="33"/>
      <c r="D98" s="33"/>
      <c r="E98" s="33"/>
      <c r="F98" s="33"/>
      <c r="G98" s="33"/>
      <c r="H98" s="33"/>
      <c r="I98" s="33"/>
      <c r="J98" s="33"/>
      <c r="K98" s="33"/>
      <c r="L98" s="33"/>
      <c r="M98" s="33"/>
      <c r="N98" s="33"/>
      <c r="O98" s="33" t="s">
        <v>804</v>
      </c>
      <c r="P98" s="33" t="s">
        <v>1084</v>
      </c>
      <c r="Q98" s="33" t="s">
        <v>122</v>
      </c>
      <c r="R98" s="33">
        <v>7</v>
      </c>
      <c r="S98" s="33">
        <v>17</v>
      </c>
      <c r="T98" s="33">
        <v>77</v>
      </c>
      <c r="U98" s="33">
        <v>0</v>
      </c>
      <c r="V98" s="33">
        <v>1</v>
      </c>
      <c r="W98" s="33">
        <v>11</v>
      </c>
      <c r="X98" s="33">
        <v>1</v>
      </c>
      <c r="Y98" s="33">
        <v>14.8</v>
      </c>
      <c r="AA98" t="s">
        <v>804</v>
      </c>
      <c r="AB98" t="s">
        <v>1256</v>
      </c>
      <c r="AC98" t="s">
        <v>165</v>
      </c>
      <c r="AD98">
        <v>9</v>
      </c>
      <c r="AE98">
        <v>24</v>
      </c>
      <c r="AF98">
        <v>319</v>
      </c>
      <c r="AG98">
        <v>2</v>
      </c>
      <c r="AH98">
        <v>0</v>
      </c>
      <c r="AI98">
        <v>0</v>
      </c>
      <c r="AJ98">
        <v>0</v>
      </c>
      <c r="AK98">
        <v>43.9</v>
      </c>
      <c r="BU98">
        <v>96</v>
      </c>
      <c r="BV98" t="s">
        <v>1200</v>
      </c>
      <c r="BW98" t="s">
        <v>1257</v>
      </c>
      <c r="BX98" t="s">
        <v>1144</v>
      </c>
      <c r="BY98">
        <v>7</v>
      </c>
    </row>
    <row r="99" spans="1:77" ht="12.75" customHeight="1">
      <c r="A99" s="33"/>
      <c r="B99" s="33"/>
      <c r="C99" s="33"/>
      <c r="D99" s="33"/>
      <c r="E99" s="33"/>
      <c r="F99" s="33"/>
      <c r="G99" s="33"/>
      <c r="H99" s="33"/>
      <c r="I99" s="33"/>
      <c r="J99" s="33"/>
      <c r="K99" s="33"/>
      <c r="L99" s="33"/>
      <c r="M99" s="33"/>
      <c r="N99" s="33"/>
      <c r="O99" s="33" t="s">
        <v>804</v>
      </c>
      <c r="P99" s="33" t="s">
        <v>1258</v>
      </c>
      <c r="Q99" s="33" t="s">
        <v>102</v>
      </c>
      <c r="R99" s="33">
        <v>8</v>
      </c>
      <c r="S99" s="33">
        <v>26</v>
      </c>
      <c r="T99" s="33">
        <v>110</v>
      </c>
      <c r="U99" s="33">
        <v>0</v>
      </c>
      <c r="V99" s="33">
        <v>3</v>
      </c>
      <c r="W99" s="33">
        <v>22</v>
      </c>
      <c r="X99" s="33">
        <v>0</v>
      </c>
      <c r="Y99" s="33">
        <v>13.2</v>
      </c>
      <c r="AA99" t="s">
        <v>804</v>
      </c>
      <c r="AB99" t="s">
        <v>1259</v>
      </c>
      <c r="AC99" t="s">
        <v>82</v>
      </c>
      <c r="AD99">
        <v>10</v>
      </c>
      <c r="AE99">
        <v>23</v>
      </c>
      <c r="AF99">
        <v>299</v>
      </c>
      <c r="AG99">
        <v>2</v>
      </c>
      <c r="AH99">
        <v>1</v>
      </c>
      <c r="AI99">
        <v>4</v>
      </c>
      <c r="AJ99">
        <v>0</v>
      </c>
      <c r="AK99">
        <v>42.3</v>
      </c>
      <c r="BU99">
        <v>97</v>
      </c>
      <c r="BV99" t="s">
        <v>2</v>
      </c>
      <c r="BW99" t="s">
        <v>1260</v>
      </c>
      <c r="BX99" t="s">
        <v>161</v>
      </c>
      <c r="BY99">
        <v>7</v>
      </c>
    </row>
    <row r="100" spans="1:77" ht="12.75" customHeight="1">
      <c r="A100" s="33"/>
      <c r="B100" s="33"/>
      <c r="C100" s="33"/>
      <c r="D100" s="33"/>
      <c r="E100" s="33"/>
      <c r="F100" s="33"/>
      <c r="G100" s="33"/>
      <c r="H100" s="33"/>
      <c r="I100" s="33"/>
      <c r="J100" s="33"/>
      <c r="K100" s="33"/>
      <c r="L100" s="33"/>
      <c r="M100" s="33"/>
      <c r="N100" s="33"/>
      <c r="O100" s="33" t="s">
        <v>804</v>
      </c>
      <c r="P100" s="33" t="s">
        <v>1261</v>
      </c>
      <c r="Q100" s="33" t="s">
        <v>128</v>
      </c>
      <c r="R100" s="33">
        <v>10</v>
      </c>
      <c r="S100" s="33">
        <v>28</v>
      </c>
      <c r="T100" s="33">
        <v>116</v>
      </c>
      <c r="U100" s="33">
        <v>0</v>
      </c>
      <c r="V100" s="33">
        <v>2</v>
      </c>
      <c r="W100" s="33">
        <v>14</v>
      </c>
      <c r="X100" s="33">
        <v>0</v>
      </c>
      <c r="Y100" s="33">
        <v>13</v>
      </c>
      <c r="AA100" t="s">
        <v>804</v>
      </c>
      <c r="AB100" t="s">
        <v>1048</v>
      </c>
      <c r="AC100" t="s">
        <v>154</v>
      </c>
      <c r="AD100">
        <v>9</v>
      </c>
      <c r="AE100">
        <v>27</v>
      </c>
      <c r="AF100">
        <v>362</v>
      </c>
      <c r="AG100">
        <v>1</v>
      </c>
      <c r="AH100">
        <v>0</v>
      </c>
      <c r="AI100">
        <v>0</v>
      </c>
      <c r="AJ100">
        <v>0</v>
      </c>
      <c r="AK100">
        <v>42.2</v>
      </c>
      <c r="BU100">
        <v>98</v>
      </c>
      <c r="BV100" t="s">
        <v>2</v>
      </c>
      <c r="BW100" t="s">
        <v>1043</v>
      </c>
      <c r="BX100" t="s">
        <v>933</v>
      </c>
      <c r="BY100">
        <v>7</v>
      </c>
    </row>
    <row r="101" spans="1:77" ht="12.75" customHeight="1">
      <c r="A101" s="33"/>
      <c r="B101" s="33"/>
      <c r="C101" s="33"/>
      <c r="D101" s="33"/>
      <c r="E101" s="33"/>
      <c r="F101" s="33"/>
      <c r="G101" s="33"/>
      <c r="H101" s="33"/>
      <c r="I101" s="33"/>
      <c r="J101" s="33"/>
      <c r="K101" s="33"/>
      <c r="L101" s="33"/>
      <c r="M101" s="33"/>
      <c r="N101" s="33"/>
      <c r="O101" s="33" t="s">
        <v>804</v>
      </c>
      <c r="P101" s="33" t="s">
        <v>1262</v>
      </c>
      <c r="Q101" s="33" t="s">
        <v>99</v>
      </c>
      <c r="R101" s="33">
        <v>8</v>
      </c>
      <c r="S101" s="33">
        <v>11</v>
      </c>
      <c r="T101" s="33">
        <v>52</v>
      </c>
      <c r="U101" s="33">
        <v>0</v>
      </c>
      <c r="V101" s="33">
        <v>10</v>
      </c>
      <c r="W101" s="33">
        <v>77</v>
      </c>
      <c r="X101" s="33">
        <v>0</v>
      </c>
      <c r="Y101" s="33">
        <v>12.9</v>
      </c>
      <c r="AA101" t="s">
        <v>804</v>
      </c>
      <c r="AB101" t="s">
        <v>1263</v>
      </c>
      <c r="AC101" t="s">
        <v>102</v>
      </c>
      <c r="AD101">
        <v>8</v>
      </c>
      <c r="AE101">
        <v>20</v>
      </c>
      <c r="AF101">
        <v>235</v>
      </c>
      <c r="AG101">
        <v>1</v>
      </c>
      <c r="AH101">
        <v>13</v>
      </c>
      <c r="AI101">
        <v>65</v>
      </c>
      <c r="AJ101">
        <v>1</v>
      </c>
      <c r="AK101">
        <v>42</v>
      </c>
      <c r="BU101">
        <v>99</v>
      </c>
      <c r="BV101" t="s">
        <v>1189</v>
      </c>
      <c r="BW101" t="s">
        <v>1264</v>
      </c>
      <c r="BX101" t="s">
        <v>125</v>
      </c>
      <c r="BY101">
        <v>7</v>
      </c>
    </row>
    <row r="102" spans="1:77" ht="12.75" customHeight="1">
      <c r="A102" s="33"/>
      <c r="B102" s="33"/>
      <c r="C102" s="33"/>
      <c r="D102" s="33"/>
      <c r="E102" s="33"/>
      <c r="F102" s="33"/>
      <c r="G102" s="33"/>
      <c r="H102" s="33"/>
      <c r="I102" s="33"/>
      <c r="J102" s="33"/>
      <c r="K102" s="33"/>
      <c r="L102" s="33"/>
      <c r="M102" s="33"/>
      <c r="N102" s="33"/>
      <c r="O102" s="33" t="s">
        <v>804</v>
      </c>
      <c r="P102" s="33" t="s">
        <v>1265</v>
      </c>
      <c r="Q102" s="33" t="s">
        <v>119</v>
      </c>
      <c r="R102" s="33">
        <v>5</v>
      </c>
      <c r="S102" s="33">
        <v>25</v>
      </c>
      <c r="T102" s="33">
        <v>100</v>
      </c>
      <c r="U102" s="33">
        <v>0</v>
      </c>
      <c r="V102" s="33">
        <v>3</v>
      </c>
      <c r="W102" s="33">
        <v>22</v>
      </c>
      <c r="X102" s="33">
        <v>0</v>
      </c>
      <c r="Y102" s="33">
        <v>12.2</v>
      </c>
      <c r="AA102" t="s">
        <v>804</v>
      </c>
      <c r="AB102" t="s">
        <v>1266</v>
      </c>
      <c r="AC102" t="s">
        <v>102</v>
      </c>
      <c r="AD102">
        <v>8</v>
      </c>
      <c r="AE102">
        <v>26</v>
      </c>
      <c r="AF102">
        <v>346</v>
      </c>
      <c r="AG102">
        <v>1</v>
      </c>
      <c r="AH102">
        <v>0</v>
      </c>
      <c r="AI102">
        <v>0</v>
      </c>
      <c r="AJ102">
        <v>0</v>
      </c>
      <c r="AK102">
        <v>40.6</v>
      </c>
      <c r="BU102">
        <v>100</v>
      </c>
      <c r="BV102" t="s">
        <v>1267</v>
      </c>
      <c r="BW102" t="s">
        <v>181</v>
      </c>
      <c r="BX102" t="s">
        <v>1144</v>
      </c>
      <c r="BY102">
        <v>6</v>
      </c>
    </row>
    <row r="103" spans="1:77" ht="12.75" customHeight="1">
      <c r="A103" s="33"/>
      <c r="B103" s="33"/>
      <c r="C103" s="33"/>
      <c r="D103" s="33"/>
      <c r="E103" s="33"/>
      <c r="F103" s="33"/>
      <c r="G103" s="33"/>
      <c r="H103" s="33"/>
      <c r="I103" s="33"/>
      <c r="J103" s="33"/>
      <c r="K103" s="33"/>
      <c r="L103" s="33"/>
      <c r="M103" s="33"/>
      <c r="N103" s="33"/>
      <c r="O103" s="33" t="s">
        <v>804</v>
      </c>
      <c r="P103" s="33" t="s">
        <v>1268</v>
      </c>
      <c r="Q103" s="33" t="s">
        <v>178</v>
      </c>
      <c r="R103" s="33">
        <v>7</v>
      </c>
      <c r="S103" s="33">
        <v>23</v>
      </c>
      <c r="T103" s="33">
        <v>104</v>
      </c>
      <c r="U103" s="33">
        <v>0</v>
      </c>
      <c r="V103" s="33">
        <v>2</v>
      </c>
      <c r="W103" s="33">
        <v>11</v>
      </c>
      <c r="X103" s="33">
        <v>0</v>
      </c>
      <c r="Y103" s="33">
        <v>11.5</v>
      </c>
      <c r="AA103" t="s">
        <v>804</v>
      </c>
      <c r="AB103" t="s">
        <v>1269</v>
      </c>
      <c r="AC103" t="s">
        <v>185</v>
      </c>
      <c r="AD103">
        <v>11</v>
      </c>
      <c r="AE103">
        <v>28</v>
      </c>
      <c r="AF103">
        <v>346</v>
      </c>
      <c r="AG103">
        <v>1</v>
      </c>
      <c r="AH103">
        <v>0</v>
      </c>
      <c r="AI103">
        <v>0</v>
      </c>
      <c r="AJ103">
        <v>0</v>
      </c>
      <c r="AK103">
        <v>40.6</v>
      </c>
      <c r="BU103">
        <v>101</v>
      </c>
      <c r="BV103" t="s">
        <v>1200</v>
      </c>
      <c r="BW103" t="s">
        <v>1270</v>
      </c>
      <c r="BX103" t="s">
        <v>1030</v>
      </c>
      <c r="BY103">
        <v>6</v>
      </c>
    </row>
    <row r="104" spans="1:77" ht="12.75" customHeight="1">
      <c r="A104" s="33"/>
      <c r="B104" s="33"/>
      <c r="C104" s="33"/>
      <c r="D104" s="33"/>
      <c r="E104" s="33"/>
      <c r="F104" s="33"/>
      <c r="G104" s="33"/>
      <c r="H104" s="33"/>
      <c r="I104" s="33"/>
      <c r="J104" s="33"/>
      <c r="K104" s="33"/>
      <c r="L104" s="33"/>
      <c r="M104" s="33"/>
      <c r="N104" s="33"/>
      <c r="O104" s="33" t="s">
        <v>804</v>
      </c>
      <c r="P104" s="33" t="s">
        <v>1271</v>
      </c>
      <c r="Q104" s="33" t="s">
        <v>190</v>
      </c>
      <c r="R104" s="33">
        <v>9</v>
      </c>
      <c r="S104" s="33">
        <v>22</v>
      </c>
      <c r="T104" s="33">
        <v>92</v>
      </c>
      <c r="U104" s="33">
        <v>0</v>
      </c>
      <c r="V104" s="33">
        <v>2</v>
      </c>
      <c r="W104" s="33">
        <v>14</v>
      </c>
      <c r="X104" s="33">
        <v>0</v>
      </c>
      <c r="Y104" s="33">
        <v>10.6</v>
      </c>
      <c r="AA104" t="s">
        <v>804</v>
      </c>
      <c r="AB104" t="s">
        <v>1272</v>
      </c>
      <c r="AC104" t="s">
        <v>161</v>
      </c>
      <c r="AD104">
        <v>11</v>
      </c>
      <c r="AE104">
        <v>28</v>
      </c>
      <c r="AF104">
        <v>341</v>
      </c>
      <c r="AG104">
        <v>1</v>
      </c>
      <c r="AH104">
        <v>0</v>
      </c>
      <c r="AI104">
        <v>0</v>
      </c>
      <c r="AJ104">
        <v>0</v>
      </c>
      <c r="AK104">
        <v>40.1</v>
      </c>
      <c r="BU104">
        <v>102</v>
      </c>
      <c r="BV104" t="s">
        <v>3</v>
      </c>
      <c r="BW104" t="s">
        <v>1273</v>
      </c>
      <c r="BX104" t="s">
        <v>168</v>
      </c>
      <c r="BY104">
        <v>6</v>
      </c>
    </row>
    <row r="105" spans="1:77" ht="12.75" customHeight="1">
      <c r="A105" s="33"/>
      <c r="B105" s="33"/>
      <c r="C105" s="33"/>
      <c r="D105" s="33"/>
      <c r="E105" s="33"/>
      <c r="F105" s="33"/>
      <c r="G105" s="33"/>
      <c r="H105" s="33"/>
      <c r="I105" s="33"/>
      <c r="J105" s="33"/>
      <c r="K105" s="33"/>
      <c r="L105" s="33"/>
      <c r="M105" s="33"/>
      <c r="N105" s="33"/>
      <c r="O105" s="33" t="s">
        <v>804</v>
      </c>
      <c r="P105" s="33" t="s">
        <v>103</v>
      </c>
      <c r="Q105" s="33" t="s">
        <v>116</v>
      </c>
      <c r="R105" s="33" t="s">
        <v>870</v>
      </c>
      <c r="S105" s="33" t="s">
        <v>804</v>
      </c>
      <c r="T105" s="33" t="s">
        <v>804</v>
      </c>
      <c r="U105" s="33" t="s">
        <v>804</v>
      </c>
      <c r="V105" s="33" t="s">
        <v>804</v>
      </c>
      <c r="W105" s="33" t="s">
        <v>804</v>
      </c>
      <c r="X105" s="33" t="s">
        <v>804</v>
      </c>
      <c r="Y105" s="33" t="s">
        <v>804</v>
      </c>
      <c r="AA105" t="s">
        <v>804</v>
      </c>
      <c r="AB105" t="s">
        <v>116</v>
      </c>
      <c r="AC105" t="s">
        <v>103</v>
      </c>
      <c r="AD105" t="s">
        <v>870</v>
      </c>
      <c r="AE105" t="s">
        <v>804</v>
      </c>
      <c r="AF105" t="s">
        <v>804</v>
      </c>
      <c r="AG105" t="s">
        <v>804</v>
      </c>
      <c r="AH105" t="s">
        <v>804</v>
      </c>
      <c r="AI105" t="s">
        <v>804</v>
      </c>
      <c r="AJ105" t="s">
        <v>804</v>
      </c>
      <c r="AK105" t="s">
        <v>804</v>
      </c>
      <c r="BU105">
        <v>103</v>
      </c>
      <c r="BV105" t="s">
        <v>1274</v>
      </c>
      <c r="BW105" t="s">
        <v>1275</v>
      </c>
      <c r="BX105" t="s">
        <v>82</v>
      </c>
      <c r="BY105">
        <v>6</v>
      </c>
    </row>
    <row r="106" spans="1:77" ht="12.75" customHeight="1">
      <c r="A106" s="33"/>
      <c r="B106" s="33"/>
      <c r="C106" s="33"/>
      <c r="D106" s="33"/>
      <c r="E106" s="33"/>
      <c r="F106" s="33"/>
      <c r="G106" s="33"/>
      <c r="H106" s="33"/>
      <c r="I106" s="33"/>
      <c r="J106" s="33"/>
      <c r="K106" s="33"/>
      <c r="L106" s="33"/>
      <c r="M106" s="33"/>
      <c r="N106" s="33"/>
      <c r="O106" s="33" t="s">
        <v>872</v>
      </c>
      <c r="P106" s="33" t="s">
        <v>873</v>
      </c>
      <c r="Q106" s="33" t="s">
        <v>874</v>
      </c>
      <c r="R106" s="33" t="s">
        <v>875</v>
      </c>
      <c r="S106" s="33" t="s">
        <v>877</v>
      </c>
      <c r="T106" s="33" t="s">
        <v>878</v>
      </c>
      <c r="U106" s="33" t="s">
        <v>879</v>
      </c>
      <c r="V106" s="33" t="s">
        <v>882</v>
      </c>
      <c r="W106" s="33" t="s">
        <v>878</v>
      </c>
      <c r="X106" s="33" t="s">
        <v>879</v>
      </c>
      <c r="Y106" s="33" t="s">
        <v>881</v>
      </c>
      <c r="AA106" t="s">
        <v>872</v>
      </c>
      <c r="AB106" t="s">
        <v>873</v>
      </c>
      <c r="AC106" t="s">
        <v>874</v>
      </c>
      <c r="AD106" t="s">
        <v>875</v>
      </c>
      <c r="AE106" t="s">
        <v>882</v>
      </c>
      <c r="AF106" t="s">
        <v>878</v>
      </c>
      <c r="AG106" t="s">
        <v>879</v>
      </c>
      <c r="AH106" t="s">
        <v>877</v>
      </c>
      <c r="AI106" t="s">
        <v>878</v>
      </c>
      <c r="AJ106" t="s">
        <v>879</v>
      </c>
      <c r="AK106" t="s">
        <v>881</v>
      </c>
      <c r="BU106">
        <v>104</v>
      </c>
      <c r="BV106" t="s">
        <v>2</v>
      </c>
      <c r="BW106" t="s">
        <v>1242</v>
      </c>
      <c r="BX106" t="s">
        <v>125</v>
      </c>
      <c r="BY106">
        <v>6</v>
      </c>
    </row>
    <row r="107" spans="1:77" ht="12.75" customHeight="1">
      <c r="A107" s="33"/>
      <c r="B107" s="33"/>
      <c r="C107" s="33"/>
      <c r="D107" s="33"/>
      <c r="E107" s="33"/>
      <c r="F107" s="33"/>
      <c r="G107" s="33"/>
      <c r="H107" s="33"/>
      <c r="I107" s="33"/>
      <c r="J107" s="33"/>
      <c r="K107" s="33"/>
      <c r="L107" s="33"/>
      <c r="M107" s="33"/>
      <c r="N107" s="33"/>
      <c r="O107" s="33" t="s">
        <v>804</v>
      </c>
      <c r="P107" s="33" t="s">
        <v>1276</v>
      </c>
      <c r="Q107" s="33" t="s">
        <v>194</v>
      </c>
      <c r="R107" s="33">
        <v>5</v>
      </c>
      <c r="S107" s="33">
        <v>18</v>
      </c>
      <c r="T107" s="33">
        <v>77</v>
      </c>
      <c r="U107" s="33">
        <v>0</v>
      </c>
      <c r="V107" s="33">
        <v>4</v>
      </c>
      <c r="W107" s="33">
        <v>22</v>
      </c>
      <c r="X107" s="33">
        <v>0</v>
      </c>
      <c r="Y107" s="33">
        <v>9.9</v>
      </c>
      <c r="AA107" t="s">
        <v>804</v>
      </c>
      <c r="AB107" t="s">
        <v>1277</v>
      </c>
      <c r="AC107" t="s">
        <v>106</v>
      </c>
      <c r="AD107">
        <v>6</v>
      </c>
      <c r="AE107">
        <v>23</v>
      </c>
      <c r="AF107">
        <v>305</v>
      </c>
      <c r="AG107">
        <v>1</v>
      </c>
      <c r="AH107">
        <v>4</v>
      </c>
      <c r="AI107">
        <v>33</v>
      </c>
      <c r="AJ107">
        <v>0</v>
      </c>
      <c r="AK107">
        <v>39.799999999999997</v>
      </c>
      <c r="BU107">
        <v>105</v>
      </c>
      <c r="BV107" t="s">
        <v>3</v>
      </c>
      <c r="BW107" t="s">
        <v>1278</v>
      </c>
      <c r="BX107" t="s">
        <v>125</v>
      </c>
      <c r="BY107">
        <v>6</v>
      </c>
    </row>
    <row r="108" spans="1:77" ht="12.75" customHeight="1">
      <c r="A108" s="33"/>
      <c r="B108" s="33"/>
      <c r="C108" s="33"/>
      <c r="D108" s="33"/>
      <c r="E108" s="33"/>
      <c r="F108" s="33"/>
      <c r="G108" s="33"/>
      <c r="H108" s="33"/>
      <c r="I108" s="33"/>
      <c r="J108" s="33"/>
      <c r="K108" s="33"/>
      <c r="L108" s="33"/>
      <c r="M108" s="33"/>
      <c r="N108" s="33"/>
      <c r="O108" s="33" t="s">
        <v>804</v>
      </c>
      <c r="P108" s="33" t="s">
        <v>1279</v>
      </c>
      <c r="Q108" s="33" t="s">
        <v>96</v>
      </c>
      <c r="R108" s="33">
        <v>7</v>
      </c>
      <c r="S108" s="33">
        <v>8</v>
      </c>
      <c r="T108" s="33">
        <v>27</v>
      </c>
      <c r="U108" s="33">
        <v>0</v>
      </c>
      <c r="V108" s="33">
        <v>10</v>
      </c>
      <c r="W108" s="33">
        <v>66</v>
      </c>
      <c r="X108" s="33">
        <v>0</v>
      </c>
      <c r="Y108" s="33">
        <v>9.3000000000000007</v>
      </c>
      <c r="AA108" t="s">
        <v>804</v>
      </c>
      <c r="AB108" t="s">
        <v>1280</v>
      </c>
      <c r="AC108" t="s">
        <v>194</v>
      </c>
      <c r="AD108">
        <v>5</v>
      </c>
      <c r="AE108">
        <v>24</v>
      </c>
      <c r="AF108">
        <v>323</v>
      </c>
      <c r="AG108">
        <v>1</v>
      </c>
      <c r="AH108">
        <v>0</v>
      </c>
      <c r="AI108">
        <v>0</v>
      </c>
      <c r="AJ108">
        <v>0</v>
      </c>
      <c r="AK108">
        <v>38.299999999999997</v>
      </c>
      <c r="BU108">
        <v>106</v>
      </c>
      <c r="BV108" t="s">
        <v>3</v>
      </c>
      <c r="BW108" t="s">
        <v>1281</v>
      </c>
      <c r="BX108" t="s">
        <v>971</v>
      </c>
      <c r="BY108">
        <v>6</v>
      </c>
    </row>
    <row r="109" spans="1:77" ht="12.75" customHeight="1">
      <c r="A109" s="33"/>
      <c r="B109" s="33"/>
      <c r="C109" s="33"/>
      <c r="D109" s="33"/>
      <c r="E109" s="33"/>
      <c r="F109" s="33"/>
      <c r="G109" s="33"/>
      <c r="H109" s="33"/>
      <c r="I109" s="33"/>
      <c r="J109" s="33"/>
      <c r="K109" s="33"/>
      <c r="L109" s="33"/>
      <c r="M109" s="33"/>
      <c r="N109" s="33"/>
      <c r="O109" s="33" t="s">
        <v>804</v>
      </c>
      <c r="P109" s="33" t="s">
        <v>1282</v>
      </c>
      <c r="Q109" s="33" t="s">
        <v>198</v>
      </c>
      <c r="R109" s="33">
        <v>11</v>
      </c>
      <c r="S109" s="33">
        <v>17</v>
      </c>
      <c r="T109" s="33">
        <v>82</v>
      </c>
      <c r="U109" s="33">
        <v>0</v>
      </c>
      <c r="V109" s="33">
        <v>1</v>
      </c>
      <c r="W109" s="33">
        <v>7</v>
      </c>
      <c r="X109" s="33">
        <v>0</v>
      </c>
      <c r="Y109" s="33">
        <v>8.9</v>
      </c>
      <c r="AA109" t="s">
        <v>804</v>
      </c>
      <c r="AB109" t="s">
        <v>1283</v>
      </c>
      <c r="AC109" t="s">
        <v>132</v>
      </c>
      <c r="AD109">
        <v>8</v>
      </c>
      <c r="AE109">
        <v>20</v>
      </c>
      <c r="AF109">
        <v>256</v>
      </c>
      <c r="AG109">
        <v>2</v>
      </c>
      <c r="AH109">
        <v>0</v>
      </c>
      <c r="AI109">
        <v>0</v>
      </c>
      <c r="AJ109">
        <v>0</v>
      </c>
      <c r="AK109">
        <v>37.6</v>
      </c>
      <c r="BU109">
        <v>107</v>
      </c>
      <c r="BV109" t="s">
        <v>16</v>
      </c>
      <c r="BW109" t="s">
        <v>1284</v>
      </c>
      <c r="BX109" t="s">
        <v>96</v>
      </c>
      <c r="BY109">
        <v>6</v>
      </c>
    </row>
    <row r="110" spans="1:77" ht="12.75" customHeight="1">
      <c r="A110" s="33"/>
      <c r="B110" s="33"/>
      <c r="C110" s="33"/>
      <c r="D110" s="33"/>
      <c r="E110" s="33"/>
      <c r="F110" s="33"/>
      <c r="G110" s="33"/>
      <c r="H110" s="33"/>
      <c r="I110" s="33"/>
      <c r="J110" s="33"/>
      <c r="K110" s="33"/>
      <c r="L110" s="33"/>
      <c r="M110" s="33"/>
      <c r="N110" s="33"/>
      <c r="O110" s="33" t="s">
        <v>804</v>
      </c>
      <c r="P110" s="33" t="s">
        <v>1285</v>
      </c>
      <c r="Q110" s="33" t="s">
        <v>178</v>
      </c>
      <c r="R110" s="33">
        <v>7</v>
      </c>
      <c r="S110" s="33">
        <v>10</v>
      </c>
      <c r="T110" s="33">
        <v>45</v>
      </c>
      <c r="U110" s="33">
        <v>0</v>
      </c>
      <c r="V110" s="33">
        <v>2</v>
      </c>
      <c r="W110" s="33">
        <v>11</v>
      </c>
      <c r="X110" s="33">
        <v>0</v>
      </c>
      <c r="Y110" s="33">
        <v>5.6</v>
      </c>
      <c r="AA110" t="s">
        <v>804</v>
      </c>
      <c r="AB110" t="s">
        <v>1286</v>
      </c>
      <c r="AC110" t="s">
        <v>132</v>
      </c>
      <c r="AD110">
        <v>8</v>
      </c>
      <c r="AE110">
        <v>25</v>
      </c>
      <c r="AF110">
        <v>314</v>
      </c>
      <c r="AG110">
        <v>1</v>
      </c>
      <c r="AH110">
        <v>0</v>
      </c>
      <c r="AI110">
        <v>0</v>
      </c>
      <c r="AJ110">
        <v>0</v>
      </c>
      <c r="AK110">
        <v>37.4</v>
      </c>
      <c r="BU110">
        <v>108</v>
      </c>
      <c r="BV110" t="s">
        <v>2</v>
      </c>
      <c r="BW110" t="s">
        <v>1038</v>
      </c>
      <c r="BX110" t="s">
        <v>132</v>
      </c>
      <c r="BY110">
        <v>6</v>
      </c>
    </row>
    <row r="111" spans="1:77" ht="12.75" customHeight="1">
      <c r="A111" s="33"/>
      <c r="B111" s="33"/>
      <c r="C111" s="33"/>
      <c r="D111" s="33"/>
      <c r="E111" s="33"/>
      <c r="F111" s="33"/>
      <c r="G111" s="33"/>
      <c r="H111" s="33"/>
      <c r="I111" s="33"/>
      <c r="J111" s="33"/>
      <c r="K111" s="33"/>
      <c r="L111" s="33"/>
      <c r="M111" s="33"/>
      <c r="N111" s="33"/>
      <c r="O111" s="33" t="s">
        <v>804</v>
      </c>
      <c r="P111" s="33" t="s">
        <v>1287</v>
      </c>
      <c r="Q111" s="33" t="s">
        <v>139</v>
      </c>
      <c r="R111" s="33">
        <v>6</v>
      </c>
      <c r="S111" s="33">
        <v>9</v>
      </c>
      <c r="T111" s="33">
        <v>35</v>
      </c>
      <c r="U111" s="33">
        <v>0</v>
      </c>
      <c r="V111" s="33">
        <v>4</v>
      </c>
      <c r="W111" s="33">
        <v>21</v>
      </c>
      <c r="X111" s="33">
        <v>0</v>
      </c>
      <c r="Y111" s="33">
        <v>5.6</v>
      </c>
      <c r="AA111" t="s">
        <v>804</v>
      </c>
      <c r="AB111" t="s">
        <v>1288</v>
      </c>
      <c r="AC111" t="s">
        <v>115</v>
      </c>
      <c r="AD111">
        <v>10</v>
      </c>
      <c r="AE111">
        <v>26</v>
      </c>
      <c r="AF111">
        <v>302</v>
      </c>
      <c r="AG111">
        <v>1</v>
      </c>
      <c r="AH111">
        <v>0</v>
      </c>
      <c r="AI111">
        <v>0</v>
      </c>
      <c r="AJ111">
        <v>0</v>
      </c>
      <c r="AK111">
        <v>36.200000000000003</v>
      </c>
      <c r="BU111">
        <v>109</v>
      </c>
      <c r="BV111" t="s">
        <v>1200</v>
      </c>
      <c r="BW111" t="s">
        <v>1289</v>
      </c>
      <c r="BX111" t="s">
        <v>198</v>
      </c>
      <c r="BY111">
        <v>6</v>
      </c>
    </row>
    <row r="112" spans="1:77" ht="12.75" customHeight="1">
      <c r="A112" s="33"/>
      <c r="B112" s="33"/>
      <c r="C112" s="33"/>
      <c r="D112" s="33"/>
      <c r="E112" s="33"/>
      <c r="F112" s="33"/>
      <c r="G112" s="33"/>
      <c r="H112" s="33"/>
      <c r="I112" s="33"/>
      <c r="J112" s="33"/>
      <c r="K112" s="33"/>
      <c r="L112" s="33"/>
      <c r="M112" s="33"/>
      <c r="N112" s="33"/>
      <c r="O112" s="33" t="s">
        <v>804</v>
      </c>
      <c r="P112" s="33" t="s">
        <v>1290</v>
      </c>
      <c r="Q112" s="33" t="s">
        <v>115</v>
      </c>
      <c r="R112" s="33">
        <v>10</v>
      </c>
      <c r="S112" s="33">
        <v>7</v>
      </c>
      <c r="T112" s="33">
        <v>27</v>
      </c>
      <c r="U112" s="33">
        <v>0</v>
      </c>
      <c r="V112" s="33">
        <v>3</v>
      </c>
      <c r="W112" s="33">
        <v>23</v>
      </c>
      <c r="X112" s="33">
        <v>0</v>
      </c>
      <c r="Y112" s="33">
        <v>5</v>
      </c>
      <c r="AA112" t="s">
        <v>804</v>
      </c>
      <c r="AB112" t="s">
        <v>1085</v>
      </c>
      <c r="AC112" t="s">
        <v>139</v>
      </c>
      <c r="AD112">
        <v>6</v>
      </c>
      <c r="AE112">
        <v>21</v>
      </c>
      <c r="AF112">
        <v>282</v>
      </c>
      <c r="AG112">
        <v>1</v>
      </c>
      <c r="AH112">
        <v>3</v>
      </c>
      <c r="AI112">
        <v>13</v>
      </c>
      <c r="AJ112">
        <v>0</v>
      </c>
      <c r="AK112">
        <v>35.5</v>
      </c>
      <c r="BU112">
        <v>110</v>
      </c>
      <c r="BV112" t="s">
        <v>794</v>
      </c>
      <c r="BW112" t="s">
        <v>1291</v>
      </c>
      <c r="BX112" t="s">
        <v>1030</v>
      </c>
      <c r="BY112">
        <v>6</v>
      </c>
    </row>
    <row r="113" spans="1:77" ht="12.75" customHeight="1">
      <c r="A113" s="33"/>
      <c r="B113" s="33"/>
      <c r="C113" s="33"/>
      <c r="D113" s="33"/>
      <c r="E113" s="33"/>
      <c r="F113" s="33"/>
      <c r="G113" s="33"/>
      <c r="H113" s="33"/>
      <c r="I113" s="33"/>
      <c r="J113" s="33"/>
      <c r="K113" s="33"/>
      <c r="L113" s="33"/>
      <c r="M113" s="33"/>
      <c r="N113" s="33"/>
      <c r="O113" s="33" t="s">
        <v>804</v>
      </c>
      <c r="P113" s="33" t="s">
        <v>1292</v>
      </c>
      <c r="Q113" s="33" t="s">
        <v>185</v>
      </c>
      <c r="R113" s="33">
        <v>11</v>
      </c>
      <c r="S113" s="33">
        <v>8</v>
      </c>
      <c r="T113" s="33">
        <v>40</v>
      </c>
      <c r="U113" s="33">
        <v>0</v>
      </c>
      <c r="V113" s="33">
        <v>1</v>
      </c>
      <c r="W113" s="33">
        <v>9</v>
      </c>
      <c r="X113" s="33">
        <v>0</v>
      </c>
      <c r="Y113" s="33">
        <v>4.9000000000000004</v>
      </c>
      <c r="AA113" t="s">
        <v>804</v>
      </c>
      <c r="AB113" t="s">
        <v>1293</v>
      </c>
      <c r="AC113" t="s">
        <v>165</v>
      </c>
      <c r="AD113">
        <v>9</v>
      </c>
      <c r="AE113">
        <v>19</v>
      </c>
      <c r="AF113">
        <v>289</v>
      </c>
      <c r="AG113">
        <v>1</v>
      </c>
      <c r="AH113">
        <v>0</v>
      </c>
      <c r="AI113">
        <v>0</v>
      </c>
      <c r="AJ113">
        <v>0</v>
      </c>
      <c r="AK113">
        <v>34.9</v>
      </c>
      <c r="BU113">
        <v>111</v>
      </c>
      <c r="BV113" t="s">
        <v>0</v>
      </c>
      <c r="BW113" t="s">
        <v>994</v>
      </c>
      <c r="BX113" t="s">
        <v>112</v>
      </c>
      <c r="BY113">
        <v>6</v>
      </c>
    </row>
    <row r="114" spans="1:77" ht="12.75" customHeight="1">
      <c r="A114" s="33"/>
      <c r="B114" s="33"/>
      <c r="C114" s="33"/>
      <c r="D114" s="33"/>
      <c r="E114" s="33"/>
      <c r="F114" s="33"/>
      <c r="G114" s="33"/>
      <c r="H114" s="33"/>
      <c r="I114" s="33"/>
      <c r="J114" s="33"/>
      <c r="K114" s="33"/>
      <c r="L114" s="33"/>
      <c r="M114" s="33"/>
      <c r="N114" s="33"/>
      <c r="O114" s="33" t="s">
        <v>804</v>
      </c>
      <c r="P114" s="33" t="s">
        <v>1294</v>
      </c>
      <c r="Q114" s="33" t="s">
        <v>102</v>
      </c>
      <c r="R114" s="33">
        <v>8</v>
      </c>
      <c r="S114" s="33">
        <v>11</v>
      </c>
      <c r="T114" s="33">
        <v>45</v>
      </c>
      <c r="U114" s="33">
        <v>0</v>
      </c>
      <c r="V114" s="33">
        <v>0</v>
      </c>
      <c r="W114" s="33">
        <v>3</v>
      </c>
      <c r="X114" s="33">
        <v>0</v>
      </c>
      <c r="Y114" s="33">
        <v>4.8</v>
      </c>
      <c r="AA114" t="s">
        <v>804</v>
      </c>
      <c r="AB114" t="s">
        <v>1104</v>
      </c>
      <c r="AC114" t="s">
        <v>161</v>
      </c>
      <c r="AD114">
        <v>11</v>
      </c>
      <c r="AE114">
        <v>19</v>
      </c>
      <c r="AF114">
        <v>226</v>
      </c>
      <c r="AG114">
        <v>2</v>
      </c>
      <c r="AH114">
        <v>0</v>
      </c>
      <c r="AI114">
        <v>0</v>
      </c>
      <c r="AJ114">
        <v>0</v>
      </c>
      <c r="AK114">
        <v>34.6</v>
      </c>
      <c r="BU114">
        <v>112</v>
      </c>
      <c r="BV114" t="s">
        <v>0</v>
      </c>
      <c r="BW114" t="s">
        <v>1295</v>
      </c>
      <c r="BX114" t="s">
        <v>1087</v>
      </c>
      <c r="BY114">
        <v>5</v>
      </c>
    </row>
    <row r="115" spans="1:77" ht="12.75" customHeight="1">
      <c r="A115" s="33"/>
      <c r="B115" s="33"/>
      <c r="C115" s="33"/>
      <c r="D115" s="33"/>
      <c r="E115" s="33"/>
      <c r="F115" s="33"/>
      <c r="G115" s="33"/>
      <c r="H115" s="33"/>
      <c r="I115" s="33"/>
      <c r="J115" s="33"/>
      <c r="K115" s="33"/>
      <c r="L115" s="33"/>
      <c r="M115" s="33"/>
      <c r="N115" s="33"/>
      <c r="O115" s="33" t="s">
        <v>804</v>
      </c>
      <c r="P115" s="33" t="s">
        <v>1296</v>
      </c>
      <c r="Q115" s="33" t="s">
        <v>182</v>
      </c>
      <c r="R115" s="33">
        <v>9</v>
      </c>
      <c r="S115" s="33">
        <v>2</v>
      </c>
      <c r="T115" s="33">
        <v>10</v>
      </c>
      <c r="U115" s="33">
        <v>0</v>
      </c>
      <c r="V115" s="33">
        <v>5</v>
      </c>
      <c r="W115" s="33">
        <v>29</v>
      </c>
      <c r="X115" s="33">
        <v>0</v>
      </c>
      <c r="Y115" s="33">
        <v>3.9</v>
      </c>
      <c r="AA115" t="s">
        <v>804</v>
      </c>
      <c r="AB115" t="s">
        <v>1297</v>
      </c>
      <c r="AC115" t="s">
        <v>128</v>
      </c>
      <c r="AD115">
        <v>10</v>
      </c>
      <c r="AE115">
        <v>18</v>
      </c>
      <c r="AF115">
        <v>225</v>
      </c>
      <c r="AG115">
        <v>2</v>
      </c>
      <c r="AH115">
        <v>0</v>
      </c>
      <c r="AI115">
        <v>0</v>
      </c>
      <c r="AJ115">
        <v>0</v>
      </c>
      <c r="AK115">
        <v>34.5</v>
      </c>
      <c r="BU115">
        <v>113</v>
      </c>
      <c r="BV115" t="s">
        <v>0</v>
      </c>
      <c r="BW115" t="s">
        <v>1008</v>
      </c>
      <c r="BX115" t="s">
        <v>99</v>
      </c>
      <c r="BY115">
        <v>5</v>
      </c>
    </row>
    <row r="116" spans="1:77" ht="12.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AA116" t="s">
        <v>804</v>
      </c>
      <c r="AB116" t="s">
        <v>1298</v>
      </c>
      <c r="AC116" t="s">
        <v>99</v>
      </c>
      <c r="AD116">
        <v>8</v>
      </c>
      <c r="AE116">
        <v>19</v>
      </c>
      <c r="AF116">
        <v>264</v>
      </c>
      <c r="AG116">
        <v>1</v>
      </c>
      <c r="AH116">
        <v>2</v>
      </c>
      <c r="AI116">
        <v>13</v>
      </c>
      <c r="AJ116">
        <v>0</v>
      </c>
      <c r="AK116">
        <v>33.700000000000003</v>
      </c>
      <c r="BU116">
        <v>114</v>
      </c>
      <c r="BV116" t="s">
        <v>1200</v>
      </c>
      <c r="BW116" t="s">
        <v>1299</v>
      </c>
      <c r="BX116" t="s">
        <v>139</v>
      </c>
      <c r="BY116">
        <v>5</v>
      </c>
    </row>
    <row r="117" spans="1:77" ht="12.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AA117" t="s">
        <v>804</v>
      </c>
      <c r="AB117" t="s">
        <v>1300</v>
      </c>
      <c r="AC117" t="s">
        <v>150</v>
      </c>
      <c r="AD117">
        <v>11</v>
      </c>
      <c r="AE117">
        <v>16</v>
      </c>
      <c r="AF117">
        <v>256</v>
      </c>
      <c r="AG117">
        <v>1</v>
      </c>
      <c r="AH117">
        <v>0</v>
      </c>
      <c r="AI117">
        <v>0</v>
      </c>
      <c r="AJ117">
        <v>0</v>
      </c>
      <c r="AK117">
        <v>31.6</v>
      </c>
      <c r="BU117">
        <v>115</v>
      </c>
      <c r="BV117" t="s">
        <v>1200</v>
      </c>
      <c r="BW117" t="s">
        <v>1301</v>
      </c>
      <c r="BX117" t="s">
        <v>915</v>
      </c>
      <c r="BY117">
        <v>5</v>
      </c>
    </row>
    <row r="118" spans="1:77" ht="12.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AA118" t="s">
        <v>804</v>
      </c>
      <c r="AB118" t="s">
        <v>1302</v>
      </c>
      <c r="AC118" t="s">
        <v>185</v>
      </c>
      <c r="AD118">
        <v>11</v>
      </c>
      <c r="AE118">
        <v>18</v>
      </c>
      <c r="AF118">
        <v>255</v>
      </c>
      <c r="AG118">
        <v>1</v>
      </c>
      <c r="AH118">
        <v>0</v>
      </c>
      <c r="AI118">
        <v>0</v>
      </c>
      <c r="AJ118">
        <v>0</v>
      </c>
      <c r="AK118">
        <v>31.5</v>
      </c>
      <c r="BU118">
        <v>116</v>
      </c>
      <c r="BV118" t="s">
        <v>16</v>
      </c>
      <c r="BW118" t="s">
        <v>1303</v>
      </c>
      <c r="BX118" t="s">
        <v>122</v>
      </c>
      <c r="BY118">
        <v>5</v>
      </c>
    </row>
    <row r="119" spans="1:77" ht="12.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AA119" t="s">
        <v>804</v>
      </c>
      <c r="AB119" t="s">
        <v>1304</v>
      </c>
      <c r="AC119" t="s">
        <v>115</v>
      </c>
      <c r="AD119">
        <v>10</v>
      </c>
      <c r="AE119">
        <v>19</v>
      </c>
      <c r="AF119">
        <v>220</v>
      </c>
      <c r="AG119">
        <v>1</v>
      </c>
      <c r="AH119">
        <v>5</v>
      </c>
      <c r="AI119">
        <v>31</v>
      </c>
      <c r="AJ119">
        <v>0</v>
      </c>
      <c r="AK119">
        <v>31.1</v>
      </c>
      <c r="BU119">
        <v>117</v>
      </c>
      <c r="BV119" t="s">
        <v>2</v>
      </c>
      <c r="BW119" t="s">
        <v>1305</v>
      </c>
      <c r="BX119" t="s">
        <v>82</v>
      </c>
      <c r="BY119">
        <v>5</v>
      </c>
    </row>
    <row r="120" spans="1:77" ht="12.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AA120" t="s">
        <v>804</v>
      </c>
      <c r="AB120" t="s">
        <v>1306</v>
      </c>
      <c r="AC120" t="s">
        <v>125</v>
      </c>
      <c r="AD120">
        <v>5</v>
      </c>
      <c r="AE120">
        <v>15</v>
      </c>
      <c r="AF120">
        <v>226</v>
      </c>
      <c r="AG120">
        <v>1</v>
      </c>
      <c r="AH120">
        <v>0</v>
      </c>
      <c r="AI120">
        <v>0</v>
      </c>
      <c r="AJ120">
        <v>0</v>
      </c>
      <c r="AK120">
        <v>28.6</v>
      </c>
      <c r="BU120">
        <v>118</v>
      </c>
      <c r="BV120" t="s">
        <v>3</v>
      </c>
      <c r="BW120" t="s">
        <v>1307</v>
      </c>
      <c r="BX120" t="s">
        <v>115</v>
      </c>
      <c r="BY120">
        <v>5</v>
      </c>
    </row>
    <row r="121" spans="1:77" ht="12.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AA121" t="s">
        <v>804</v>
      </c>
      <c r="AB121" t="s">
        <v>1308</v>
      </c>
      <c r="AC121" t="s">
        <v>190</v>
      </c>
      <c r="AD121">
        <v>9</v>
      </c>
      <c r="AE121">
        <v>14</v>
      </c>
      <c r="AF121">
        <v>213</v>
      </c>
      <c r="AG121">
        <v>1</v>
      </c>
      <c r="AH121">
        <v>3</v>
      </c>
      <c r="AI121">
        <v>12</v>
      </c>
      <c r="AJ121">
        <v>0</v>
      </c>
      <c r="AK121">
        <v>28.5</v>
      </c>
      <c r="BU121">
        <v>119</v>
      </c>
      <c r="BV121" t="s">
        <v>1200</v>
      </c>
      <c r="BW121" t="s">
        <v>1309</v>
      </c>
      <c r="BX121" t="s">
        <v>930</v>
      </c>
      <c r="BY121">
        <v>5</v>
      </c>
    </row>
    <row r="122" spans="1:77" ht="12.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AA122" t="s">
        <v>804</v>
      </c>
      <c r="AB122" t="s">
        <v>1310</v>
      </c>
      <c r="AC122" t="s">
        <v>112</v>
      </c>
      <c r="AD122">
        <v>8</v>
      </c>
      <c r="AE122">
        <v>17</v>
      </c>
      <c r="AF122">
        <v>215</v>
      </c>
      <c r="AG122">
        <v>1</v>
      </c>
      <c r="AH122">
        <v>0</v>
      </c>
      <c r="AI122">
        <v>0</v>
      </c>
      <c r="AJ122">
        <v>0</v>
      </c>
      <c r="AK122">
        <v>27.5</v>
      </c>
      <c r="BU122">
        <v>120</v>
      </c>
      <c r="BV122" t="s">
        <v>3</v>
      </c>
      <c r="BW122" t="s">
        <v>1311</v>
      </c>
      <c r="BX122" t="s">
        <v>168</v>
      </c>
      <c r="BY122">
        <v>5</v>
      </c>
    </row>
    <row r="123" spans="1:77" ht="12.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AA123" t="s">
        <v>804</v>
      </c>
      <c r="AB123" t="s">
        <v>1312</v>
      </c>
      <c r="AC123" t="s">
        <v>122</v>
      </c>
      <c r="AD123">
        <v>7</v>
      </c>
      <c r="AE123">
        <v>20</v>
      </c>
      <c r="AF123">
        <v>256</v>
      </c>
      <c r="AG123">
        <v>0</v>
      </c>
      <c r="AH123">
        <v>0</v>
      </c>
      <c r="AI123">
        <v>0</v>
      </c>
      <c r="AJ123">
        <v>0</v>
      </c>
      <c r="AK123">
        <v>25.6</v>
      </c>
      <c r="BU123">
        <v>121</v>
      </c>
      <c r="BV123" t="s">
        <v>1200</v>
      </c>
      <c r="BW123" t="s">
        <v>1313</v>
      </c>
      <c r="BX123" t="s">
        <v>122</v>
      </c>
      <c r="BY123">
        <v>5</v>
      </c>
    </row>
    <row r="124" spans="1:77" ht="12.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AA124" t="s">
        <v>804</v>
      </c>
      <c r="AB124" t="s">
        <v>1314</v>
      </c>
      <c r="AC124" t="s">
        <v>182</v>
      </c>
      <c r="AD124">
        <v>9</v>
      </c>
      <c r="AE124">
        <v>11</v>
      </c>
      <c r="AF124">
        <v>159</v>
      </c>
      <c r="AG124">
        <v>0</v>
      </c>
      <c r="AH124">
        <v>9</v>
      </c>
      <c r="AI124">
        <v>75</v>
      </c>
      <c r="AJ124">
        <v>0</v>
      </c>
      <c r="AK124">
        <v>23.4</v>
      </c>
      <c r="BU124">
        <v>122</v>
      </c>
      <c r="BV124" t="s">
        <v>2</v>
      </c>
      <c r="BW124" t="s">
        <v>1315</v>
      </c>
      <c r="BX124" t="s">
        <v>125</v>
      </c>
      <c r="BY124">
        <v>5</v>
      </c>
    </row>
    <row r="125" spans="1:77" ht="12.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AA125" t="s">
        <v>804</v>
      </c>
      <c r="AB125" t="s">
        <v>1316</v>
      </c>
      <c r="AC125" t="s">
        <v>198</v>
      </c>
      <c r="AD125">
        <v>11</v>
      </c>
      <c r="AE125">
        <v>12</v>
      </c>
      <c r="AF125">
        <v>156</v>
      </c>
      <c r="AG125">
        <v>1</v>
      </c>
      <c r="AH125">
        <v>0</v>
      </c>
      <c r="AI125">
        <v>0</v>
      </c>
      <c r="AJ125">
        <v>0</v>
      </c>
      <c r="AK125">
        <v>21.6</v>
      </c>
      <c r="BU125">
        <v>123</v>
      </c>
      <c r="BV125" t="s">
        <v>1189</v>
      </c>
      <c r="BW125" t="s">
        <v>1317</v>
      </c>
      <c r="BX125" t="s">
        <v>172</v>
      </c>
      <c r="BY125">
        <v>5</v>
      </c>
    </row>
    <row r="126" spans="1:77" ht="12.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AA126" t="s">
        <v>804</v>
      </c>
      <c r="AB126" t="s">
        <v>1318</v>
      </c>
      <c r="AC126" t="s">
        <v>119</v>
      </c>
      <c r="AD126">
        <v>5</v>
      </c>
      <c r="AE126">
        <v>12</v>
      </c>
      <c r="AF126">
        <v>150</v>
      </c>
      <c r="AG126">
        <v>1</v>
      </c>
      <c r="AH126">
        <v>0</v>
      </c>
      <c r="AI126">
        <v>0</v>
      </c>
      <c r="AJ126">
        <v>0</v>
      </c>
      <c r="AK126">
        <v>21</v>
      </c>
      <c r="BU126">
        <v>124</v>
      </c>
      <c r="BV126" t="s">
        <v>1200</v>
      </c>
      <c r="BW126" t="s">
        <v>1319</v>
      </c>
      <c r="BX126" t="s">
        <v>99</v>
      </c>
      <c r="BY126">
        <v>5</v>
      </c>
    </row>
    <row r="127" spans="1:77" ht="12.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AA127" t="s">
        <v>804</v>
      </c>
      <c r="AB127" t="s">
        <v>1142</v>
      </c>
      <c r="AC127" t="s">
        <v>172</v>
      </c>
      <c r="AD127">
        <v>7</v>
      </c>
      <c r="AE127">
        <v>12</v>
      </c>
      <c r="AF127">
        <v>195</v>
      </c>
      <c r="AG127">
        <v>0</v>
      </c>
      <c r="AH127">
        <v>0</v>
      </c>
      <c r="AI127">
        <v>0</v>
      </c>
      <c r="AJ127">
        <v>0</v>
      </c>
      <c r="AK127">
        <v>19.5</v>
      </c>
      <c r="BU127">
        <v>125</v>
      </c>
      <c r="BV127" t="s">
        <v>2</v>
      </c>
      <c r="BW127" t="s">
        <v>1194</v>
      </c>
      <c r="BX127" t="s">
        <v>915</v>
      </c>
      <c r="BY127">
        <v>5</v>
      </c>
    </row>
    <row r="128" spans="1:77" ht="12.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AA128" t="s">
        <v>804</v>
      </c>
      <c r="AB128" t="s">
        <v>1320</v>
      </c>
      <c r="AC128" t="s">
        <v>930</v>
      </c>
      <c r="AD128">
        <v>10</v>
      </c>
      <c r="AE128">
        <v>15</v>
      </c>
      <c r="AF128">
        <v>189</v>
      </c>
      <c r="AG128">
        <v>0</v>
      </c>
      <c r="AH128">
        <v>0</v>
      </c>
      <c r="AI128">
        <v>0</v>
      </c>
      <c r="AJ128">
        <v>0</v>
      </c>
      <c r="AK128">
        <v>18.899999999999999</v>
      </c>
      <c r="BU128">
        <v>126</v>
      </c>
      <c r="BV128" t="s">
        <v>16</v>
      </c>
      <c r="BW128" t="s">
        <v>1065</v>
      </c>
      <c r="BX128" t="s">
        <v>112</v>
      </c>
      <c r="BY128">
        <v>5</v>
      </c>
    </row>
    <row r="129" spans="1:77" ht="12.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AA129" t="s">
        <v>804</v>
      </c>
      <c r="AB129" t="s">
        <v>1321</v>
      </c>
      <c r="AC129" t="s">
        <v>190</v>
      </c>
      <c r="AD129">
        <v>9</v>
      </c>
      <c r="AE129">
        <v>11</v>
      </c>
      <c r="AF129">
        <v>175</v>
      </c>
      <c r="AG129">
        <v>0</v>
      </c>
      <c r="AH129">
        <v>0</v>
      </c>
      <c r="AI129">
        <v>0</v>
      </c>
      <c r="AJ129">
        <v>0</v>
      </c>
      <c r="AK129">
        <v>17.5</v>
      </c>
      <c r="BU129">
        <v>127</v>
      </c>
      <c r="BV129" t="s">
        <v>0</v>
      </c>
      <c r="BW129" t="s">
        <v>1022</v>
      </c>
      <c r="BX129" t="s">
        <v>190</v>
      </c>
      <c r="BY129">
        <v>5</v>
      </c>
    </row>
    <row r="130" spans="1:77" ht="12.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AA130" t="s">
        <v>804</v>
      </c>
      <c r="AB130" t="s">
        <v>1322</v>
      </c>
      <c r="AC130" t="s">
        <v>112</v>
      </c>
      <c r="AD130">
        <v>8</v>
      </c>
      <c r="AE130">
        <v>13</v>
      </c>
      <c r="AF130">
        <v>171</v>
      </c>
      <c r="AG130">
        <v>0</v>
      </c>
      <c r="AH130">
        <v>0</v>
      </c>
      <c r="AI130">
        <v>0</v>
      </c>
      <c r="AJ130">
        <v>0</v>
      </c>
      <c r="AK130">
        <v>17.100000000000001</v>
      </c>
      <c r="BU130">
        <v>128</v>
      </c>
      <c r="BV130" t="s">
        <v>1200</v>
      </c>
      <c r="BW130" t="s">
        <v>1323</v>
      </c>
      <c r="BX130" t="s">
        <v>106</v>
      </c>
      <c r="BY130">
        <v>5</v>
      </c>
    </row>
    <row r="131" spans="1:77" ht="12.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AA131" t="s">
        <v>804</v>
      </c>
      <c r="AB131" t="s">
        <v>1324</v>
      </c>
      <c r="AC131" t="s">
        <v>161</v>
      </c>
      <c r="AD131">
        <v>11</v>
      </c>
      <c r="AE131">
        <v>14</v>
      </c>
      <c r="AF131">
        <v>164</v>
      </c>
      <c r="AG131">
        <v>0</v>
      </c>
      <c r="AH131">
        <v>0</v>
      </c>
      <c r="AI131">
        <v>0</v>
      </c>
      <c r="AJ131">
        <v>0</v>
      </c>
      <c r="AK131">
        <v>16.399999999999999</v>
      </c>
      <c r="BU131">
        <v>129</v>
      </c>
      <c r="BV131" t="s">
        <v>2</v>
      </c>
      <c r="BW131" t="s">
        <v>1069</v>
      </c>
      <c r="BX131" t="s">
        <v>106</v>
      </c>
      <c r="BY131">
        <v>5</v>
      </c>
    </row>
    <row r="132" spans="1:77" ht="12.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AA132" t="s">
        <v>804</v>
      </c>
      <c r="AB132" t="s">
        <v>1325</v>
      </c>
      <c r="AC132" t="s">
        <v>1072</v>
      </c>
      <c r="AD132" t="s">
        <v>1073</v>
      </c>
      <c r="AE132">
        <v>8</v>
      </c>
      <c r="AF132">
        <v>100</v>
      </c>
      <c r="AG132">
        <v>1</v>
      </c>
      <c r="AH132">
        <v>0</v>
      </c>
      <c r="AI132">
        <v>0</v>
      </c>
      <c r="AJ132">
        <v>0</v>
      </c>
      <c r="AK132">
        <v>16</v>
      </c>
      <c r="BU132">
        <v>130</v>
      </c>
      <c r="BV132" t="s">
        <v>3</v>
      </c>
      <c r="BW132" t="s">
        <v>1000</v>
      </c>
      <c r="BX132" t="s">
        <v>1144</v>
      </c>
      <c r="BY132">
        <v>5</v>
      </c>
    </row>
    <row r="133" spans="1:77" ht="12.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AA133" t="s">
        <v>804</v>
      </c>
      <c r="AB133" t="s">
        <v>1326</v>
      </c>
      <c r="AC133" t="s">
        <v>1072</v>
      </c>
      <c r="AD133" t="s">
        <v>1073</v>
      </c>
      <c r="AE133">
        <v>7</v>
      </c>
      <c r="AF133">
        <v>100</v>
      </c>
      <c r="AG133">
        <v>1</v>
      </c>
      <c r="AH133">
        <v>0</v>
      </c>
      <c r="AI133">
        <v>0</v>
      </c>
      <c r="AJ133">
        <v>0</v>
      </c>
      <c r="AK133">
        <v>16</v>
      </c>
      <c r="BU133">
        <v>131</v>
      </c>
      <c r="BV133" t="s">
        <v>1200</v>
      </c>
      <c r="BW133" t="s">
        <v>1327</v>
      </c>
      <c r="BX133" t="s">
        <v>119</v>
      </c>
      <c r="BY133">
        <v>5</v>
      </c>
    </row>
    <row r="134" spans="1:77" ht="12.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AA134" t="s">
        <v>804</v>
      </c>
      <c r="AB134" t="s">
        <v>1328</v>
      </c>
      <c r="AC134" t="s">
        <v>175</v>
      </c>
      <c r="AD134">
        <v>4</v>
      </c>
      <c r="AE134">
        <v>11</v>
      </c>
      <c r="AF134">
        <v>156</v>
      </c>
      <c r="AG134">
        <v>0</v>
      </c>
      <c r="AH134">
        <v>0</v>
      </c>
      <c r="AI134">
        <v>0</v>
      </c>
      <c r="AJ134">
        <v>0</v>
      </c>
      <c r="AK134">
        <v>15.6</v>
      </c>
      <c r="BU134">
        <v>132</v>
      </c>
      <c r="BV134" t="s">
        <v>3</v>
      </c>
      <c r="BW134" t="s">
        <v>1329</v>
      </c>
      <c r="BX134" t="s">
        <v>165</v>
      </c>
      <c r="BY134">
        <v>5</v>
      </c>
    </row>
    <row r="135" spans="1:77" ht="12.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AA135" t="s">
        <v>804</v>
      </c>
      <c r="AB135" t="s">
        <v>1330</v>
      </c>
      <c r="AC135" t="s">
        <v>139</v>
      </c>
      <c r="AD135">
        <v>6</v>
      </c>
      <c r="AE135">
        <v>11</v>
      </c>
      <c r="AF135">
        <v>145</v>
      </c>
      <c r="AG135">
        <v>0</v>
      </c>
      <c r="AH135">
        <v>0</v>
      </c>
      <c r="AI135">
        <v>0</v>
      </c>
      <c r="AJ135">
        <v>0</v>
      </c>
      <c r="AK135">
        <v>14.5</v>
      </c>
      <c r="BU135">
        <v>133</v>
      </c>
      <c r="BV135" t="s">
        <v>1189</v>
      </c>
      <c r="BW135" t="s">
        <v>1331</v>
      </c>
      <c r="BX135" t="s">
        <v>109</v>
      </c>
      <c r="BY135">
        <v>5</v>
      </c>
    </row>
    <row r="136" spans="1:77" ht="12.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AA136" t="s">
        <v>804</v>
      </c>
      <c r="AB136" t="s">
        <v>1332</v>
      </c>
      <c r="AC136" t="s">
        <v>96</v>
      </c>
      <c r="AD136">
        <v>7</v>
      </c>
      <c r="AE136">
        <v>10</v>
      </c>
      <c r="AF136">
        <v>127</v>
      </c>
      <c r="AG136">
        <v>0</v>
      </c>
      <c r="AH136">
        <v>0</v>
      </c>
      <c r="AI136">
        <v>0</v>
      </c>
      <c r="AJ136">
        <v>0</v>
      </c>
      <c r="AK136">
        <v>12.7</v>
      </c>
      <c r="BU136">
        <v>134</v>
      </c>
      <c r="BV136" t="s">
        <v>0</v>
      </c>
      <c r="BW136" t="s">
        <v>1047</v>
      </c>
      <c r="BX136" t="s">
        <v>102</v>
      </c>
      <c r="BY136">
        <v>5</v>
      </c>
    </row>
    <row r="137" spans="1:77" ht="12.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AA137" t="s">
        <v>804</v>
      </c>
      <c r="AB137" t="s">
        <v>1333</v>
      </c>
      <c r="AC137" t="s">
        <v>106</v>
      </c>
      <c r="AD137">
        <v>6</v>
      </c>
      <c r="AE137">
        <v>8</v>
      </c>
      <c r="AF137">
        <v>100</v>
      </c>
      <c r="AG137">
        <v>0</v>
      </c>
      <c r="AH137">
        <v>0</v>
      </c>
      <c r="AI137">
        <v>0</v>
      </c>
      <c r="AJ137">
        <v>0</v>
      </c>
      <c r="AK137">
        <v>10</v>
      </c>
      <c r="BU137">
        <v>135</v>
      </c>
      <c r="BV137" t="s">
        <v>794</v>
      </c>
      <c r="BW137" t="s">
        <v>1334</v>
      </c>
      <c r="BX137" t="s">
        <v>185</v>
      </c>
      <c r="BY137">
        <v>5</v>
      </c>
    </row>
    <row r="138" spans="1:77" ht="12.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AA138" t="s">
        <v>804</v>
      </c>
      <c r="AB138" t="s">
        <v>1335</v>
      </c>
      <c r="AC138" t="s">
        <v>182</v>
      </c>
      <c r="AD138">
        <v>9</v>
      </c>
      <c r="AE138">
        <v>7</v>
      </c>
      <c r="AF138">
        <v>96</v>
      </c>
      <c r="AG138">
        <v>0</v>
      </c>
      <c r="AH138">
        <v>0</v>
      </c>
      <c r="AI138">
        <v>0</v>
      </c>
      <c r="AJ138">
        <v>0</v>
      </c>
      <c r="AK138">
        <v>9.6</v>
      </c>
      <c r="BU138">
        <v>136</v>
      </c>
      <c r="BV138" t="s">
        <v>1200</v>
      </c>
      <c r="BW138" t="s">
        <v>1336</v>
      </c>
      <c r="BX138" t="s">
        <v>933</v>
      </c>
      <c r="BY138">
        <v>5</v>
      </c>
    </row>
    <row r="139" spans="1:77" ht="12.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AA139" t="s">
        <v>804</v>
      </c>
      <c r="AB139" t="s">
        <v>1337</v>
      </c>
      <c r="AC139" t="s">
        <v>161</v>
      </c>
      <c r="AD139">
        <v>11</v>
      </c>
      <c r="AE139">
        <v>7</v>
      </c>
      <c r="AF139">
        <v>90</v>
      </c>
      <c r="AG139">
        <v>0</v>
      </c>
      <c r="AH139">
        <v>0</v>
      </c>
      <c r="AI139">
        <v>0</v>
      </c>
      <c r="AJ139">
        <v>0</v>
      </c>
      <c r="AK139">
        <v>9</v>
      </c>
      <c r="BU139">
        <v>137</v>
      </c>
      <c r="BV139" t="s">
        <v>0</v>
      </c>
      <c r="BW139" t="s">
        <v>1004</v>
      </c>
      <c r="BX139" t="s">
        <v>168</v>
      </c>
      <c r="BY139">
        <v>4</v>
      </c>
    </row>
    <row r="140" spans="1:77" ht="12.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AA140" t="s">
        <v>804</v>
      </c>
      <c r="AB140" t="s">
        <v>1338</v>
      </c>
      <c r="AC140" t="s">
        <v>142</v>
      </c>
      <c r="AD140">
        <v>7</v>
      </c>
      <c r="AE140">
        <v>6</v>
      </c>
      <c r="AF140">
        <v>85</v>
      </c>
      <c r="AG140">
        <v>0</v>
      </c>
      <c r="AH140">
        <v>0</v>
      </c>
      <c r="AI140">
        <v>0</v>
      </c>
      <c r="AJ140">
        <v>0</v>
      </c>
      <c r="AK140">
        <v>8.5</v>
      </c>
      <c r="BU140">
        <v>138</v>
      </c>
      <c r="BV140" t="s">
        <v>1200</v>
      </c>
      <c r="BW140" t="s">
        <v>1339</v>
      </c>
      <c r="BX140" t="s">
        <v>96</v>
      </c>
      <c r="BY140">
        <v>4</v>
      </c>
    </row>
    <row r="141" spans="1:77" ht="12.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AA141" t="s">
        <v>804</v>
      </c>
      <c r="AB141" t="s">
        <v>1340</v>
      </c>
      <c r="AC141" t="s">
        <v>106</v>
      </c>
      <c r="AD141">
        <v>6</v>
      </c>
      <c r="AE141">
        <v>7</v>
      </c>
      <c r="AF141">
        <v>84</v>
      </c>
      <c r="AG141">
        <v>0</v>
      </c>
      <c r="AH141">
        <v>0</v>
      </c>
      <c r="AI141">
        <v>0</v>
      </c>
      <c r="AJ141">
        <v>0</v>
      </c>
      <c r="AK141">
        <v>8.4</v>
      </c>
      <c r="BU141">
        <v>139</v>
      </c>
      <c r="BV141" t="s">
        <v>3</v>
      </c>
      <c r="BW141" t="s">
        <v>1341</v>
      </c>
      <c r="BX141" t="s">
        <v>971</v>
      </c>
      <c r="BY141">
        <v>4</v>
      </c>
    </row>
    <row r="142" spans="1:77" ht="12.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AA142" t="s">
        <v>804</v>
      </c>
      <c r="AB142" t="s">
        <v>1342</v>
      </c>
      <c r="AC142" t="s">
        <v>930</v>
      </c>
      <c r="AD142">
        <v>10</v>
      </c>
      <c r="AE142">
        <v>5</v>
      </c>
      <c r="AF142">
        <v>70</v>
      </c>
      <c r="AG142">
        <v>0</v>
      </c>
      <c r="AH142">
        <v>0</v>
      </c>
      <c r="AI142">
        <v>0</v>
      </c>
      <c r="AJ142">
        <v>0</v>
      </c>
      <c r="AK142">
        <v>7</v>
      </c>
      <c r="BU142">
        <v>140</v>
      </c>
      <c r="BV142" t="s">
        <v>0</v>
      </c>
      <c r="BW142" t="s">
        <v>1051</v>
      </c>
      <c r="BX142" t="s">
        <v>198</v>
      </c>
      <c r="BY142">
        <v>4</v>
      </c>
    </row>
    <row r="143" spans="1:77" ht="12.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AA143" t="s">
        <v>804</v>
      </c>
      <c r="AB143" t="s">
        <v>1343</v>
      </c>
      <c r="AC143" t="s">
        <v>172</v>
      </c>
      <c r="AD143">
        <v>7</v>
      </c>
      <c r="AE143">
        <v>4</v>
      </c>
      <c r="AF143">
        <v>56</v>
      </c>
      <c r="AG143">
        <v>0</v>
      </c>
      <c r="AH143">
        <v>0</v>
      </c>
      <c r="AI143">
        <v>0</v>
      </c>
      <c r="AJ143">
        <v>0</v>
      </c>
      <c r="AK143">
        <v>5.6</v>
      </c>
      <c r="BU143">
        <v>141</v>
      </c>
      <c r="BV143" t="s">
        <v>1200</v>
      </c>
      <c r="BW143" t="s">
        <v>1344</v>
      </c>
      <c r="BX143" t="s">
        <v>939</v>
      </c>
      <c r="BY143">
        <v>4</v>
      </c>
    </row>
    <row r="144" spans="1:77" ht="12.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AA144" t="s">
        <v>804</v>
      </c>
      <c r="AB144" t="s">
        <v>1345</v>
      </c>
      <c r="AC144" t="s">
        <v>158</v>
      </c>
      <c r="AD144">
        <v>6</v>
      </c>
      <c r="AE144">
        <v>4</v>
      </c>
      <c r="AF144">
        <v>54</v>
      </c>
      <c r="AG144">
        <v>0</v>
      </c>
      <c r="AH144">
        <v>0</v>
      </c>
      <c r="AI144">
        <v>0</v>
      </c>
      <c r="AJ144">
        <v>0</v>
      </c>
      <c r="AK144">
        <v>5.4</v>
      </c>
      <c r="BU144">
        <v>142</v>
      </c>
      <c r="BV144" t="s">
        <v>1200</v>
      </c>
      <c r="BW144" t="s">
        <v>1346</v>
      </c>
      <c r="BX144" t="s">
        <v>119</v>
      </c>
      <c r="BY144">
        <v>4</v>
      </c>
    </row>
    <row r="145" spans="1:77" ht="12.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AA145" t="s">
        <v>804</v>
      </c>
      <c r="AB145" t="s">
        <v>1347</v>
      </c>
      <c r="AC145" t="s">
        <v>142</v>
      </c>
      <c r="AD145">
        <v>7</v>
      </c>
      <c r="AE145">
        <v>4</v>
      </c>
      <c r="AF145">
        <v>46</v>
      </c>
      <c r="AG145">
        <v>0</v>
      </c>
      <c r="AH145">
        <v>0</v>
      </c>
      <c r="AI145">
        <v>0</v>
      </c>
      <c r="AJ145">
        <v>0</v>
      </c>
      <c r="AK145">
        <v>4.5999999999999996</v>
      </c>
      <c r="BU145">
        <v>143</v>
      </c>
      <c r="BV145" t="s">
        <v>3</v>
      </c>
      <c r="BW145" t="s">
        <v>1129</v>
      </c>
      <c r="BX145" t="s">
        <v>99</v>
      </c>
      <c r="BY145">
        <v>4</v>
      </c>
    </row>
    <row r="146" spans="1:77" ht="12.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AA146" t="s">
        <v>804</v>
      </c>
      <c r="AB146" t="s">
        <v>1348</v>
      </c>
      <c r="AC146" t="s">
        <v>198</v>
      </c>
      <c r="AD146">
        <v>11</v>
      </c>
      <c r="AE146">
        <v>3</v>
      </c>
      <c r="AF146">
        <v>41</v>
      </c>
      <c r="AG146">
        <v>0</v>
      </c>
      <c r="AH146">
        <v>0</v>
      </c>
      <c r="AI146">
        <v>0</v>
      </c>
      <c r="AJ146">
        <v>0</v>
      </c>
      <c r="AK146">
        <v>4.0999999999999996</v>
      </c>
      <c r="BU146">
        <v>144</v>
      </c>
      <c r="BV146" t="s">
        <v>16</v>
      </c>
      <c r="BW146" t="s">
        <v>1054</v>
      </c>
      <c r="BX146" t="s">
        <v>135</v>
      </c>
      <c r="BY146">
        <v>4</v>
      </c>
    </row>
    <row r="147" spans="1:77" ht="12.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BU147">
        <v>145</v>
      </c>
      <c r="BV147" t="s">
        <v>1200</v>
      </c>
      <c r="BW147" t="s">
        <v>1349</v>
      </c>
      <c r="BX147" t="s">
        <v>82</v>
      </c>
      <c r="BY147">
        <v>4</v>
      </c>
    </row>
    <row r="148" spans="1:77" ht="12.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BU148">
        <v>146</v>
      </c>
      <c r="BV148" t="s">
        <v>0</v>
      </c>
      <c r="BW148" t="s">
        <v>989</v>
      </c>
      <c r="BX148" t="s">
        <v>1144</v>
      </c>
      <c r="BY148">
        <v>4</v>
      </c>
    </row>
    <row r="149" spans="1:77" ht="12.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BU149">
        <v>147</v>
      </c>
      <c r="BV149" t="s">
        <v>1189</v>
      </c>
      <c r="BW149" t="s">
        <v>1350</v>
      </c>
      <c r="BX149" t="s">
        <v>122</v>
      </c>
      <c r="BY149">
        <v>4</v>
      </c>
    </row>
    <row r="150" spans="1:77" ht="12.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BU150">
        <v>148</v>
      </c>
      <c r="BV150" t="s">
        <v>2</v>
      </c>
      <c r="BW150" t="s">
        <v>1351</v>
      </c>
      <c r="BX150" t="s">
        <v>190</v>
      </c>
      <c r="BY150">
        <v>4</v>
      </c>
    </row>
    <row r="151" spans="1:77" ht="12.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BU151">
        <v>149</v>
      </c>
      <c r="BV151" t="s">
        <v>2</v>
      </c>
      <c r="BW151" t="s">
        <v>1133</v>
      </c>
      <c r="BX151" t="s">
        <v>122</v>
      </c>
      <c r="BY151">
        <v>4</v>
      </c>
    </row>
    <row r="152" spans="1:77" ht="12.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BU152">
        <v>150</v>
      </c>
      <c r="BV152" t="s">
        <v>794</v>
      </c>
      <c r="BW152" t="s">
        <v>1352</v>
      </c>
      <c r="BX152" t="s">
        <v>168</v>
      </c>
      <c r="BY152">
        <v>4</v>
      </c>
    </row>
    <row r="153" spans="1:77" ht="12.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BU153">
        <v>151</v>
      </c>
      <c r="BV153" t="s">
        <v>1200</v>
      </c>
      <c r="BW153" t="s">
        <v>1353</v>
      </c>
      <c r="BX153" t="s">
        <v>146</v>
      </c>
      <c r="BY153">
        <v>4</v>
      </c>
    </row>
    <row r="154" spans="1:77" ht="12.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BU154">
        <v>152</v>
      </c>
      <c r="BV154" t="s">
        <v>2</v>
      </c>
      <c r="BW154" t="s">
        <v>1162</v>
      </c>
      <c r="BX154" t="s">
        <v>175</v>
      </c>
      <c r="BY154">
        <v>4</v>
      </c>
    </row>
    <row r="155" spans="1:77" ht="12.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BU155">
        <v>153</v>
      </c>
      <c r="BV155" t="s">
        <v>2</v>
      </c>
      <c r="BW155" t="s">
        <v>1354</v>
      </c>
      <c r="BX155" t="s">
        <v>109</v>
      </c>
      <c r="BY155">
        <v>4</v>
      </c>
    </row>
    <row r="156" spans="1:77" ht="12.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BU156">
        <v>154</v>
      </c>
      <c r="BV156" t="s">
        <v>3</v>
      </c>
      <c r="BW156" t="s">
        <v>985</v>
      </c>
      <c r="BX156" t="s">
        <v>82</v>
      </c>
      <c r="BY156">
        <v>4</v>
      </c>
    </row>
    <row r="157" spans="1:77" ht="12.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BU157">
        <v>155</v>
      </c>
      <c r="BV157" t="s">
        <v>1200</v>
      </c>
      <c r="BW157" t="s">
        <v>1355</v>
      </c>
      <c r="BX157" t="s">
        <v>135</v>
      </c>
      <c r="BY157">
        <v>4</v>
      </c>
    </row>
    <row r="158" spans="1:77" ht="12.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BU158">
        <v>156</v>
      </c>
      <c r="BV158" t="s">
        <v>1189</v>
      </c>
      <c r="BW158" t="s">
        <v>1356</v>
      </c>
      <c r="BX158" t="s">
        <v>172</v>
      </c>
      <c r="BY158">
        <v>4</v>
      </c>
    </row>
    <row r="159" spans="1:77" ht="12.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BU159">
        <v>157</v>
      </c>
      <c r="BV159" t="s">
        <v>1357</v>
      </c>
      <c r="BW159" t="s">
        <v>1358</v>
      </c>
      <c r="BX159" t="s">
        <v>125</v>
      </c>
      <c r="BY159">
        <v>4</v>
      </c>
    </row>
    <row r="160" spans="1:77" ht="12.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BU160">
        <v>158</v>
      </c>
      <c r="BV160" t="s">
        <v>1189</v>
      </c>
      <c r="BW160" t="s">
        <v>1359</v>
      </c>
      <c r="BX160" t="s">
        <v>82</v>
      </c>
      <c r="BY160">
        <v>4</v>
      </c>
    </row>
    <row r="161" spans="1:77" ht="12.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BU161">
        <v>159</v>
      </c>
      <c r="BV161" t="s">
        <v>2</v>
      </c>
      <c r="BW161" t="s">
        <v>1147</v>
      </c>
      <c r="BX161" t="s">
        <v>96</v>
      </c>
      <c r="BY161">
        <v>4</v>
      </c>
    </row>
    <row r="162" spans="1:77" ht="12.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BU162">
        <v>160</v>
      </c>
      <c r="BV162" t="s">
        <v>1189</v>
      </c>
      <c r="BW162" t="s">
        <v>1360</v>
      </c>
      <c r="BX162" t="s">
        <v>161</v>
      </c>
      <c r="BY162">
        <v>4</v>
      </c>
    </row>
    <row r="163" spans="1:77" ht="12.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BU163">
        <v>161</v>
      </c>
      <c r="BV163" t="s">
        <v>0</v>
      </c>
      <c r="BW163" t="s">
        <v>998</v>
      </c>
      <c r="BX163" t="s">
        <v>146</v>
      </c>
      <c r="BY163">
        <v>4</v>
      </c>
    </row>
    <row r="164" spans="1:77" ht="12.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BU164">
        <v>162</v>
      </c>
      <c r="BV164" t="s">
        <v>1200</v>
      </c>
      <c r="BW164" t="s">
        <v>1361</v>
      </c>
      <c r="BX164" t="s">
        <v>915</v>
      </c>
      <c r="BY164">
        <v>4</v>
      </c>
    </row>
    <row r="165" spans="1:77" ht="12.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BU165">
        <v>163</v>
      </c>
      <c r="BV165" t="s">
        <v>3</v>
      </c>
      <c r="BW165" t="s">
        <v>1180</v>
      </c>
      <c r="BX165" t="s">
        <v>1144</v>
      </c>
      <c r="BY165">
        <v>4</v>
      </c>
    </row>
    <row r="166" spans="1:77" ht="12.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BU166">
        <v>164</v>
      </c>
      <c r="BV166" t="s">
        <v>3</v>
      </c>
      <c r="BW166" t="s">
        <v>962</v>
      </c>
      <c r="BX166" t="s">
        <v>915</v>
      </c>
      <c r="BY166">
        <v>4</v>
      </c>
    </row>
    <row r="167" spans="1:77" ht="12.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BU167">
        <v>165</v>
      </c>
      <c r="BV167" t="s">
        <v>1200</v>
      </c>
      <c r="BW167" t="s">
        <v>1362</v>
      </c>
      <c r="BX167" t="s">
        <v>150</v>
      </c>
      <c r="BY167">
        <v>4</v>
      </c>
    </row>
    <row r="168" spans="1:77" ht="12.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BU168">
        <v>166</v>
      </c>
      <c r="BV168" t="s">
        <v>1200</v>
      </c>
      <c r="BW168" t="s">
        <v>1363</v>
      </c>
      <c r="BX168" t="s">
        <v>132</v>
      </c>
      <c r="BY168">
        <v>4</v>
      </c>
    </row>
    <row r="169" spans="1:77" ht="12.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BU169">
        <v>167</v>
      </c>
      <c r="BV169" t="s">
        <v>1274</v>
      </c>
      <c r="BW169" t="s">
        <v>1364</v>
      </c>
      <c r="BX169" t="s">
        <v>109</v>
      </c>
      <c r="BY169">
        <v>4</v>
      </c>
    </row>
    <row r="170" spans="1:77" ht="12.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BU170">
        <v>168</v>
      </c>
      <c r="BV170" t="s">
        <v>1200</v>
      </c>
      <c r="BW170" t="s">
        <v>1365</v>
      </c>
      <c r="BX170" t="s">
        <v>106</v>
      </c>
      <c r="BY170">
        <v>4</v>
      </c>
    </row>
    <row r="171" spans="1:77" ht="12.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BU171">
        <v>169</v>
      </c>
      <c r="BV171" t="s">
        <v>1357</v>
      </c>
      <c r="BW171" t="s">
        <v>1366</v>
      </c>
      <c r="BX171" t="s">
        <v>99</v>
      </c>
      <c r="BY171">
        <v>4</v>
      </c>
    </row>
    <row r="172" spans="1:77" ht="12.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BU172">
        <v>170</v>
      </c>
      <c r="BV172" t="s">
        <v>1200</v>
      </c>
      <c r="BW172" t="s">
        <v>1367</v>
      </c>
      <c r="BX172" t="s">
        <v>172</v>
      </c>
      <c r="BY172">
        <v>4</v>
      </c>
    </row>
    <row r="173" spans="1:77" ht="12.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BU173">
        <v>171</v>
      </c>
      <c r="BV173" t="s">
        <v>794</v>
      </c>
      <c r="BW173" t="s">
        <v>1368</v>
      </c>
      <c r="BX173" t="s">
        <v>915</v>
      </c>
      <c r="BY173">
        <v>4</v>
      </c>
    </row>
    <row r="174" spans="1:77" ht="12.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BU174">
        <v>172</v>
      </c>
      <c r="BV174" t="s">
        <v>1189</v>
      </c>
      <c r="BW174" t="s">
        <v>1369</v>
      </c>
      <c r="BX174" t="s">
        <v>99</v>
      </c>
      <c r="BY174">
        <v>4</v>
      </c>
    </row>
    <row r="175" spans="1:77" ht="12.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BU175">
        <v>173</v>
      </c>
      <c r="BV175" t="s">
        <v>16</v>
      </c>
      <c r="BW175" t="s">
        <v>1001</v>
      </c>
      <c r="BX175" t="s">
        <v>198</v>
      </c>
      <c r="BY175">
        <v>4</v>
      </c>
    </row>
    <row r="176" spans="1:77" ht="12.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BU176">
        <v>174</v>
      </c>
      <c r="BV176" t="s">
        <v>3</v>
      </c>
      <c r="BW176" t="s">
        <v>1370</v>
      </c>
      <c r="BX176" t="s">
        <v>185</v>
      </c>
      <c r="BY176">
        <v>4</v>
      </c>
    </row>
    <row r="177" spans="1:77" ht="12.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BU177">
        <v>175</v>
      </c>
      <c r="BV177" t="s">
        <v>1200</v>
      </c>
      <c r="BW177" t="s">
        <v>1371</v>
      </c>
      <c r="BX177" t="s">
        <v>106</v>
      </c>
      <c r="BY177">
        <v>3</v>
      </c>
    </row>
    <row r="178" spans="1:77" ht="12.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BU178">
        <v>176</v>
      </c>
      <c r="BV178" t="s">
        <v>1200</v>
      </c>
      <c r="BW178" t="s">
        <v>1372</v>
      </c>
      <c r="BX178" t="s">
        <v>102</v>
      </c>
      <c r="BY178">
        <v>3</v>
      </c>
    </row>
    <row r="179" spans="1:77" ht="12.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BU179">
        <v>177</v>
      </c>
      <c r="BV179" t="s">
        <v>3</v>
      </c>
      <c r="BW179" t="s">
        <v>1148</v>
      </c>
      <c r="BX179" t="s">
        <v>1087</v>
      </c>
      <c r="BY179">
        <v>3</v>
      </c>
    </row>
    <row r="180" spans="1:77" ht="12.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BU180">
        <v>178</v>
      </c>
      <c r="BV180" t="s">
        <v>0</v>
      </c>
      <c r="BW180" t="s">
        <v>1132</v>
      </c>
      <c r="BX180" t="s">
        <v>185</v>
      </c>
      <c r="BY180">
        <v>3</v>
      </c>
    </row>
    <row r="181" spans="1:77" ht="12.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BU181">
        <v>179</v>
      </c>
      <c r="BV181" t="s">
        <v>1200</v>
      </c>
      <c r="BW181" t="s">
        <v>1373</v>
      </c>
      <c r="BX181" t="s">
        <v>125</v>
      </c>
      <c r="BY181">
        <v>3</v>
      </c>
    </row>
    <row r="182" spans="1:77" ht="12.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BU182">
        <v>180</v>
      </c>
      <c r="BV182" t="s">
        <v>2</v>
      </c>
      <c r="BW182" t="s">
        <v>922</v>
      </c>
      <c r="BX182" t="s">
        <v>150</v>
      </c>
      <c r="BY182">
        <v>3</v>
      </c>
    </row>
    <row r="183" spans="1:77" ht="12.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BU183">
        <v>181</v>
      </c>
      <c r="BV183" t="s">
        <v>1189</v>
      </c>
      <c r="BW183" t="s">
        <v>1374</v>
      </c>
      <c r="BX183" t="s">
        <v>132</v>
      </c>
      <c r="BY183">
        <v>3</v>
      </c>
    </row>
    <row r="184" spans="1:77" ht="12.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BU184">
        <v>182</v>
      </c>
      <c r="BV184" t="s">
        <v>1267</v>
      </c>
      <c r="BW184" t="s">
        <v>98</v>
      </c>
      <c r="BX184" t="s">
        <v>99</v>
      </c>
      <c r="BY184">
        <v>3</v>
      </c>
    </row>
    <row r="185" spans="1:77" ht="12.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BU185">
        <v>183</v>
      </c>
      <c r="BV185" t="s">
        <v>1200</v>
      </c>
      <c r="BW185" t="s">
        <v>1375</v>
      </c>
      <c r="BX185" t="s">
        <v>175</v>
      </c>
      <c r="BY185">
        <v>3</v>
      </c>
    </row>
    <row r="186" spans="1:77" ht="12.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BU186">
        <v>184</v>
      </c>
      <c r="BV186" t="s">
        <v>16</v>
      </c>
      <c r="BW186" t="s">
        <v>1034</v>
      </c>
      <c r="BX186" t="s">
        <v>172</v>
      </c>
      <c r="BY186">
        <v>3</v>
      </c>
    </row>
    <row r="187" spans="1:77" ht="12.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BU187">
        <v>185</v>
      </c>
      <c r="BV187" t="s">
        <v>0</v>
      </c>
      <c r="BW187" t="s">
        <v>1114</v>
      </c>
      <c r="BX187" t="s">
        <v>115</v>
      </c>
      <c r="BY187">
        <v>3</v>
      </c>
    </row>
    <row r="188" spans="1:77" ht="12.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BU188">
        <v>186</v>
      </c>
      <c r="BV188" t="s">
        <v>794</v>
      </c>
      <c r="BW188" t="s">
        <v>1376</v>
      </c>
      <c r="BX188" t="s">
        <v>1087</v>
      </c>
      <c r="BY188">
        <v>3</v>
      </c>
    </row>
    <row r="189" spans="1:77" ht="12.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BU189">
        <v>187</v>
      </c>
      <c r="BV189" t="s">
        <v>2</v>
      </c>
      <c r="BW189" t="s">
        <v>1171</v>
      </c>
      <c r="BX189" t="s">
        <v>1087</v>
      </c>
      <c r="BY189">
        <v>3</v>
      </c>
    </row>
    <row r="190" spans="1:77" ht="12.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BU190">
        <v>188</v>
      </c>
      <c r="BV190" t="s">
        <v>3</v>
      </c>
      <c r="BW190" t="s">
        <v>1199</v>
      </c>
      <c r="BX190" t="s">
        <v>135</v>
      </c>
      <c r="BY190">
        <v>3</v>
      </c>
    </row>
    <row r="191" spans="1:77" ht="12.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BU191">
        <v>189</v>
      </c>
      <c r="BV191" t="s">
        <v>1200</v>
      </c>
      <c r="BW191" t="s">
        <v>1377</v>
      </c>
      <c r="BX191" t="s">
        <v>1144</v>
      </c>
      <c r="BY191">
        <v>3</v>
      </c>
    </row>
    <row r="192" spans="1:77" ht="12.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BU192">
        <v>190</v>
      </c>
      <c r="BV192" t="s">
        <v>2</v>
      </c>
      <c r="BW192" t="s">
        <v>1378</v>
      </c>
      <c r="BX192" t="s">
        <v>915</v>
      </c>
      <c r="BY192">
        <v>3</v>
      </c>
    </row>
    <row r="193" spans="1:77" ht="12.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BU193">
        <v>191</v>
      </c>
      <c r="BV193" t="s">
        <v>794</v>
      </c>
      <c r="BW193" t="s">
        <v>1379</v>
      </c>
      <c r="BX193" t="s">
        <v>102</v>
      </c>
      <c r="BY193">
        <v>3</v>
      </c>
    </row>
    <row r="194" spans="1:77" ht="12.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BU194">
        <v>192</v>
      </c>
      <c r="BV194" t="s">
        <v>794</v>
      </c>
      <c r="BW194" t="s">
        <v>1380</v>
      </c>
      <c r="BX194" t="s">
        <v>915</v>
      </c>
      <c r="BY194">
        <v>3</v>
      </c>
    </row>
    <row r="195" spans="1:77" ht="12.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BU195">
        <v>193</v>
      </c>
      <c r="BV195" t="s">
        <v>3</v>
      </c>
      <c r="BW195" t="s">
        <v>1381</v>
      </c>
      <c r="BX195" t="s">
        <v>190</v>
      </c>
      <c r="BY195">
        <v>3</v>
      </c>
    </row>
    <row r="196" spans="1:77" ht="12.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BU196">
        <v>194</v>
      </c>
      <c r="BV196" t="s">
        <v>3</v>
      </c>
      <c r="BW196" t="s">
        <v>1053</v>
      </c>
      <c r="BX196" t="s">
        <v>198</v>
      </c>
      <c r="BY196">
        <v>3</v>
      </c>
    </row>
    <row r="197" spans="1:77" ht="12.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BU197">
        <v>195</v>
      </c>
      <c r="BV197" t="s">
        <v>0</v>
      </c>
      <c r="BW197" t="s">
        <v>1382</v>
      </c>
      <c r="BX197" t="s">
        <v>139</v>
      </c>
      <c r="BY197">
        <v>3</v>
      </c>
    </row>
    <row r="198" spans="1:77" ht="12.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BU198">
        <v>196</v>
      </c>
      <c r="BV198" t="s">
        <v>1200</v>
      </c>
      <c r="BW198" t="s">
        <v>1383</v>
      </c>
      <c r="BX198" t="s">
        <v>971</v>
      </c>
      <c r="BY198">
        <v>3</v>
      </c>
    </row>
    <row r="199" spans="1:77" ht="12.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BU199">
        <v>197</v>
      </c>
      <c r="BV199" t="s">
        <v>1357</v>
      </c>
      <c r="BW199" t="s">
        <v>1384</v>
      </c>
      <c r="BX199" t="s">
        <v>115</v>
      </c>
      <c r="BY199">
        <v>3</v>
      </c>
    </row>
    <row r="200" spans="1:77" ht="12.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BU200">
        <v>198</v>
      </c>
      <c r="BV200" t="s">
        <v>1200</v>
      </c>
      <c r="BW200" t="s">
        <v>1385</v>
      </c>
      <c r="BX200" t="s">
        <v>168</v>
      </c>
      <c r="BY200">
        <v>3</v>
      </c>
    </row>
    <row r="201" spans="1:77" ht="12.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BU201">
        <v>199</v>
      </c>
      <c r="BV201" t="s">
        <v>1274</v>
      </c>
      <c r="BW201" t="s">
        <v>1386</v>
      </c>
      <c r="BX201" t="s">
        <v>198</v>
      </c>
      <c r="BY201">
        <v>3</v>
      </c>
    </row>
    <row r="202" spans="1:77" ht="12.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BU202">
        <v>200</v>
      </c>
      <c r="BV202" t="s">
        <v>0</v>
      </c>
      <c r="BW202" t="s">
        <v>1387</v>
      </c>
      <c r="BX202" t="s">
        <v>82</v>
      </c>
      <c r="BY202">
        <v>3</v>
      </c>
    </row>
    <row r="203" spans="1:77" ht="12.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BU203">
        <v>201</v>
      </c>
      <c r="BV203" t="s">
        <v>16</v>
      </c>
      <c r="BW203" t="s">
        <v>943</v>
      </c>
      <c r="BX203" t="s">
        <v>150</v>
      </c>
      <c r="BY203">
        <v>3</v>
      </c>
    </row>
    <row r="204" spans="1:77" ht="12.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BU204">
        <v>202</v>
      </c>
      <c r="BV204" t="s">
        <v>1357</v>
      </c>
      <c r="BW204" t="s">
        <v>1388</v>
      </c>
      <c r="BX204" t="s">
        <v>115</v>
      </c>
      <c r="BY204">
        <v>3</v>
      </c>
    </row>
    <row r="205" spans="1:77" ht="12.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BU205">
        <v>203</v>
      </c>
      <c r="BV205" t="s">
        <v>16</v>
      </c>
      <c r="BW205" t="s">
        <v>1130</v>
      </c>
      <c r="BX205" t="s">
        <v>132</v>
      </c>
      <c r="BY205">
        <v>3</v>
      </c>
    </row>
    <row r="206" spans="1:77" ht="12.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BU206">
        <v>204</v>
      </c>
      <c r="BV206" t="s">
        <v>1189</v>
      </c>
      <c r="BW206" t="s">
        <v>1389</v>
      </c>
      <c r="BX206" t="s">
        <v>115</v>
      </c>
      <c r="BY206">
        <v>3</v>
      </c>
    </row>
    <row r="207" spans="1:77" ht="12.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BU207">
        <v>205</v>
      </c>
      <c r="BV207" t="s">
        <v>1357</v>
      </c>
      <c r="BW207" t="s">
        <v>1390</v>
      </c>
      <c r="BX207" t="s">
        <v>172</v>
      </c>
      <c r="BY207">
        <v>3</v>
      </c>
    </row>
    <row r="208" spans="1:77" ht="12.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BU208">
        <v>206</v>
      </c>
      <c r="BV208" t="s">
        <v>0</v>
      </c>
      <c r="BW208" t="s">
        <v>1062</v>
      </c>
      <c r="BX208" t="s">
        <v>1030</v>
      </c>
      <c r="BY208">
        <v>3</v>
      </c>
    </row>
    <row r="209" spans="1:77" ht="12.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BU209">
        <v>207</v>
      </c>
      <c r="BV209" t="s">
        <v>3</v>
      </c>
      <c r="BW209" t="s">
        <v>942</v>
      </c>
      <c r="BX209" t="s">
        <v>109</v>
      </c>
      <c r="BY209">
        <v>3</v>
      </c>
    </row>
    <row r="210" spans="1:77" ht="12.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BU210">
        <v>208</v>
      </c>
      <c r="BV210" t="s">
        <v>1189</v>
      </c>
      <c r="BW210" t="s">
        <v>1391</v>
      </c>
      <c r="BX210" t="s">
        <v>106</v>
      </c>
      <c r="BY210">
        <v>3</v>
      </c>
    </row>
    <row r="211" spans="1:77" ht="12.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BU211">
        <v>209</v>
      </c>
      <c r="BV211" t="s">
        <v>1274</v>
      </c>
      <c r="BW211" t="s">
        <v>1392</v>
      </c>
      <c r="BX211" t="s">
        <v>1030</v>
      </c>
      <c r="BY211">
        <v>3</v>
      </c>
    </row>
    <row r="212" spans="1:77" ht="12.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BU212">
        <v>210</v>
      </c>
      <c r="BV212" t="s">
        <v>3</v>
      </c>
      <c r="BW212" t="s">
        <v>1243</v>
      </c>
      <c r="BX212" t="s">
        <v>971</v>
      </c>
      <c r="BY212">
        <v>3</v>
      </c>
    </row>
    <row r="213" spans="1:77" ht="12.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BU213">
        <v>211</v>
      </c>
      <c r="BV213" t="s">
        <v>16</v>
      </c>
      <c r="BW213" t="s">
        <v>937</v>
      </c>
      <c r="BX213" t="s">
        <v>106</v>
      </c>
      <c r="BY213">
        <v>3</v>
      </c>
    </row>
    <row r="214" spans="1:77" ht="12.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BU214">
        <v>212</v>
      </c>
      <c r="BV214" t="s">
        <v>1189</v>
      </c>
      <c r="BW214" t="s">
        <v>1393</v>
      </c>
      <c r="BX214" t="s">
        <v>190</v>
      </c>
      <c r="BY214">
        <v>3</v>
      </c>
    </row>
    <row r="215" spans="1:77" ht="12.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BU215">
        <v>213</v>
      </c>
      <c r="BV215" t="s">
        <v>794</v>
      </c>
      <c r="BW215" t="s">
        <v>1394</v>
      </c>
      <c r="BX215" t="s">
        <v>102</v>
      </c>
      <c r="BY215">
        <v>3</v>
      </c>
    </row>
    <row r="216" spans="1:77" ht="12.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BU216">
        <v>214</v>
      </c>
      <c r="BV216" t="s">
        <v>794</v>
      </c>
      <c r="BW216" t="s">
        <v>1395</v>
      </c>
      <c r="BX216" t="s">
        <v>175</v>
      </c>
      <c r="BY216">
        <v>3</v>
      </c>
    </row>
    <row r="217" spans="1:77" ht="12.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BU217">
        <v>215</v>
      </c>
      <c r="BV217" t="s">
        <v>3</v>
      </c>
      <c r="BW217" t="s">
        <v>1156</v>
      </c>
      <c r="BX217" t="s">
        <v>198</v>
      </c>
      <c r="BY217">
        <v>3</v>
      </c>
    </row>
    <row r="218" spans="1:77" ht="12.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BU218">
        <v>216</v>
      </c>
      <c r="BV218" t="s">
        <v>1200</v>
      </c>
      <c r="BW218" t="s">
        <v>1396</v>
      </c>
      <c r="BX218" t="s">
        <v>185</v>
      </c>
      <c r="BY218">
        <v>3</v>
      </c>
    </row>
    <row r="219" spans="1:77" ht="12.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BU219">
        <v>217</v>
      </c>
      <c r="BV219" t="s">
        <v>2</v>
      </c>
      <c r="BW219" t="s">
        <v>1158</v>
      </c>
      <c r="BX219" t="s">
        <v>125</v>
      </c>
      <c r="BY219">
        <v>3</v>
      </c>
    </row>
    <row r="220" spans="1:77" ht="12.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BU220">
        <v>218</v>
      </c>
      <c r="BV220" t="s">
        <v>794</v>
      </c>
      <c r="BW220" t="s">
        <v>1397</v>
      </c>
      <c r="BX220" t="s">
        <v>939</v>
      </c>
      <c r="BY220">
        <v>3</v>
      </c>
    </row>
    <row r="221" spans="1:77" ht="12.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BU221">
        <v>219</v>
      </c>
      <c r="BV221" t="s">
        <v>1267</v>
      </c>
      <c r="BW221" t="s">
        <v>131</v>
      </c>
      <c r="BX221" t="s">
        <v>132</v>
      </c>
      <c r="BY221">
        <v>3</v>
      </c>
    </row>
    <row r="222" spans="1:77" ht="12.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BU222">
        <v>220</v>
      </c>
      <c r="BV222" t="s">
        <v>794</v>
      </c>
      <c r="BW222" t="s">
        <v>1398</v>
      </c>
      <c r="BX222" t="s">
        <v>135</v>
      </c>
      <c r="BY222">
        <v>3</v>
      </c>
    </row>
    <row r="223" spans="1:77" ht="12.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BU223">
        <v>221</v>
      </c>
      <c r="BV223" t="s">
        <v>794</v>
      </c>
      <c r="BW223" t="s">
        <v>1399</v>
      </c>
      <c r="BX223" t="s">
        <v>971</v>
      </c>
      <c r="BY223">
        <v>3</v>
      </c>
    </row>
    <row r="224" spans="1:77" ht="12.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BU224">
        <v>222</v>
      </c>
      <c r="BV224" t="s">
        <v>3</v>
      </c>
      <c r="BW224" t="s">
        <v>1400</v>
      </c>
      <c r="BX224" t="s">
        <v>939</v>
      </c>
      <c r="BY224">
        <v>3</v>
      </c>
    </row>
    <row r="225" spans="1:77" ht="12.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BU225">
        <v>223</v>
      </c>
      <c r="BV225" t="s">
        <v>1200</v>
      </c>
      <c r="BW225" t="s">
        <v>1401</v>
      </c>
      <c r="BX225" t="s">
        <v>165</v>
      </c>
      <c r="BY225">
        <v>3</v>
      </c>
    </row>
    <row r="226" spans="1:77" ht="12.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BU226">
        <v>224</v>
      </c>
      <c r="BV226" t="s">
        <v>2</v>
      </c>
      <c r="BW226" t="s">
        <v>990</v>
      </c>
      <c r="BX226" t="s">
        <v>139</v>
      </c>
      <c r="BY226">
        <v>3</v>
      </c>
    </row>
    <row r="227" spans="1:77" ht="12.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BU227">
        <v>225</v>
      </c>
      <c r="BV227" t="s">
        <v>0</v>
      </c>
      <c r="BW227" t="s">
        <v>1402</v>
      </c>
      <c r="BX227" t="s">
        <v>150</v>
      </c>
      <c r="BY227">
        <v>3</v>
      </c>
    </row>
    <row r="228" spans="1:77" ht="12.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BU228">
        <v>226</v>
      </c>
      <c r="BV228" t="s">
        <v>1267</v>
      </c>
      <c r="BW228" t="s">
        <v>174</v>
      </c>
      <c r="BX228" t="s">
        <v>175</v>
      </c>
      <c r="BY228">
        <v>3</v>
      </c>
    </row>
    <row r="229" spans="1:77" ht="12.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BU229">
        <v>227</v>
      </c>
      <c r="BV229" t="s">
        <v>1200</v>
      </c>
      <c r="BW229" t="s">
        <v>1403</v>
      </c>
      <c r="BX229" t="s">
        <v>933</v>
      </c>
      <c r="BY229">
        <v>3</v>
      </c>
    </row>
    <row r="230" spans="1:77" ht="12.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BU230">
        <v>228</v>
      </c>
      <c r="BV230" t="s">
        <v>0</v>
      </c>
      <c r="BW230" t="s">
        <v>1122</v>
      </c>
      <c r="BX230" t="s">
        <v>165</v>
      </c>
      <c r="BY230">
        <v>3</v>
      </c>
    </row>
    <row r="231" spans="1:77" ht="12.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BU231">
        <v>229</v>
      </c>
      <c r="BV231" t="s">
        <v>16</v>
      </c>
      <c r="BW231" t="s">
        <v>1404</v>
      </c>
      <c r="BX231" t="s">
        <v>165</v>
      </c>
      <c r="BY231">
        <v>3</v>
      </c>
    </row>
    <row r="232" spans="1:77" ht="12.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BU232">
        <v>230</v>
      </c>
      <c r="BV232" t="s">
        <v>3</v>
      </c>
      <c r="BW232" t="s">
        <v>1090</v>
      </c>
      <c r="BX232" t="s">
        <v>190</v>
      </c>
      <c r="BY232">
        <v>3</v>
      </c>
    </row>
    <row r="233" spans="1:77" ht="12.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BU233">
        <v>231</v>
      </c>
      <c r="BV233" t="s">
        <v>1200</v>
      </c>
      <c r="BW233" t="s">
        <v>1405</v>
      </c>
      <c r="BX233" t="s">
        <v>102</v>
      </c>
      <c r="BY233">
        <v>3</v>
      </c>
    </row>
    <row r="234" spans="1:77" ht="12.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BU234">
        <v>232</v>
      </c>
      <c r="BV234" t="s">
        <v>794</v>
      </c>
      <c r="BW234" t="s">
        <v>1406</v>
      </c>
      <c r="BX234" t="s">
        <v>933</v>
      </c>
      <c r="BY234">
        <v>3</v>
      </c>
    </row>
    <row r="235" spans="1:77" ht="12.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BU235">
        <v>233</v>
      </c>
      <c r="BV235" t="s">
        <v>2</v>
      </c>
      <c r="BW235" t="s">
        <v>1057</v>
      </c>
      <c r="BX235" t="s">
        <v>939</v>
      </c>
      <c r="BY235">
        <v>3</v>
      </c>
    </row>
    <row r="236" spans="1:77" ht="12.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BU236">
        <v>234</v>
      </c>
      <c r="BV236" t="s">
        <v>1274</v>
      </c>
      <c r="BW236" t="s">
        <v>1407</v>
      </c>
      <c r="BX236" t="s">
        <v>99</v>
      </c>
      <c r="BY236">
        <v>2</v>
      </c>
    </row>
    <row r="237" spans="1:77" ht="12.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BU237">
        <v>235</v>
      </c>
      <c r="BV237" t="s">
        <v>1267</v>
      </c>
      <c r="BW237" t="s">
        <v>171</v>
      </c>
      <c r="BX237" t="s">
        <v>172</v>
      </c>
      <c r="BY237">
        <v>2</v>
      </c>
    </row>
    <row r="238" spans="1:77" ht="12.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BU238">
        <v>236</v>
      </c>
      <c r="BV238" t="s">
        <v>794</v>
      </c>
      <c r="BW238" t="s">
        <v>1408</v>
      </c>
      <c r="BX238" t="s">
        <v>1072</v>
      </c>
      <c r="BY238">
        <v>2</v>
      </c>
    </row>
    <row r="239" spans="1:77" ht="12.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BU239">
        <v>237</v>
      </c>
      <c r="BV239" t="s">
        <v>1200</v>
      </c>
      <c r="BW239" t="s">
        <v>1409</v>
      </c>
      <c r="BX239" t="s">
        <v>122</v>
      </c>
      <c r="BY239">
        <v>2</v>
      </c>
    </row>
    <row r="240" spans="1:77" ht="12.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BU240">
        <v>238</v>
      </c>
      <c r="BV240" t="s">
        <v>1200</v>
      </c>
      <c r="BW240" t="s">
        <v>1410</v>
      </c>
      <c r="BX240" t="s">
        <v>1087</v>
      </c>
      <c r="BY240">
        <v>2</v>
      </c>
    </row>
    <row r="241" spans="1:77" ht="12.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BU241">
        <v>239</v>
      </c>
      <c r="BV241" t="s">
        <v>1200</v>
      </c>
      <c r="BW241" t="s">
        <v>1411</v>
      </c>
      <c r="BX241" t="s">
        <v>915</v>
      </c>
      <c r="BY241">
        <v>2</v>
      </c>
    </row>
    <row r="242" spans="1:77" ht="12.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BU242">
        <v>240</v>
      </c>
      <c r="BV242" t="s">
        <v>1200</v>
      </c>
      <c r="BW242" t="s">
        <v>1412</v>
      </c>
      <c r="BX242" t="s">
        <v>172</v>
      </c>
      <c r="BY242">
        <v>2</v>
      </c>
    </row>
    <row r="243" spans="1:77" ht="12.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BU243">
        <v>241</v>
      </c>
      <c r="BV243" t="s">
        <v>3</v>
      </c>
      <c r="BW243" t="s">
        <v>1176</v>
      </c>
      <c r="BX243" t="s">
        <v>1030</v>
      </c>
      <c r="BY243">
        <v>2</v>
      </c>
    </row>
    <row r="244" spans="1:77" ht="12.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BU244">
        <v>242</v>
      </c>
      <c r="BV244" t="s">
        <v>1200</v>
      </c>
      <c r="BW244" t="s">
        <v>1413</v>
      </c>
      <c r="BX244" t="s">
        <v>109</v>
      </c>
      <c r="BY244">
        <v>2</v>
      </c>
    </row>
    <row r="245" spans="1:77" ht="12.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BU245">
        <v>243</v>
      </c>
      <c r="BV245" t="s">
        <v>2</v>
      </c>
      <c r="BW245" t="s">
        <v>1414</v>
      </c>
      <c r="BX245" t="s">
        <v>146</v>
      </c>
      <c r="BY245">
        <v>2</v>
      </c>
    </row>
    <row r="246" spans="1:77" ht="12.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BU246">
        <v>244</v>
      </c>
      <c r="BV246" t="s">
        <v>1415</v>
      </c>
      <c r="BW246" t="s">
        <v>1035</v>
      </c>
      <c r="BX246" t="s">
        <v>168</v>
      </c>
      <c r="BY246">
        <v>2</v>
      </c>
    </row>
    <row r="247" spans="1:77" ht="12.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BU247">
        <v>245</v>
      </c>
      <c r="BV247" t="s">
        <v>1415</v>
      </c>
      <c r="BW247" t="s">
        <v>902</v>
      </c>
      <c r="BX247" t="s">
        <v>933</v>
      </c>
      <c r="BY247">
        <v>2</v>
      </c>
    </row>
    <row r="248" spans="1:77" ht="12.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BU248">
        <v>246</v>
      </c>
      <c r="BV248" t="s">
        <v>1189</v>
      </c>
      <c r="BW248" t="s">
        <v>1416</v>
      </c>
      <c r="BX248" t="s">
        <v>112</v>
      </c>
      <c r="BY248">
        <v>2</v>
      </c>
    </row>
    <row r="249" spans="1:77" ht="12.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BU249">
        <v>247</v>
      </c>
      <c r="BV249" t="s">
        <v>2</v>
      </c>
      <c r="BW249" t="s">
        <v>1417</v>
      </c>
      <c r="BX249" t="s">
        <v>1144</v>
      </c>
      <c r="BY249">
        <v>2</v>
      </c>
    </row>
    <row r="250" spans="1:77" ht="12.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77" ht="12.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BU251" t="s">
        <v>1418</v>
      </c>
      <c r="BV251" t="s">
        <v>1418</v>
      </c>
      <c r="BW251" t="s">
        <v>1418</v>
      </c>
      <c r="BX251" t="s">
        <v>1418</v>
      </c>
      <c r="BY251" t="s">
        <v>1418</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302"/>
  <sheetViews>
    <sheetView workbookViewId="0">
      <pane ySplit="2" topLeftCell="A3" activePane="bottomLeft" state="frozen"/>
      <selection pane="bottomLeft" activeCell="A3" sqref="A3"/>
    </sheetView>
  </sheetViews>
  <sheetFormatPr baseColWidth="10" defaultColWidth="17.1640625" defaultRowHeight="12.75" customHeight="1" x14ac:dyDescent="0"/>
  <cols>
    <col min="1" max="1" width="8.83203125" customWidth="1"/>
    <col min="2" max="2" width="25.33203125" customWidth="1"/>
    <col min="3" max="3" width="8.6640625" customWidth="1"/>
    <col min="4" max="4" width="9.1640625" customWidth="1"/>
    <col min="5" max="5" width="10.6640625" customWidth="1"/>
    <col min="6" max="6" width="5.6640625" customWidth="1"/>
    <col min="7" max="7" width="2.5" customWidth="1"/>
    <col min="8" max="8" width="3" customWidth="1"/>
    <col min="9" max="9" width="5.5" customWidth="1"/>
    <col min="10" max="10" width="4.1640625" customWidth="1"/>
    <col min="11" max="11" width="2.5" customWidth="1"/>
    <col min="12" max="13" width="4.1640625" customWidth="1"/>
    <col min="14" max="14" width="2.5" customWidth="1"/>
    <col min="15" max="15" width="5" customWidth="1"/>
    <col min="16" max="16" width="5.1640625" customWidth="1"/>
    <col min="17" max="17" width="8.83203125" customWidth="1"/>
    <col min="18" max="18" width="27" customWidth="1"/>
    <col min="19" max="19" width="8.6640625" customWidth="1"/>
    <col min="20" max="20" width="9.1640625" customWidth="1"/>
    <col min="21" max="21" width="10.6640625" customWidth="1"/>
    <col min="22" max="22" width="5.6640625" customWidth="1"/>
    <col min="23" max="23" width="2.5" customWidth="1"/>
    <col min="24" max="24" width="3" customWidth="1"/>
    <col min="25" max="25" width="5.5" customWidth="1"/>
    <col min="26" max="26" width="4.5" customWidth="1"/>
    <col min="27" max="27" width="2.5" customWidth="1"/>
    <col min="28" max="29" width="4.1640625" customWidth="1"/>
    <col min="30" max="30" width="2.5" customWidth="1"/>
    <col min="31" max="31" width="5" customWidth="1"/>
    <col min="32" max="32" width="7.5" customWidth="1"/>
    <col min="33" max="33" width="8.83203125" customWidth="1"/>
    <col min="34" max="34" width="28.33203125" customWidth="1"/>
    <col min="35" max="35" width="8.6640625" customWidth="1"/>
    <col min="36" max="36" width="9.1640625" customWidth="1"/>
    <col min="37" max="37" width="10.6640625" customWidth="1"/>
    <col min="38" max="38" width="5.6640625" customWidth="1"/>
    <col min="39" max="39" width="2.5" customWidth="1"/>
    <col min="40" max="40" width="3" customWidth="1"/>
    <col min="41" max="41" width="5.5" customWidth="1"/>
    <col min="42" max="42" width="4.1640625" customWidth="1"/>
    <col min="43" max="43" width="2.5" customWidth="1"/>
    <col min="44" max="44" width="4.1640625" customWidth="1"/>
    <col min="45" max="45" width="4.5" customWidth="1"/>
    <col min="46" max="46" width="2.5" customWidth="1"/>
    <col min="47" max="47" width="5" customWidth="1"/>
    <col min="49" max="49" width="8.83203125" customWidth="1"/>
    <col min="50" max="50" width="28" customWidth="1"/>
    <col min="51" max="51" width="8.6640625" customWidth="1"/>
    <col min="52" max="52" width="9.1640625" customWidth="1"/>
    <col min="53" max="53" width="10.6640625" customWidth="1"/>
    <col min="54" max="54" width="5.6640625" customWidth="1"/>
    <col min="55" max="55" width="2.5" customWidth="1"/>
    <col min="56" max="56" width="3" customWidth="1"/>
    <col min="57" max="57" width="5.5" customWidth="1"/>
    <col min="58" max="58" width="4.1640625" customWidth="1"/>
    <col min="59" max="59" width="2.5" customWidth="1"/>
    <col min="60" max="60" width="4.1640625" customWidth="1"/>
    <col min="61" max="61" width="4.5" customWidth="1"/>
    <col min="62" max="62" width="2.5" customWidth="1"/>
    <col min="63" max="63" width="5" customWidth="1"/>
    <col min="64" max="64" width="6.83203125" customWidth="1"/>
    <col min="65" max="65" width="8.83203125" customWidth="1"/>
    <col min="66" max="66" width="20" customWidth="1"/>
    <col min="67" max="67" width="8.6640625" customWidth="1"/>
    <col min="68" max="68" width="9.1640625" customWidth="1"/>
    <col min="69" max="69" width="10.6640625" customWidth="1"/>
    <col min="70" max="70" width="5.6640625" customWidth="1"/>
    <col min="71" max="71" width="2.5" customWidth="1"/>
    <col min="72" max="72" width="3" customWidth="1"/>
    <col min="73" max="73" width="5.5" customWidth="1"/>
    <col min="74" max="74" width="4.1640625" customWidth="1"/>
    <col min="75" max="75" width="2.5" customWidth="1"/>
    <col min="76" max="77" width="4.1640625" customWidth="1"/>
    <col min="78" max="78" width="2.5" customWidth="1"/>
    <col min="79" max="79" width="3.5" customWidth="1"/>
    <col min="80" max="80" width="7.33203125" customWidth="1"/>
    <col min="81" max="81" width="8.83203125" customWidth="1"/>
    <col min="82" max="82" width="24.83203125" customWidth="1"/>
    <col min="83" max="83" width="8.6640625" customWidth="1"/>
    <col min="84" max="84" width="9.1640625" customWidth="1"/>
    <col min="85" max="85" width="10.6640625" customWidth="1"/>
    <col min="86" max="86" width="5.6640625" customWidth="1"/>
    <col min="87" max="87" width="2.5" customWidth="1"/>
    <col min="88" max="88" width="3" customWidth="1"/>
    <col min="89" max="89" width="5.5" customWidth="1"/>
    <col min="90" max="90" width="4.1640625" customWidth="1"/>
    <col min="91" max="91" width="2.5" customWidth="1"/>
    <col min="92" max="93" width="4.1640625" customWidth="1"/>
    <col min="94" max="94" width="2.5" customWidth="1"/>
    <col min="95" max="95" width="3.5" customWidth="1"/>
    <col min="97" max="97" width="19.5" customWidth="1"/>
    <col min="98" max="98" width="4.33203125" customWidth="1"/>
    <col min="99" max="99" width="23.5" customWidth="1"/>
    <col min="100" max="100" width="3.33203125" customWidth="1"/>
    <col min="101" max="101" width="8.5" customWidth="1"/>
    <col min="102" max="102" width="6.83203125" customWidth="1"/>
    <col min="104" max="104" width="19.5" customWidth="1"/>
    <col min="105" max="105" width="4.5" customWidth="1"/>
    <col min="106" max="106" width="24.6640625" customWidth="1"/>
    <col min="107" max="107" width="3.5" customWidth="1"/>
    <col min="108" max="108" width="8.83203125" customWidth="1"/>
    <col min="109" max="109" width="6.6640625" customWidth="1"/>
  </cols>
  <sheetData>
    <row r="1" spans="1:109" ht="12.75" customHeight="1">
      <c r="A1" s="33" t="s">
        <v>1419</v>
      </c>
      <c r="B1" s="33" t="s">
        <v>1420</v>
      </c>
      <c r="C1" s="33" t="s">
        <v>1421</v>
      </c>
      <c r="D1" s="33" t="s">
        <v>1422</v>
      </c>
      <c r="E1" s="33" t="s">
        <v>1423</v>
      </c>
      <c r="F1" s="33" t="s">
        <v>1424</v>
      </c>
      <c r="G1" s="33" t="s">
        <v>804</v>
      </c>
      <c r="H1" s="33" t="s">
        <v>804</v>
      </c>
      <c r="I1" s="33" t="s">
        <v>804</v>
      </c>
      <c r="J1" s="33" t="s">
        <v>804</v>
      </c>
      <c r="K1" s="33" t="s">
        <v>804</v>
      </c>
      <c r="L1" s="33" t="s">
        <v>804</v>
      </c>
      <c r="M1" s="33" t="s">
        <v>804</v>
      </c>
      <c r="N1" s="33" t="s">
        <v>804</v>
      </c>
      <c r="O1" s="33" t="s">
        <v>804</v>
      </c>
      <c r="P1" s="33"/>
      <c r="Q1" s="33" t="s">
        <v>1419</v>
      </c>
      <c r="R1" s="33" t="s">
        <v>1420</v>
      </c>
      <c r="S1" s="33" t="s">
        <v>1421</v>
      </c>
      <c r="T1" s="33" t="s">
        <v>1422</v>
      </c>
      <c r="U1" s="33" t="s">
        <v>1423</v>
      </c>
      <c r="V1" s="33" t="s">
        <v>1424</v>
      </c>
      <c r="W1" s="33" t="s">
        <v>804</v>
      </c>
      <c r="X1" s="33" t="s">
        <v>804</v>
      </c>
      <c r="Y1" s="33" t="s">
        <v>804</v>
      </c>
      <c r="Z1" s="33" t="s">
        <v>804</v>
      </c>
      <c r="AA1" s="33" t="s">
        <v>804</v>
      </c>
      <c r="AB1" s="33" t="s">
        <v>804</v>
      </c>
      <c r="AC1" s="33" t="s">
        <v>804</v>
      </c>
      <c r="AD1" s="33" t="s">
        <v>804</v>
      </c>
      <c r="AE1" s="33" t="s">
        <v>804</v>
      </c>
      <c r="AF1" s="33"/>
      <c r="AG1" s="33" t="s">
        <v>1419</v>
      </c>
      <c r="AH1" s="33" t="s">
        <v>1420</v>
      </c>
      <c r="AI1" s="33" t="s">
        <v>1421</v>
      </c>
      <c r="AJ1" s="33" t="s">
        <v>1422</v>
      </c>
      <c r="AK1" s="33" t="s">
        <v>1423</v>
      </c>
      <c r="AL1" s="33" t="s">
        <v>1424</v>
      </c>
      <c r="AM1" s="33" t="s">
        <v>804</v>
      </c>
      <c r="AN1" s="33" t="s">
        <v>804</v>
      </c>
      <c r="AO1" s="33" t="s">
        <v>804</v>
      </c>
      <c r="AP1" s="33" t="s">
        <v>804</v>
      </c>
      <c r="AQ1" s="33" t="s">
        <v>804</v>
      </c>
      <c r="AR1" s="33" t="s">
        <v>804</v>
      </c>
      <c r="AS1" s="33" t="s">
        <v>804</v>
      </c>
      <c r="AT1" s="33" t="s">
        <v>804</v>
      </c>
      <c r="AU1" s="33" t="s">
        <v>804</v>
      </c>
      <c r="AV1" s="33"/>
      <c r="AW1" s="33" t="s">
        <v>1419</v>
      </c>
      <c r="AX1" s="33" t="s">
        <v>1420</v>
      </c>
      <c r="AY1" s="33" t="s">
        <v>1421</v>
      </c>
      <c r="AZ1" s="33" t="s">
        <v>1422</v>
      </c>
      <c r="BA1" s="33" t="s">
        <v>1423</v>
      </c>
      <c r="BB1" s="33" t="s">
        <v>1424</v>
      </c>
      <c r="BC1" s="33" t="s">
        <v>804</v>
      </c>
      <c r="BD1" s="33" t="s">
        <v>804</v>
      </c>
      <c r="BE1" s="33" t="s">
        <v>804</v>
      </c>
      <c r="BF1" s="33" t="s">
        <v>804</v>
      </c>
      <c r="BG1" s="33" t="s">
        <v>804</v>
      </c>
      <c r="BH1" s="33" t="s">
        <v>804</v>
      </c>
      <c r="BI1" s="33" t="s">
        <v>804</v>
      </c>
      <c r="BJ1" s="33" t="s">
        <v>804</v>
      </c>
      <c r="BK1" s="33" t="s">
        <v>804</v>
      </c>
      <c r="BL1" s="33"/>
      <c r="BM1" s="33" t="s">
        <v>1419</v>
      </c>
      <c r="BN1" s="33" t="s">
        <v>1420</v>
      </c>
      <c r="BO1" s="33" t="s">
        <v>1421</v>
      </c>
      <c r="BP1" s="33" t="s">
        <v>1422</v>
      </c>
      <c r="BQ1" s="33" t="s">
        <v>1423</v>
      </c>
      <c r="BR1" s="33" t="s">
        <v>1424</v>
      </c>
      <c r="BS1" s="33" t="s">
        <v>804</v>
      </c>
      <c r="BT1" s="33" t="s">
        <v>804</v>
      </c>
      <c r="BU1" s="33" t="s">
        <v>804</v>
      </c>
      <c r="BV1" s="33" t="s">
        <v>804</v>
      </c>
      <c r="BW1" s="33" t="s">
        <v>804</v>
      </c>
      <c r="BX1" s="33" t="s">
        <v>804</v>
      </c>
      <c r="BY1" s="33" t="s">
        <v>804</v>
      </c>
      <c r="BZ1" s="33" t="s">
        <v>804</v>
      </c>
      <c r="CA1" s="33" t="s">
        <v>804</v>
      </c>
      <c r="CB1" s="33"/>
      <c r="CC1" s="33" t="s">
        <v>1419</v>
      </c>
      <c r="CD1" s="33" t="s">
        <v>1420</v>
      </c>
      <c r="CE1" s="33" t="s">
        <v>1421</v>
      </c>
      <c r="CF1" s="33" t="s">
        <v>1422</v>
      </c>
      <c r="CG1" s="33" t="s">
        <v>1423</v>
      </c>
      <c r="CH1" s="33" t="s">
        <v>1424</v>
      </c>
      <c r="CI1" s="33" t="s">
        <v>804</v>
      </c>
      <c r="CJ1" s="33" t="s">
        <v>804</v>
      </c>
      <c r="CK1" s="33" t="s">
        <v>804</v>
      </c>
      <c r="CL1" s="33" t="s">
        <v>804</v>
      </c>
      <c r="CM1" s="33" t="s">
        <v>804</v>
      </c>
      <c r="CN1" s="33" t="s">
        <v>804</v>
      </c>
      <c r="CO1" s="33" t="s">
        <v>804</v>
      </c>
      <c r="CP1" s="33" t="s">
        <v>804</v>
      </c>
      <c r="CQ1" s="33" t="s">
        <v>804</v>
      </c>
      <c r="CR1" s="33"/>
      <c r="CS1" s="33" t="s">
        <v>801</v>
      </c>
      <c r="CT1" s="33"/>
      <c r="CU1" s="33"/>
      <c r="CV1" s="33"/>
      <c r="CW1" s="33"/>
      <c r="CX1" s="33"/>
      <c r="CY1" s="33"/>
      <c r="CZ1" s="33" t="s">
        <v>802</v>
      </c>
      <c r="DA1" s="33"/>
      <c r="DB1" s="33"/>
      <c r="DC1" s="33"/>
      <c r="DD1" s="33"/>
      <c r="DE1" s="33"/>
    </row>
    <row r="2" spans="1:109" ht="12.75" customHeight="1">
      <c r="A2" s="33" t="s">
        <v>1425</v>
      </c>
      <c r="B2" s="33" t="s">
        <v>1426</v>
      </c>
      <c r="C2" s="33" t="s">
        <v>1427</v>
      </c>
      <c r="D2" s="33" t="s">
        <v>1428</v>
      </c>
      <c r="E2" s="33" t="s">
        <v>1429</v>
      </c>
      <c r="F2" s="33" t="s">
        <v>1430</v>
      </c>
      <c r="G2" s="33" t="s">
        <v>785</v>
      </c>
      <c r="H2" s="33" t="s">
        <v>796</v>
      </c>
      <c r="I2" s="33" t="s">
        <v>1431</v>
      </c>
      <c r="J2" s="33" t="s">
        <v>1430</v>
      </c>
      <c r="K2" s="33" t="s">
        <v>785</v>
      </c>
      <c r="L2" s="33" t="s">
        <v>1432</v>
      </c>
      <c r="M2" s="33" t="s">
        <v>1430</v>
      </c>
      <c r="N2" s="33" t="s">
        <v>785</v>
      </c>
      <c r="O2" s="33" t="s">
        <v>1433</v>
      </c>
      <c r="P2" s="33"/>
      <c r="Q2" s="33" t="s">
        <v>1425</v>
      </c>
      <c r="R2" s="33" t="s">
        <v>1426</v>
      </c>
      <c r="S2" s="33" t="s">
        <v>1427</v>
      </c>
      <c r="T2" s="33" t="s">
        <v>1428</v>
      </c>
      <c r="U2" s="33" t="s">
        <v>1429</v>
      </c>
      <c r="V2" s="33" t="s">
        <v>1430</v>
      </c>
      <c r="W2" s="33" t="s">
        <v>785</v>
      </c>
      <c r="X2" s="33" t="s">
        <v>796</v>
      </c>
      <c r="Y2" s="33" t="s">
        <v>1431</v>
      </c>
      <c r="Z2" s="33" t="s">
        <v>1430</v>
      </c>
      <c r="AA2" s="33" t="s">
        <v>785</v>
      </c>
      <c r="AB2" s="33" t="s">
        <v>1432</v>
      </c>
      <c r="AC2" s="33" t="s">
        <v>1430</v>
      </c>
      <c r="AD2" s="33" t="s">
        <v>785</v>
      </c>
      <c r="AE2" s="33" t="s">
        <v>1433</v>
      </c>
      <c r="AF2" s="33"/>
      <c r="AG2" s="33" t="s">
        <v>1425</v>
      </c>
      <c r="AH2" s="33" t="s">
        <v>1426</v>
      </c>
      <c r="AI2" s="33" t="s">
        <v>1427</v>
      </c>
      <c r="AJ2" s="33" t="s">
        <v>1428</v>
      </c>
      <c r="AK2" s="33" t="s">
        <v>1429</v>
      </c>
      <c r="AL2" s="33" t="s">
        <v>1430</v>
      </c>
      <c r="AM2" s="33" t="s">
        <v>785</v>
      </c>
      <c r="AN2" s="33" t="s">
        <v>796</v>
      </c>
      <c r="AO2" s="33" t="s">
        <v>1431</v>
      </c>
      <c r="AP2" s="33" t="s">
        <v>1430</v>
      </c>
      <c r="AQ2" s="33" t="s">
        <v>785</v>
      </c>
      <c r="AR2" s="33" t="s">
        <v>1432</v>
      </c>
      <c r="AS2" s="33" t="s">
        <v>1430</v>
      </c>
      <c r="AT2" s="33" t="s">
        <v>785</v>
      </c>
      <c r="AU2" s="33" t="s">
        <v>1433</v>
      </c>
      <c r="AV2" s="33"/>
      <c r="AW2" s="33" t="s">
        <v>1425</v>
      </c>
      <c r="AX2" s="33" t="s">
        <v>1426</v>
      </c>
      <c r="AY2" s="33" t="s">
        <v>1427</v>
      </c>
      <c r="AZ2" s="33" t="s">
        <v>1428</v>
      </c>
      <c r="BA2" s="33" t="s">
        <v>1429</v>
      </c>
      <c r="BB2" s="33" t="s">
        <v>1430</v>
      </c>
      <c r="BC2" s="33" t="s">
        <v>785</v>
      </c>
      <c r="BD2" s="33" t="s">
        <v>796</v>
      </c>
      <c r="BE2" s="33" t="s">
        <v>1431</v>
      </c>
      <c r="BF2" s="33" t="s">
        <v>1430</v>
      </c>
      <c r="BG2" s="33" t="s">
        <v>785</v>
      </c>
      <c r="BH2" s="33" t="s">
        <v>1432</v>
      </c>
      <c r="BI2" s="33" t="s">
        <v>1430</v>
      </c>
      <c r="BJ2" s="33" t="s">
        <v>785</v>
      </c>
      <c r="BK2" s="33" t="s">
        <v>1433</v>
      </c>
      <c r="BL2" s="33"/>
      <c r="BM2" s="33" t="s">
        <v>1425</v>
      </c>
      <c r="BN2" s="33" t="s">
        <v>1426</v>
      </c>
      <c r="BO2" s="33" t="s">
        <v>1427</v>
      </c>
      <c r="BP2" s="33" t="s">
        <v>1428</v>
      </c>
      <c r="BQ2" s="33" t="s">
        <v>1429</v>
      </c>
      <c r="BR2" s="33" t="s">
        <v>1430</v>
      </c>
      <c r="BS2" s="33" t="s">
        <v>785</v>
      </c>
      <c r="BT2" s="33" t="s">
        <v>796</v>
      </c>
      <c r="BU2" s="33" t="s">
        <v>1431</v>
      </c>
      <c r="BV2" s="33" t="s">
        <v>1430</v>
      </c>
      <c r="BW2" s="33" t="s">
        <v>785</v>
      </c>
      <c r="BX2" s="33" t="s">
        <v>1432</v>
      </c>
      <c r="BY2" s="33" t="s">
        <v>1430</v>
      </c>
      <c r="BZ2" s="33" t="s">
        <v>785</v>
      </c>
      <c r="CA2" s="33" t="s">
        <v>1433</v>
      </c>
      <c r="CB2" s="33"/>
      <c r="CC2" s="33" t="s">
        <v>1425</v>
      </c>
      <c r="CD2" s="33" t="s">
        <v>1426</v>
      </c>
      <c r="CE2" s="33" t="s">
        <v>1427</v>
      </c>
      <c r="CF2" s="33" t="s">
        <v>1428</v>
      </c>
      <c r="CG2" s="33" t="s">
        <v>1429</v>
      </c>
      <c r="CH2" s="33" t="s">
        <v>1430</v>
      </c>
      <c r="CI2" s="33" t="s">
        <v>785</v>
      </c>
      <c r="CJ2" s="33" t="s">
        <v>796</v>
      </c>
      <c r="CK2" s="33" t="s">
        <v>1431</v>
      </c>
      <c r="CL2" s="33" t="s">
        <v>1430</v>
      </c>
      <c r="CM2" s="33" t="s">
        <v>785</v>
      </c>
      <c r="CN2" s="33" t="s">
        <v>1432</v>
      </c>
      <c r="CO2" s="33" t="s">
        <v>1430</v>
      </c>
      <c r="CP2" s="33" t="s">
        <v>785</v>
      </c>
      <c r="CQ2" s="33" t="s">
        <v>1433</v>
      </c>
      <c r="CR2" s="33"/>
      <c r="CS2" s="33"/>
      <c r="CT2" s="33" t="s">
        <v>33</v>
      </c>
      <c r="CU2" s="33" t="s">
        <v>6</v>
      </c>
      <c r="CV2" s="33" t="s">
        <v>8</v>
      </c>
      <c r="CW2" s="33" t="s">
        <v>1434</v>
      </c>
      <c r="CX2" s="33" t="s">
        <v>1435</v>
      </c>
      <c r="CY2" s="33"/>
      <c r="CZ2" s="33"/>
      <c r="DA2" s="33" t="s">
        <v>33</v>
      </c>
      <c r="DB2" s="33" t="s">
        <v>6</v>
      </c>
      <c r="DC2" s="33" t="s">
        <v>8</v>
      </c>
      <c r="DD2" s="33" t="s">
        <v>1434</v>
      </c>
      <c r="DE2" s="33" t="s">
        <v>1435</v>
      </c>
    </row>
    <row r="3" spans="1:109" ht="12.75" customHeight="1">
      <c r="A3" s="33">
        <v>1</v>
      </c>
      <c r="B3" s="33" t="s">
        <v>1436</v>
      </c>
      <c r="C3" s="33" t="s">
        <v>1072</v>
      </c>
      <c r="D3" s="33" t="s">
        <v>804</v>
      </c>
      <c r="E3" s="33" t="s">
        <v>1437</v>
      </c>
      <c r="F3" s="33">
        <v>5210</v>
      </c>
      <c r="G3" s="33">
        <v>48</v>
      </c>
      <c r="H3" s="33">
        <v>12</v>
      </c>
      <c r="I3" s="33">
        <v>32</v>
      </c>
      <c r="J3" s="33">
        <v>-14</v>
      </c>
      <c r="K3" s="33">
        <v>0</v>
      </c>
      <c r="L3" s="33">
        <v>0</v>
      </c>
      <c r="M3" s="33">
        <v>0</v>
      </c>
      <c r="N3" s="33">
        <v>0</v>
      </c>
      <c r="O3" s="33">
        <v>468.4</v>
      </c>
      <c r="P3" s="33"/>
      <c r="Q3" s="33">
        <v>1</v>
      </c>
      <c r="R3" s="33" t="s">
        <v>1438</v>
      </c>
      <c r="S3" s="33" t="s">
        <v>1072</v>
      </c>
      <c r="T3" s="33" t="s">
        <v>804</v>
      </c>
      <c r="U3" s="33" t="s">
        <v>1439</v>
      </c>
      <c r="V3" s="33">
        <v>0</v>
      </c>
      <c r="W3" s="33">
        <v>0</v>
      </c>
      <c r="X3" s="33">
        <v>0</v>
      </c>
      <c r="Y3" s="33">
        <v>298</v>
      </c>
      <c r="Z3" s="33">
        <v>1365</v>
      </c>
      <c r="AA3" s="33">
        <v>13</v>
      </c>
      <c r="AB3" s="33">
        <v>40</v>
      </c>
      <c r="AC3" s="33">
        <v>289</v>
      </c>
      <c r="AD3" s="33">
        <v>2</v>
      </c>
      <c r="AE3" s="33">
        <v>273</v>
      </c>
      <c r="AF3" s="33"/>
      <c r="AG3" s="33">
        <v>1</v>
      </c>
      <c r="AH3" s="33" t="s">
        <v>1440</v>
      </c>
      <c r="AI3" s="33" t="s">
        <v>1072</v>
      </c>
      <c r="AJ3" s="33" t="s">
        <v>804</v>
      </c>
      <c r="AK3" s="33" t="s">
        <v>1439</v>
      </c>
      <c r="AL3" s="33">
        <v>0</v>
      </c>
      <c r="AM3" s="33">
        <v>0</v>
      </c>
      <c r="AN3" s="33">
        <v>0</v>
      </c>
      <c r="AO3" s="33">
        <v>0</v>
      </c>
      <c r="AP3" s="33">
        <v>0</v>
      </c>
      <c r="AQ3" s="33">
        <v>0</v>
      </c>
      <c r="AR3" s="33">
        <v>94</v>
      </c>
      <c r="AS3" s="33">
        <v>1664</v>
      </c>
      <c r="AT3" s="33">
        <v>12</v>
      </c>
      <c r="AU3" s="33">
        <v>284</v>
      </c>
      <c r="AV3" s="33"/>
      <c r="AW3" s="33">
        <v>1</v>
      </c>
      <c r="AX3" s="33" t="s">
        <v>1441</v>
      </c>
      <c r="AY3" s="33" t="s">
        <v>1072</v>
      </c>
      <c r="AZ3" s="33" t="s">
        <v>804</v>
      </c>
      <c r="BA3" s="33" t="s">
        <v>1439</v>
      </c>
      <c r="BB3" s="33">
        <v>0</v>
      </c>
      <c r="BC3" s="33">
        <v>0</v>
      </c>
      <c r="BD3" s="33">
        <v>0</v>
      </c>
      <c r="BE3" s="33">
        <v>0</v>
      </c>
      <c r="BF3" s="33">
        <v>0</v>
      </c>
      <c r="BG3" s="33">
        <v>0</v>
      </c>
      <c r="BH3" s="33">
        <v>84</v>
      </c>
      <c r="BI3" s="33">
        <v>1115</v>
      </c>
      <c r="BJ3" s="33">
        <v>13</v>
      </c>
      <c r="BK3" s="33">
        <v>231.5</v>
      </c>
      <c r="BL3" s="33"/>
      <c r="BM3" s="33">
        <v>1</v>
      </c>
      <c r="BN3" s="33" t="s">
        <v>1442</v>
      </c>
      <c r="BO3" s="33" t="s">
        <v>1072</v>
      </c>
      <c r="BP3" s="33" t="s">
        <v>804</v>
      </c>
      <c r="BQ3" s="33" t="s">
        <v>1439</v>
      </c>
      <c r="BR3" s="33">
        <v>0</v>
      </c>
      <c r="BS3" s="33">
        <v>0</v>
      </c>
      <c r="BT3" s="33">
        <v>0</v>
      </c>
      <c r="BU3" s="33">
        <v>0</v>
      </c>
      <c r="BV3" s="33">
        <v>0</v>
      </c>
      <c r="BW3" s="33">
        <v>0</v>
      </c>
      <c r="BX3" s="33">
        <v>0</v>
      </c>
      <c r="BY3" s="33">
        <v>0</v>
      </c>
      <c r="BZ3" s="33">
        <v>0</v>
      </c>
      <c r="CA3" s="33">
        <v>157</v>
      </c>
      <c r="CB3" s="33"/>
      <c r="CC3" s="33">
        <v>1</v>
      </c>
      <c r="CD3" s="33" t="s">
        <v>1443</v>
      </c>
      <c r="CE3" s="33" t="s">
        <v>1072</v>
      </c>
      <c r="CF3" s="33" t="s">
        <v>804</v>
      </c>
      <c r="CG3" s="33" t="s">
        <v>1439</v>
      </c>
      <c r="CH3" s="33">
        <v>0</v>
      </c>
      <c r="CI3" s="33">
        <v>0</v>
      </c>
      <c r="CJ3" s="33">
        <v>0</v>
      </c>
      <c r="CK3" s="33">
        <v>0</v>
      </c>
      <c r="CL3" s="33">
        <v>0</v>
      </c>
      <c r="CM3" s="33">
        <v>0</v>
      </c>
      <c r="CN3" s="33">
        <v>0</v>
      </c>
      <c r="CO3" s="33">
        <v>0</v>
      </c>
      <c r="CP3" s="33">
        <v>0</v>
      </c>
      <c r="CQ3" s="33">
        <v>164</v>
      </c>
      <c r="CR3" s="33"/>
      <c r="CS3" s="33" t="str">
        <f t="shared" ref="CS3:CS66" si="0">IF(ISERROR(FIND("D/ST",CU3)),IF(ISERROR(FIND("*",CU3)),LEFT(CU3,(FIND(",",CU3)-1)),LEFT(CU3,(FIND("*",CU3)-1))),LEFT(CU3,(FIND("D/ST",CU3)-2)))</f>
        <v>Adrian Peterson</v>
      </c>
      <c r="CT3" s="33">
        <v>1</v>
      </c>
      <c r="CU3" s="33" t="s">
        <v>1444</v>
      </c>
      <c r="CV3" s="33">
        <v>10</v>
      </c>
      <c r="CW3" s="33" t="s">
        <v>207</v>
      </c>
      <c r="CX3" s="33">
        <v>59</v>
      </c>
      <c r="CY3" s="33"/>
      <c r="CZ3" s="33" t="str">
        <f t="shared" ref="CZ3:CZ66" si="1">IF(ISERROR(FIND("D/ST",DB3)),IF(ISERROR(FIND("*",DB3)),LEFT(DB3,(FIND(",",DB3)-1)),LEFT(DB3,(FIND("*",DB3)-1))),LEFT(DB3,(FIND("D/ST",DB3)-2)))</f>
        <v>Adrian Peterson</v>
      </c>
      <c r="DA3" s="33">
        <v>1</v>
      </c>
      <c r="DB3" s="33" t="s">
        <v>1444</v>
      </c>
      <c r="DC3" s="33">
        <v>10</v>
      </c>
      <c r="DD3" s="33" t="s">
        <v>207</v>
      </c>
      <c r="DE3" s="33">
        <v>60</v>
      </c>
    </row>
    <row r="4" spans="1:109" ht="12.75" customHeight="1">
      <c r="A4" s="33">
        <v>2</v>
      </c>
      <c r="B4" s="33" t="s">
        <v>1445</v>
      </c>
      <c r="C4" s="33" t="s">
        <v>1072</v>
      </c>
      <c r="D4" s="33" t="s">
        <v>804</v>
      </c>
      <c r="E4" s="33" t="s">
        <v>1446</v>
      </c>
      <c r="F4" s="33">
        <v>4378</v>
      </c>
      <c r="G4" s="33">
        <v>39</v>
      </c>
      <c r="H4" s="33">
        <v>7</v>
      </c>
      <c r="I4" s="33">
        <v>47</v>
      </c>
      <c r="J4" s="33">
        <v>225</v>
      </c>
      <c r="K4" s="33">
        <v>2</v>
      </c>
      <c r="L4" s="33">
        <v>0</v>
      </c>
      <c r="M4" s="33">
        <v>0</v>
      </c>
      <c r="N4" s="33">
        <v>0</v>
      </c>
      <c r="O4" s="33">
        <v>427.5</v>
      </c>
      <c r="P4" s="33"/>
      <c r="Q4" s="33">
        <v>2</v>
      </c>
      <c r="R4" s="33" t="s">
        <v>1447</v>
      </c>
      <c r="S4" s="33" t="s">
        <v>1072</v>
      </c>
      <c r="T4" s="33" t="s">
        <v>804</v>
      </c>
      <c r="U4" s="33" t="s">
        <v>1439</v>
      </c>
      <c r="V4" s="33">
        <v>0</v>
      </c>
      <c r="W4" s="33">
        <v>0</v>
      </c>
      <c r="X4" s="33">
        <v>0</v>
      </c>
      <c r="Y4" s="33">
        <v>294</v>
      </c>
      <c r="Z4" s="33">
        <v>1402</v>
      </c>
      <c r="AA4" s="33">
        <v>9</v>
      </c>
      <c r="AB4" s="33">
        <v>42</v>
      </c>
      <c r="AC4" s="33">
        <v>342</v>
      </c>
      <c r="AD4" s="33">
        <v>3</v>
      </c>
      <c r="AE4" s="33">
        <v>265</v>
      </c>
      <c r="AF4" s="33"/>
      <c r="AG4" s="33">
        <v>2</v>
      </c>
      <c r="AH4" s="33" t="s">
        <v>1448</v>
      </c>
      <c r="AI4" s="33" t="s">
        <v>1072</v>
      </c>
      <c r="AJ4" s="33" t="s">
        <v>804</v>
      </c>
      <c r="AK4" s="33" t="s">
        <v>1439</v>
      </c>
      <c r="AL4" s="33">
        <v>0</v>
      </c>
      <c r="AM4" s="33">
        <v>0</v>
      </c>
      <c r="AN4" s="33">
        <v>0</v>
      </c>
      <c r="AO4" s="33">
        <v>0</v>
      </c>
      <c r="AP4" s="33">
        <v>0</v>
      </c>
      <c r="AQ4" s="33">
        <v>0</v>
      </c>
      <c r="AR4" s="33">
        <v>93</v>
      </c>
      <c r="AS4" s="33">
        <v>1400</v>
      </c>
      <c r="AT4" s="33">
        <v>13</v>
      </c>
      <c r="AU4" s="33">
        <v>263.5</v>
      </c>
      <c r="AV4" s="33"/>
      <c r="AW4" s="33">
        <v>2</v>
      </c>
      <c r="AX4" s="33" t="s">
        <v>1449</v>
      </c>
      <c r="AY4" s="33" t="s">
        <v>1072</v>
      </c>
      <c r="AZ4" s="33" t="s">
        <v>804</v>
      </c>
      <c r="BA4" s="33" t="s">
        <v>1439</v>
      </c>
      <c r="BB4" s="33">
        <v>0</v>
      </c>
      <c r="BC4" s="33">
        <v>0</v>
      </c>
      <c r="BD4" s="33">
        <v>0</v>
      </c>
      <c r="BE4" s="33">
        <v>0</v>
      </c>
      <c r="BF4" s="33">
        <v>0</v>
      </c>
      <c r="BG4" s="33">
        <v>0</v>
      </c>
      <c r="BH4" s="33">
        <v>72</v>
      </c>
      <c r="BI4" s="33">
        <v>923</v>
      </c>
      <c r="BJ4" s="33">
        <v>12</v>
      </c>
      <c r="BK4" s="33">
        <v>200</v>
      </c>
      <c r="BL4" s="33"/>
      <c r="BM4" s="33">
        <v>2</v>
      </c>
      <c r="BN4" s="33" t="s">
        <v>1450</v>
      </c>
      <c r="BO4" s="33" t="s">
        <v>1072</v>
      </c>
      <c r="BP4" s="33" t="s">
        <v>804</v>
      </c>
      <c r="BQ4" s="33" t="s">
        <v>1439</v>
      </c>
      <c r="BR4" s="33">
        <v>0</v>
      </c>
      <c r="BS4" s="33">
        <v>0</v>
      </c>
      <c r="BT4" s="33">
        <v>0</v>
      </c>
      <c r="BU4" s="33">
        <v>0</v>
      </c>
      <c r="BV4" s="33">
        <v>0</v>
      </c>
      <c r="BW4" s="33">
        <v>0</v>
      </c>
      <c r="BX4" s="33">
        <v>0</v>
      </c>
      <c r="BY4" s="33">
        <v>0</v>
      </c>
      <c r="BZ4" s="33">
        <v>0</v>
      </c>
      <c r="CA4" s="33">
        <v>144</v>
      </c>
      <c r="CB4" s="33"/>
      <c r="CC4" s="33">
        <v>2</v>
      </c>
      <c r="CD4" s="33" t="s">
        <v>1451</v>
      </c>
      <c r="CE4" s="33" t="s">
        <v>1072</v>
      </c>
      <c r="CF4" s="33" t="s">
        <v>804</v>
      </c>
      <c r="CG4" s="33" t="s">
        <v>1439</v>
      </c>
      <c r="CH4" s="33">
        <v>0</v>
      </c>
      <c r="CI4" s="33">
        <v>0</v>
      </c>
      <c r="CJ4" s="33">
        <v>0</v>
      </c>
      <c r="CK4" s="33">
        <v>0</v>
      </c>
      <c r="CL4" s="33">
        <v>0</v>
      </c>
      <c r="CM4" s="33">
        <v>0</v>
      </c>
      <c r="CN4" s="33">
        <v>0</v>
      </c>
      <c r="CO4" s="33">
        <v>0</v>
      </c>
      <c r="CP4" s="33">
        <v>0</v>
      </c>
      <c r="CQ4" s="33">
        <v>157</v>
      </c>
      <c r="CR4" s="33"/>
      <c r="CS4" s="33" t="str">
        <f t="shared" si="0"/>
        <v>LeSean McCoy</v>
      </c>
      <c r="CT4" s="33">
        <v>2</v>
      </c>
      <c r="CU4" s="33" t="s">
        <v>1452</v>
      </c>
      <c r="CV4" s="33">
        <v>7</v>
      </c>
      <c r="CW4" s="33" t="s">
        <v>208</v>
      </c>
      <c r="CX4" s="33">
        <v>58</v>
      </c>
      <c r="CY4" s="33"/>
      <c r="CZ4" s="33" t="str">
        <f t="shared" si="1"/>
        <v>Jamaal Charles</v>
      </c>
      <c r="DA4" s="33">
        <v>2</v>
      </c>
      <c r="DB4" s="33" t="s">
        <v>1453</v>
      </c>
      <c r="DC4" s="33">
        <v>6</v>
      </c>
      <c r="DD4" s="33" t="s">
        <v>208</v>
      </c>
      <c r="DE4" s="33">
        <v>59</v>
      </c>
    </row>
    <row r="5" spans="1:109" ht="12.75" customHeight="1">
      <c r="A5" s="33">
        <v>3</v>
      </c>
      <c r="B5" s="33" t="s">
        <v>1454</v>
      </c>
      <c r="C5" s="33" t="s">
        <v>1072</v>
      </c>
      <c r="D5" s="33" t="s">
        <v>804</v>
      </c>
      <c r="E5" s="33" t="s">
        <v>1455</v>
      </c>
      <c r="F5" s="33">
        <v>4880</v>
      </c>
      <c r="G5" s="33">
        <v>39</v>
      </c>
      <c r="H5" s="33">
        <v>15</v>
      </c>
      <c r="I5" s="33">
        <v>27</v>
      </c>
      <c r="J5" s="33">
        <v>64</v>
      </c>
      <c r="K5" s="33">
        <v>1</v>
      </c>
      <c r="L5" s="33">
        <v>0</v>
      </c>
      <c r="M5" s="33">
        <v>0</v>
      </c>
      <c r="N5" s="33">
        <v>0</v>
      </c>
      <c r="O5" s="33">
        <v>409.2</v>
      </c>
      <c r="P5" s="33"/>
      <c r="Q5" s="33">
        <v>3</v>
      </c>
      <c r="R5" s="33" t="s">
        <v>1456</v>
      </c>
      <c r="S5" s="33" t="s">
        <v>1072</v>
      </c>
      <c r="T5" s="33" t="s">
        <v>804</v>
      </c>
      <c r="U5" s="33" t="s">
        <v>1439</v>
      </c>
      <c r="V5" s="33">
        <v>0</v>
      </c>
      <c r="W5" s="33">
        <v>0</v>
      </c>
      <c r="X5" s="33">
        <v>0</v>
      </c>
      <c r="Y5" s="33">
        <v>247</v>
      </c>
      <c r="Z5" s="33">
        <v>1260</v>
      </c>
      <c r="AA5" s="33">
        <v>7</v>
      </c>
      <c r="AB5" s="33">
        <v>64</v>
      </c>
      <c r="AC5" s="33">
        <v>587</v>
      </c>
      <c r="AD5" s="33">
        <v>4</v>
      </c>
      <c r="AE5" s="33">
        <v>279.5</v>
      </c>
      <c r="AF5" s="33"/>
      <c r="AG5" s="33">
        <v>3</v>
      </c>
      <c r="AH5" s="33" t="s">
        <v>1457</v>
      </c>
      <c r="AI5" s="33" t="s">
        <v>1072</v>
      </c>
      <c r="AJ5" s="33" t="s">
        <v>804</v>
      </c>
      <c r="AK5" s="33" t="s">
        <v>1439</v>
      </c>
      <c r="AL5" s="33">
        <v>0</v>
      </c>
      <c r="AM5" s="33">
        <v>0</v>
      </c>
      <c r="AN5" s="33">
        <v>0</v>
      </c>
      <c r="AO5" s="33">
        <v>0</v>
      </c>
      <c r="AP5" s="33">
        <v>0</v>
      </c>
      <c r="AQ5" s="33">
        <v>0</v>
      </c>
      <c r="AR5" s="33">
        <v>90</v>
      </c>
      <c r="AS5" s="33">
        <v>1336</v>
      </c>
      <c r="AT5" s="33">
        <v>11</v>
      </c>
      <c r="AU5" s="33">
        <v>244.5</v>
      </c>
      <c r="AV5" s="33"/>
      <c r="AW5" s="33">
        <v>3</v>
      </c>
      <c r="AX5" s="33" t="s">
        <v>1458</v>
      </c>
      <c r="AY5" s="33" t="s">
        <v>1072</v>
      </c>
      <c r="AZ5" s="33" t="s">
        <v>804</v>
      </c>
      <c r="BA5" s="33" t="s">
        <v>1439</v>
      </c>
      <c r="BB5" s="33">
        <v>0</v>
      </c>
      <c r="BC5" s="33">
        <v>0</v>
      </c>
      <c r="BD5" s="33">
        <v>0</v>
      </c>
      <c r="BE5" s="33">
        <v>0</v>
      </c>
      <c r="BF5" s="33">
        <v>0</v>
      </c>
      <c r="BG5" s="33">
        <v>0</v>
      </c>
      <c r="BH5" s="33">
        <v>63</v>
      </c>
      <c r="BI5" s="33">
        <v>920</v>
      </c>
      <c r="BJ5" s="33">
        <v>8</v>
      </c>
      <c r="BK5" s="33">
        <v>171.5</v>
      </c>
      <c r="BL5" s="33"/>
      <c r="BM5" s="33">
        <v>3</v>
      </c>
      <c r="BN5" s="33" t="s">
        <v>1459</v>
      </c>
      <c r="BO5" s="33" t="s">
        <v>1072</v>
      </c>
      <c r="BP5" s="33" t="s">
        <v>804</v>
      </c>
      <c r="BQ5" s="33" t="s">
        <v>1439</v>
      </c>
      <c r="BR5" s="33">
        <v>0</v>
      </c>
      <c r="BS5" s="33">
        <v>0</v>
      </c>
      <c r="BT5" s="33">
        <v>0</v>
      </c>
      <c r="BU5" s="33">
        <v>0</v>
      </c>
      <c r="BV5" s="33">
        <v>0</v>
      </c>
      <c r="BW5" s="33">
        <v>0</v>
      </c>
      <c r="BX5" s="33">
        <v>0</v>
      </c>
      <c r="BY5" s="33">
        <v>0</v>
      </c>
      <c r="BZ5" s="33">
        <v>0</v>
      </c>
      <c r="CA5" s="33">
        <v>120</v>
      </c>
      <c r="CB5" s="33"/>
      <c r="CC5" s="33">
        <v>3</v>
      </c>
      <c r="CD5" s="33" t="s">
        <v>1460</v>
      </c>
      <c r="CE5" s="33" t="s">
        <v>1072</v>
      </c>
      <c r="CF5" s="33" t="s">
        <v>804</v>
      </c>
      <c r="CG5" s="33" t="s">
        <v>1439</v>
      </c>
      <c r="CH5" s="33">
        <v>0</v>
      </c>
      <c r="CI5" s="33">
        <v>0</v>
      </c>
      <c r="CJ5" s="33">
        <v>0</v>
      </c>
      <c r="CK5" s="33">
        <v>0</v>
      </c>
      <c r="CL5" s="33">
        <v>0</v>
      </c>
      <c r="CM5" s="33">
        <v>0</v>
      </c>
      <c r="CN5" s="33">
        <v>0</v>
      </c>
      <c r="CO5" s="33">
        <v>0</v>
      </c>
      <c r="CP5" s="33">
        <v>0</v>
      </c>
      <c r="CQ5" s="33">
        <v>149</v>
      </c>
      <c r="CR5" s="33"/>
      <c r="CS5" s="33" t="str">
        <f t="shared" si="0"/>
        <v>Jamaal Charles</v>
      </c>
      <c r="CT5" s="33">
        <v>3</v>
      </c>
      <c r="CU5" s="33" t="s">
        <v>1453</v>
      </c>
      <c r="CV5" s="33">
        <v>6</v>
      </c>
      <c r="CW5" s="33" t="s">
        <v>209</v>
      </c>
      <c r="CX5" s="33">
        <v>57</v>
      </c>
      <c r="CY5" s="33"/>
      <c r="CZ5" s="33" t="str">
        <f t="shared" si="1"/>
        <v>LeSean McCoy</v>
      </c>
      <c r="DA5" s="33">
        <v>3</v>
      </c>
      <c r="DB5" s="33" t="s">
        <v>1452</v>
      </c>
      <c r="DC5" s="33">
        <v>7</v>
      </c>
      <c r="DD5" s="33" t="s">
        <v>209</v>
      </c>
      <c r="DE5" s="33">
        <v>58</v>
      </c>
    </row>
    <row r="6" spans="1:109" ht="12.75" customHeight="1">
      <c r="A6" s="33">
        <v>4</v>
      </c>
      <c r="B6" s="33" t="s">
        <v>1461</v>
      </c>
      <c r="C6" s="33" t="s">
        <v>1072</v>
      </c>
      <c r="D6" s="33" t="s">
        <v>804</v>
      </c>
      <c r="E6" s="33" t="s">
        <v>1462</v>
      </c>
      <c r="F6" s="33">
        <v>4471</v>
      </c>
      <c r="G6" s="33">
        <v>32</v>
      </c>
      <c r="H6" s="33">
        <v>18</v>
      </c>
      <c r="I6" s="33">
        <v>34</v>
      </c>
      <c r="J6" s="33">
        <v>84</v>
      </c>
      <c r="K6" s="33">
        <v>2</v>
      </c>
      <c r="L6" s="33">
        <v>0</v>
      </c>
      <c r="M6" s="33">
        <v>0</v>
      </c>
      <c r="N6" s="33">
        <v>0</v>
      </c>
      <c r="O6" s="33">
        <v>351.8</v>
      </c>
      <c r="P6" s="33"/>
      <c r="Q6" s="33">
        <v>4</v>
      </c>
      <c r="R6" s="33" t="s">
        <v>1463</v>
      </c>
      <c r="S6" s="33" t="s">
        <v>1072</v>
      </c>
      <c r="T6" s="33" t="s">
        <v>804</v>
      </c>
      <c r="U6" s="33" t="s">
        <v>1439</v>
      </c>
      <c r="V6" s="33">
        <v>0</v>
      </c>
      <c r="W6" s="33">
        <v>0</v>
      </c>
      <c r="X6" s="33">
        <v>0</v>
      </c>
      <c r="Y6" s="33">
        <v>270</v>
      </c>
      <c r="Z6" s="33">
        <v>1227</v>
      </c>
      <c r="AA6" s="33">
        <v>8</v>
      </c>
      <c r="AB6" s="33">
        <v>70</v>
      </c>
      <c r="AC6" s="33">
        <v>576</v>
      </c>
      <c r="AD6" s="33">
        <v>2</v>
      </c>
      <c r="AE6" s="33">
        <v>273</v>
      </c>
      <c r="AF6" s="33"/>
      <c r="AG6" s="33">
        <v>4</v>
      </c>
      <c r="AH6" s="33" t="s">
        <v>1464</v>
      </c>
      <c r="AI6" s="33" t="s">
        <v>1072</v>
      </c>
      <c r="AJ6" s="33" t="s">
        <v>804</v>
      </c>
      <c r="AK6" s="33" t="s">
        <v>1439</v>
      </c>
      <c r="AL6" s="33">
        <v>0</v>
      </c>
      <c r="AM6" s="33">
        <v>0</v>
      </c>
      <c r="AN6" s="33">
        <v>0</v>
      </c>
      <c r="AO6" s="33">
        <v>1</v>
      </c>
      <c r="AP6" s="33">
        <v>8</v>
      </c>
      <c r="AQ6" s="33">
        <v>0</v>
      </c>
      <c r="AR6" s="33">
        <v>100</v>
      </c>
      <c r="AS6" s="33">
        <v>1327</v>
      </c>
      <c r="AT6" s="33">
        <v>12</v>
      </c>
      <c r="AU6" s="33">
        <v>253</v>
      </c>
      <c r="AV6" s="33"/>
      <c r="AW6" s="33">
        <v>4</v>
      </c>
      <c r="AX6" s="33" t="s">
        <v>1465</v>
      </c>
      <c r="AY6" s="33" t="s">
        <v>1072</v>
      </c>
      <c r="AZ6" s="33" t="s">
        <v>804</v>
      </c>
      <c r="BA6" s="33" t="s">
        <v>1439</v>
      </c>
      <c r="BB6" s="33">
        <v>0</v>
      </c>
      <c r="BC6" s="33">
        <v>0</v>
      </c>
      <c r="BD6" s="33">
        <v>0</v>
      </c>
      <c r="BE6" s="33">
        <v>0</v>
      </c>
      <c r="BF6" s="33">
        <v>0</v>
      </c>
      <c r="BG6" s="33">
        <v>0</v>
      </c>
      <c r="BH6" s="33">
        <v>56</v>
      </c>
      <c r="BI6" s="33">
        <v>835</v>
      </c>
      <c r="BJ6" s="33">
        <v>11</v>
      </c>
      <c r="BK6" s="33">
        <v>168.5</v>
      </c>
      <c r="BL6" s="33"/>
      <c r="BM6" s="33">
        <v>4</v>
      </c>
      <c r="BN6" s="33" t="s">
        <v>1466</v>
      </c>
      <c r="BO6" s="33" t="s">
        <v>1072</v>
      </c>
      <c r="BP6" s="33" t="s">
        <v>804</v>
      </c>
      <c r="BQ6" s="33" t="s">
        <v>1439</v>
      </c>
      <c r="BR6" s="33">
        <v>0</v>
      </c>
      <c r="BS6" s="33">
        <v>0</v>
      </c>
      <c r="BT6" s="33">
        <v>0</v>
      </c>
      <c r="BU6" s="33">
        <v>0</v>
      </c>
      <c r="BV6" s="33">
        <v>0</v>
      </c>
      <c r="BW6" s="33">
        <v>0</v>
      </c>
      <c r="BX6" s="33">
        <v>0</v>
      </c>
      <c r="BY6" s="33">
        <v>0</v>
      </c>
      <c r="BZ6" s="33">
        <v>0</v>
      </c>
      <c r="CA6" s="33">
        <v>114</v>
      </c>
      <c r="CB6" s="33"/>
      <c r="CC6" s="33">
        <v>4</v>
      </c>
      <c r="CD6" s="33" t="s">
        <v>1467</v>
      </c>
      <c r="CE6" s="33" t="s">
        <v>1072</v>
      </c>
      <c r="CF6" s="33" t="s">
        <v>804</v>
      </c>
      <c r="CG6" s="33" t="s">
        <v>1439</v>
      </c>
      <c r="CH6" s="33">
        <v>0</v>
      </c>
      <c r="CI6" s="33">
        <v>0</v>
      </c>
      <c r="CJ6" s="33">
        <v>0</v>
      </c>
      <c r="CK6" s="33">
        <v>0</v>
      </c>
      <c r="CL6" s="33">
        <v>0</v>
      </c>
      <c r="CM6" s="33">
        <v>0</v>
      </c>
      <c r="CN6" s="33">
        <v>0</v>
      </c>
      <c r="CO6" s="33">
        <v>0</v>
      </c>
      <c r="CP6" s="33">
        <v>0</v>
      </c>
      <c r="CQ6" s="33">
        <v>147</v>
      </c>
      <c r="CR6" s="33"/>
      <c r="CS6" s="33" t="str">
        <f t="shared" si="0"/>
        <v>Matt Forte</v>
      </c>
      <c r="CT6" s="33">
        <v>4</v>
      </c>
      <c r="CU6" s="33" t="s">
        <v>1468</v>
      </c>
      <c r="CV6" s="33">
        <v>9</v>
      </c>
      <c r="CW6" s="33" t="s">
        <v>210</v>
      </c>
      <c r="CX6" s="33">
        <v>54</v>
      </c>
      <c r="CY6" s="33"/>
      <c r="CZ6" s="33" t="str">
        <f t="shared" si="1"/>
        <v>Matt Forte</v>
      </c>
      <c r="DA6" s="33">
        <v>4</v>
      </c>
      <c r="DB6" s="33" t="s">
        <v>1468</v>
      </c>
      <c r="DC6" s="33">
        <v>9</v>
      </c>
      <c r="DD6" s="33" t="s">
        <v>210</v>
      </c>
      <c r="DE6" s="33">
        <v>55</v>
      </c>
    </row>
    <row r="7" spans="1:109" ht="12.75" customHeight="1">
      <c r="A7" s="33">
        <v>5</v>
      </c>
      <c r="B7" s="33" t="s">
        <v>1469</v>
      </c>
      <c r="C7" s="33" t="s">
        <v>1072</v>
      </c>
      <c r="D7" s="33" t="s">
        <v>804</v>
      </c>
      <c r="E7" s="33" t="s">
        <v>1470</v>
      </c>
      <c r="F7" s="33">
        <v>3365</v>
      </c>
      <c r="G7" s="33">
        <v>20</v>
      </c>
      <c r="H7" s="33">
        <v>15</v>
      </c>
      <c r="I7" s="33">
        <v>118</v>
      </c>
      <c r="J7" s="33">
        <v>637</v>
      </c>
      <c r="K7" s="33">
        <v>8</v>
      </c>
      <c r="L7" s="33">
        <v>0</v>
      </c>
      <c r="M7" s="33">
        <v>0</v>
      </c>
      <c r="N7" s="33">
        <v>0</v>
      </c>
      <c r="O7" s="33">
        <v>333.1</v>
      </c>
      <c r="P7" s="33"/>
      <c r="Q7" s="33">
        <v>5</v>
      </c>
      <c r="R7" s="33" t="s">
        <v>1471</v>
      </c>
      <c r="S7" s="33" t="s">
        <v>1072</v>
      </c>
      <c r="T7" s="33" t="s">
        <v>804</v>
      </c>
      <c r="U7" s="33" t="s">
        <v>1439</v>
      </c>
      <c r="V7" s="33">
        <v>0</v>
      </c>
      <c r="W7" s="33">
        <v>0</v>
      </c>
      <c r="X7" s="33">
        <v>0</v>
      </c>
      <c r="Y7" s="33">
        <v>303</v>
      </c>
      <c r="Z7" s="33">
        <v>1285</v>
      </c>
      <c r="AA7" s="33">
        <v>12</v>
      </c>
      <c r="AB7" s="33">
        <v>33</v>
      </c>
      <c r="AC7" s="33">
        <v>279</v>
      </c>
      <c r="AD7" s="33">
        <v>1</v>
      </c>
      <c r="AE7" s="33">
        <v>248.5</v>
      </c>
      <c r="AF7" s="33"/>
      <c r="AG7" s="33">
        <v>5</v>
      </c>
      <c r="AH7" s="33" t="s">
        <v>1472</v>
      </c>
      <c r="AI7" s="33" t="s">
        <v>1072</v>
      </c>
      <c r="AJ7" s="33" t="s">
        <v>804</v>
      </c>
      <c r="AK7" s="33" t="s">
        <v>1439</v>
      </c>
      <c r="AL7" s="33">
        <v>0</v>
      </c>
      <c r="AM7" s="33">
        <v>0</v>
      </c>
      <c r="AN7" s="33">
        <v>0</v>
      </c>
      <c r="AO7" s="33">
        <v>0</v>
      </c>
      <c r="AP7" s="33">
        <v>0</v>
      </c>
      <c r="AQ7" s="33">
        <v>0</v>
      </c>
      <c r="AR7" s="33">
        <v>95</v>
      </c>
      <c r="AS7" s="33">
        <v>1230</v>
      </c>
      <c r="AT7" s="33">
        <v>12</v>
      </c>
      <c r="AU7" s="33">
        <v>242.5</v>
      </c>
      <c r="AV7" s="33"/>
      <c r="AW7" s="33">
        <v>5</v>
      </c>
      <c r="AX7" s="33" t="s">
        <v>1473</v>
      </c>
      <c r="AY7" s="33" t="s">
        <v>1072</v>
      </c>
      <c r="AZ7" s="33" t="s">
        <v>804</v>
      </c>
      <c r="BA7" s="33" t="s">
        <v>1439</v>
      </c>
      <c r="BB7" s="33">
        <v>0</v>
      </c>
      <c r="BC7" s="33">
        <v>0</v>
      </c>
      <c r="BD7" s="33">
        <v>0</v>
      </c>
      <c r="BE7" s="33">
        <v>0</v>
      </c>
      <c r="BF7" s="33">
        <v>0</v>
      </c>
      <c r="BG7" s="33">
        <v>0</v>
      </c>
      <c r="BH7" s="33">
        <v>74</v>
      </c>
      <c r="BI7" s="33">
        <v>818</v>
      </c>
      <c r="BJ7" s="33">
        <v>7</v>
      </c>
      <c r="BK7" s="33">
        <v>160.5</v>
      </c>
      <c r="BL7" s="33"/>
      <c r="BM7" s="33">
        <v>5</v>
      </c>
      <c r="BN7" s="33" t="s">
        <v>1474</v>
      </c>
      <c r="BO7" s="33" t="s">
        <v>1072</v>
      </c>
      <c r="BP7" s="33" t="s">
        <v>804</v>
      </c>
      <c r="BQ7" s="33" t="s">
        <v>1439</v>
      </c>
      <c r="BR7" s="33">
        <v>0</v>
      </c>
      <c r="BS7" s="33">
        <v>0</v>
      </c>
      <c r="BT7" s="33">
        <v>0</v>
      </c>
      <c r="BU7" s="33">
        <v>0</v>
      </c>
      <c r="BV7" s="33">
        <v>0</v>
      </c>
      <c r="BW7" s="33">
        <v>0</v>
      </c>
      <c r="BX7" s="33">
        <v>0</v>
      </c>
      <c r="BY7" s="33">
        <v>0</v>
      </c>
      <c r="BZ7" s="33">
        <v>0</v>
      </c>
      <c r="CA7" s="33">
        <v>126</v>
      </c>
      <c r="CB7" s="33"/>
      <c r="CC7" s="33">
        <v>5</v>
      </c>
      <c r="CD7" s="33" t="s">
        <v>1475</v>
      </c>
      <c r="CE7" s="33" t="s">
        <v>1072</v>
      </c>
      <c r="CF7" s="33" t="s">
        <v>804</v>
      </c>
      <c r="CG7" s="33" t="s">
        <v>1439</v>
      </c>
      <c r="CH7" s="33">
        <v>0</v>
      </c>
      <c r="CI7" s="33">
        <v>0</v>
      </c>
      <c r="CJ7" s="33">
        <v>0</v>
      </c>
      <c r="CK7" s="33">
        <v>0</v>
      </c>
      <c r="CL7" s="33">
        <v>0</v>
      </c>
      <c r="CM7" s="33">
        <v>0</v>
      </c>
      <c r="CN7" s="33">
        <v>0</v>
      </c>
      <c r="CO7" s="33">
        <v>0</v>
      </c>
      <c r="CP7" s="33">
        <v>0</v>
      </c>
      <c r="CQ7" s="33">
        <v>144</v>
      </c>
      <c r="CR7" s="33"/>
      <c r="CS7" s="33" t="str">
        <f t="shared" si="0"/>
        <v>Marshawn Lynch</v>
      </c>
      <c r="CT7" s="33">
        <v>5</v>
      </c>
      <c r="CU7" s="33" t="s">
        <v>1476</v>
      </c>
      <c r="CV7" s="33">
        <v>4</v>
      </c>
      <c r="CW7" s="33" t="s">
        <v>211</v>
      </c>
      <c r="CX7" s="33">
        <v>53</v>
      </c>
      <c r="CY7" s="33"/>
      <c r="CZ7" s="33" t="str">
        <f t="shared" si="1"/>
        <v>Marshawn Lynch</v>
      </c>
      <c r="DA7" s="33">
        <v>5</v>
      </c>
      <c r="DB7" s="33" t="s">
        <v>1476</v>
      </c>
      <c r="DC7" s="33">
        <v>4</v>
      </c>
      <c r="DD7" s="33" t="s">
        <v>211</v>
      </c>
      <c r="DE7" s="33">
        <v>54</v>
      </c>
    </row>
    <row r="8" spans="1:109" ht="12.75" customHeight="1">
      <c r="A8" s="33">
        <v>6</v>
      </c>
      <c r="B8" s="33" t="s">
        <v>1477</v>
      </c>
      <c r="C8" s="33" t="s">
        <v>1072</v>
      </c>
      <c r="D8" s="33" t="s">
        <v>804</v>
      </c>
      <c r="E8" s="33" t="s">
        <v>1478</v>
      </c>
      <c r="F8" s="33">
        <v>4071</v>
      </c>
      <c r="G8" s="33">
        <v>23</v>
      </c>
      <c r="H8" s="33">
        <v>10</v>
      </c>
      <c r="I8" s="33">
        <v>63</v>
      </c>
      <c r="J8" s="33">
        <v>365</v>
      </c>
      <c r="K8" s="33">
        <v>3</v>
      </c>
      <c r="L8" s="33">
        <v>0</v>
      </c>
      <c r="M8" s="33">
        <v>0</v>
      </c>
      <c r="N8" s="33">
        <v>0</v>
      </c>
      <c r="O8" s="33">
        <v>332.3</v>
      </c>
      <c r="P8" s="33"/>
      <c r="Q8" s="33">
        <v>6</v>
      </c>
      <c r="R8" s="33" t="s">
        <v>1479</v>
      </c>
      <c r="S8" s="33" t="s">
        <v>1072</v>
      </c>
      <c r="T8" s="33" t="s">
        <v>804</v>
      </c>
      <c r="U8" s="33" t="s">
        <v>1439</v>
      </c>
      <c r="V8" s="33">
        <v>0</v>
      </c>
      <c r="W8" s="33">
        <v>0</v>
      </c>
      <c r="X8" s="33">
        <v>0</v>
      </c>
      <c r="Y8" s="33">
        <v>288</v>
      </c>
      <c r="Z8" s="33">
        <v>1220</v>
      </c>
      <c r="AA8" s="33">
        <v>10</v>
      </c>
      <c r="AB8" s="33">
        <v>42</v>
      </c>
      <c r="AC8" s="33">
        <v>301</v>
      </c>
      <c r="AD8" s="33">
        <v>1</v>
      </c>
      <c r="AE8" s="33">
        <v>237</v>
      </c>
      <c r="AF8" s="33"/>
      <c r="AG8" s="33">
        <v>6</v>
      </c>
      <c r="AH8" s="33" t="s">
        <v>1480</v>
      </c>
      <c r="AI8" s="33" t="s">
        <v>1072</v>
      </c>
      <c r="AJ8" s="33" t="s">
        <v>804</v>
      </c>
      <c r="AK8" s="33" t="s">
        <v>1439</v>
      </c>
      <c r="AL8" s="33">
        <v>0</v>
      </c>
      <c r="AM8" s="33">
        <v>0</v>
      </c>
      <c r="AN8" s="33">
        <v>0</v>
      </c>
      <c r="AO8" s="33">
        <v>1</v>
      </c>
      <c r="AP8" s="33">
        <v>19</v>
      </c>
      <c r="AQ8" s="33">
        <v>0</v>
      </c>
      <c r="AR8" s="33">
        <v>97</v>
      </c>
      <c r="AS8" s="33">
        <v>1387</v>
      </c>
      <c r="AT8" s="33">
        <v>9</v>
      </c>
      <c r="AU8" s="33">
        <v>241.5</v>
      </c>
      <c r="AV8" s="33"/>
      <c r="AW8" s="33">
        <v>6</v>
      </c>
      <c r="AX8" s="33" t="s">
        <v>1481</v>
      </c>
      <c r="AY8" s="33" t="s">
        <v>1072</v>
      </c>
      <c r="AZ8" s="33" t="s">
        <v>804</v>
      </c>
      <c r="BA8" s="33" t="s">
        <v>1439</v>
      </c>
      <c r="BB8" s="33">
        <v>0</v>
      </c>
      <c r="BC8" s="33">
        <v>0</v>
      </c>
      <c r="BD8" s="33">
        <v>0</v>
      </c>
      <c r="BE8" s="33">
        <v>0</v>
      </c>
      <c r="BF8" s="33">
        <v>0</v>
      </c>
      <c r="BG8" s="33">
        <v>0</v>
      </c>
      <c r="BH8" s="33">
        <v>74</v>
      </c>
      <c r="BI8" s="33">
        <v>879</v>
      </c>
      <c r="BJ8" s="33">
        <v>7</v>
      </c>
      <c r="BK8" s="33">
        <v>166.5</v>
      </c>
      <c r="BL8" s="33"/>
      <c r="BM8" s="33">
        <v>6</v>
      </c>
      <c r="BN8" s="33" t="s">
        <v>1482</v>
      </c>
      <c r="BO8" s="33" t="s">
        <v>1072</v>
      </c>
      <c r="BP8" s="33" t="s">
        <v>804</v>
      </c>
      <c r="BQ8" s="33" t="s">
        <v>1439</v>
      </c>
      <c r="BR8" s="33">
        <v>0</v>
      </c>
      <c r="BS8" s="33">
        <v>0</v>
      </c>
      <c r="BT8" s="33">
        <v>0</v>
      </c>
      <c r="BU8" s="33">
        <v>0</v>
      </c>
      <c r="BV8" s="33">
        <v>0</v>
      </c>
      <c r="BW8" s="33">
        <v>0</v>
      </c>
      <c r="BX8" s="33">
        <v>0</v>
      </c>
      <c r="BY8" s="33">
        <v>0</v>
      </c>
      <c r="BZ8" s="33">
        <v>0</v>
      </c>
      <c r="CA8" s="33">
        <v>114</v>
      </c>
      <c r="CB8" s="33"/>
      <c r="CC8" s="33">
        <v>6</v>
      </c>
      <c r="CD8" s="33" t="s">
        <v>1483</v>
      </c>
      <c r="CE8" s="33" t="s">
        <v>1072</v>
      </c>
      <c r="CF8" s="33" t="s">
        <v>804</v>
      </c>
      <c r="CG8" s="33" t="s">
        <v>1439</v>
      </c>
      <c r="CH8" s="33">
        <v>0</v>
      </c>
      <c r="CI8" s="33">
        <v>0</v>
      </c>
      <c r="CJ8" s="33">
        <v>0</v>
      </c>
      <c r="CK8" s="33">
        <v>0</v>
      </c>
      <c r="CL8" s="33">
        <v>0</v>
      </c>
      <c r="CM8" s="33">
        <v>0</v>
      </c>
      <c r="CN8" s="33">
        <v>0</v>
      </c>
      <c r="CO8" s="33">
        <v>0</v>
      </c>
      <c r="CP8" s="33">
        <v>0</v>
      </c>
      <c r="CQ8" s="33">
        <v>143</v>
      </c>
      <c r="CR8" s="33"/>
      <c r="CS8" s="33" t="str">
        <f t="shared" si="0"/>
        <v>Eddie Lacy</v>
      </c>
      <c r="CT8" s="33">
        <v>6</v>
      </c>
      <c r="CU8" s="33" t="s">
        <v>1484</v>
      </c>
      <c r="CV8" s="33">
        <v>9</v>
      </c>
      <c r="CW8" s="33" t="s">
        <v>212</v>
      </c>
      <c r="CX8" s="33">
        <v>52</v>
      </c>
      <c r="CY8" s="33"/>
      <c r="CZ8" s="33" t="str">
        <f t="shared" si="1"/>
        <v>Eddie Lacy</v>
      </c>
      <c r="DA8" s="33">
        <v>6</v>
      </c>
      <c r="DB8" s="33" t="s">
        <v>1484</v>
      </c>
      <c r="DC8" s="33">
        <v>9</v>
      </c>
      <c r="DD8" s="33" t="s">
        <v>212</v>
      </c>
      <c r="DE8" s="33">
        <v>53</v>
      </c>
    </row>
    <row r="9" spans="1:109" ht="12.75" customHeight="1">
      <c r="A9" s="33">
        <v>7</v>
      </c>
      <c r="B9" s="33" t="s">
        <v>1485</v>
      </c>
      <c r="C9" s="33" t="s">
        <v>1072</v>
      </c>
      <c r="D9" s="33" t="s">
        <v>804</v>
      </c>
      <c r="E9" s="33" t="s">
        <v>1486</v>
      </c>
      <c r="F9" s="33">
        <v>3789</v>
      </c>
      <c r="G9" s="33">
        <v>22</v>
      </c>
      <c r="H9" s="33">
        <v>13</v>
      </c>
      <c r="I9" s="33">
        <v>101</v>
      </c>
      <c r="J9" s="33">
        <v>563</v>
      </c>
      <c r="K9" s="33">
        <v>4</v>
      </c>
      <c r="L9" s="33">
        <v>0</v>
      </c>
      <c r="M9" s="33">
        <v>0</v>
      </c>
      <c r="N9" s="33">
        <v>0</v>
      </c>
      <c r="O9" s="33">
        <v>333.4</v>
      </c>
      <c r="P9" s="33"/>
      <c r="Q9" s="33">
        <v>7</v>
      </c>
      <c r="R9" s="33" t="s">
        <v>1487</v>
      </c>
      <c r="S9" s="33" t="s">
        <v>1072</v>
      </c>
      <c r="T9" s="33" t="s">
        <v>804</v>
      </c>
      <c r="U9" s="33" t="s">
        <v>1439</v>
      </c>
      <c r="V9" s="33">
        <v>0</v>
      </c>
      <c r="W9" s="33">
        <v>0</v>
      </c>
      <c r="X9" s="33">
        <v>0</v>
      </c>
      <c r="Y9" s="33">
        <v>220</v>
      </c>
      <c r="Z9" s="33">
        <v>1034</v>
      </c>
      <c r="AA9" s="33">
        <v>8</v>
      </c>
      <c r="AB9" s="33">
        <v>37</v>
      </c>
      <c r="AC9" s="33">
        <v>307</v>
      </c>
      <c r="AD9" s="33">
        <v>1</v>
      </c>
      <c r="AE9" s="33">
        <v>204</v>
      </c>
      <c r="AF9" s="33"/>
      <c r="AG9" s="33">
        <v>7</v>
      </c>
      <c r="AH9" s="33" t="s">
        <v>1488</v>
      </c>
      <c r="AI9" s="33" t="s">
        <v>1072</v>
      </c>
      <c r="AJ9" s="33" t="s">
        <v>804</v>
      </c>
      <c r="AK9" s="33" t="s">
        <v>1439</v>
      </c>
      <c r="AL9" s="33">
        <v>0</v>
      </c>
      <c r="AM9" s="33">
        <v>0</v>
      </c>
      <c r="AN9" s="33">
        <v>0</v>
      </c>
      <c r="AO9" s="33">
        <v>0</v>
      </c>
      <c r="AP9" s="33">
        <v>0</v>
      </c>
      <c r="AQ9" s="33">
        <v>0</v>
      </c>
      <c r="AR9" s="33">
        <v>82</v>
      </c>
      <c r="AS9" s="33">
        <v>1286</v>
      </c>
      <c r="AT9" s="33">
        <v>10</v>
      </c>
      <c r="AU9" s="33">
        <v>229.5</v>
      </c>
      <c r="AV9" s="33"/>
      <c r="AW9" s="33">
        <v>7</v>
      </c>
      <c r="AX9" s="33" t="s">
        <v>1489</v>
      </c>
      <c r="AY9" s="33" t="s">
        <v>1072</v>
      </c>
      <c r="AZ9" s="33" t="s">
        <v>804</v>
      </c>
      <c r="BA9" s="33" t="s">
        <v>1439</v>
      </c>
      <c r="BB9" s="33">
        <v>0</v>
      </c>
      <c r="BC9" s="33">
        <v>0</v>
      </c>
      <c r="BD9" s="33">
        <v>0</v>
      </c>
      <c r="BE9" s="33">
        <v>0</v>
      </c>
      <c r="BF9" s="33">
        <v>0</v>
      </c>
      <c r="BG9" s="33">
        <v>0</v>
      </c>
      <c r="BH9" s="33">
        <v>70</v>
      </c>
      <c r="BI9" s="33">
        <v>842</v>
      </c>
      <c r="BJ9" s="33">
        <v>5</v>
      </c>
      <c r="BK9" s="33">
        <v>149</v>
      </c>
      <c r="BL9" s="33"/>
      <c r="BM9" s="33">
        <v>7</v>
      </c>
      <c r="BN9" s="33" t="s">
        <v>1490</v>
      </c>
      <c r="BO9" s="33" t="s">
        <v>1072</v>
      </c>
      <c r="BP9" s="33" t="s">
        <v>804</v>
      </c>
      <c r="BQ9" s="33" t="s">
        <v>1439</v>
      </c>
      <c r="BR9" s="33">
        <v>0</v>
      </c>
      <c r="BS9" s="33">
        <v>0</v>
      </c>
      <c r="BT9" s="33">
        <v>0</v>
      </c>
      <c r="BU9" s="33">
        <v>0</v>
      </c>
      <c r="BV9" s="33">
        <v>0</v>
      </c>
      <c r="BW9" s="33">
        <v>0</v>
      </c>
      <c r="BX9" s="33">
        <v>0</v>
      </c>
      <c r="BY9" s="33">
        <v>0</v>
      </c>
      <c r="BZ9" s="33">
        <v>0</v>
      </c>
      <c r="CA9" s="33">
        <v>111</v>
      </c>
      <c r="CB9" s="33"/>
      <c r="CC9" s="33">
        <v>7</v>
      </c>
      <c r="CD9" s="33" t="s">
        <v>1491</v>
      </c>
      <c r="CE9" s="33" t="s">
        <v>1072</v>
      </c>
      <c r="CF9" s="33" t="s">
        <v>804</v>
      </c>
      <c r="CG9" s="33" t="s">
        <v>1439</v>
      </c>
      <c r="CH9" s="33">
        <v>0</v>
      </c>
      <c r="CI9" s="33">
        <v>0</v>
      </c>
      <c r="CJ9" s="33">
        <v>0</v>
      </c>
      <c r="CK9" s="33">
        <v>0</v>
      </c>
      <c r="CL9" s="33">
        <v>0</v>
      </c>
      <c r="CM9" s="33">
        <v>0</v>
      </c>
      <c r="CN9" s="33">
        <v>0</v>
      </c>
      <c r="CO9" s="33">
        <v>0</v>
      </c>
      <c r="CP9" s="33">
        <v>0</v>
      </c>
      <c r="CQ9" s="33">
        <v>143</v>
      </c>
      <c r="CR9" s="33"/>
      <c r="CS9" s="33" t="str">
        <f t="shared" si="0"/>
        <v>Calvin Johnson</v>
      </c>
      <c r="CT9" s="33">
        <v>7</v>
      </c>
      <c r="CU9" s="33" t="s">
        <v>1492</v>
      </c>
      <c r="CV9" s="33">
        <v>9</v>
      </c>
      <c r="CW9" s="33" t="s">
        <v>215</v>
      </c>
      <c r="CX9" s="33">
        <v>51</v>
      </c>
      <c r="CY9" s="33"/>
      <c r="CZ9" s="33" t="str">
        <f t="shared" si="1"/>
        <v>Calvin Johnson</v>
      </c>
      <c r="DA9" s="33">
        <v>7</v>
      </c>
      <c r="DB9" s="33" t="s">
        <v>1492</v>
      </c>
      <c r="DC9" s="33">
        <v>9</v>
      </c>
      <c r="DD9" s="33" t="s">
        <v>215</v>
      </c>
      <c r="DE9" s="33">
        <v>52</v>
      </c>
    </row>
    <row r="10" spans="1:109" ht="12.75" customHeight="1">
      <c r="A10" s="33">
        <v>8</v>
      </c>
      <c r="B10" s="33" t="s">
        <v>1493</v>
      </c>
      <c r="C10" s="33" t="s">
        <v>1072</v>
      </c>
      <c r="D10" s="33" t="s">
        <v>804</v>
      </c>
      <c r="E10" s="33" t="s">
        <v>1494</v>
      </c>
      <c r="F10" s="33">
        <v>3969</v>
      </c>
      <c r="G10" s="33">
        <v>26</v>
      </c>
      <c r="H10" s="33">
        <v>11</v>
      </c>
      <c r="I10" s="33">
        <v>70</v>
      </c>
      <c r="J10" s="33">
        <v>273</v>
      </c>
      <c r="K10" s="33">
        <v>3</v>
      </c>
      <c r="L10" s="33">
        <v>0</v>
      </c>
      <c r="M10" s="33">
        <v>0</v>
      </c>
      <c r="N10" s="33">
        <v>0</v>
      </c>
      <c r="O10" s="33">
        <v>333.6</v>
      </c>
      <c r="P10" s="33"/>
      <c r="Q10" s="33">
        <v>8</v>
      </c>
      <c r="R10" s="33" t="s">
        <v>1495</v>
      </c>
      <c r="S10" s="33" t="s">
        <v>1072</v>
      </c>
      <c r="T10" s="33" t="s">
        <v>804</v>
      </c>
      <c r="U10" s="33" t="s">
        <v>1439</v>
      </c>
      <c r="V10" s="33">
        <v>0</v>
      </c>
      <c r="W10" s="33">
        <v>0</v>
      </c>
      <c r="X10" s="33">
        <v>0</v>
      </c>
      <c r="Y10" s="33">
        <v>296</v>
      </c>
      <c r="Z10" s="33">
        <v>1192</v>
      </c>
      <c r="AA10" s="33">
        <v>8</v>
      </c>
      <c r="AB10" s="33">
        <v>43</v>
      </c>
      <c r="AC10" s="33">
        <v>316</v>
      </c>
      <c r="AD10" s="33">
        <v>1</v>
      </c>
      <c r="AE10" s="33">
        <v>224</v>
      </c>
      <c r="AF10" s="33"/>
      <c r="AG10" s="33">
        <v>8</v>
      </c>
      <c r="AH10" s="33" t="s">
        <v>1496</v>
      </c>
      <c r="AI10" s="33" t="s">
        <v>1072</v>
      </c>
      <c r="AJ10" s="33" t="s">
        <v>804</v>
      </c>
      <c r="AK10" s="33" t="s">
        <v>1439</v>
      </c>
      <c r="AL10" s="33">
        <v>0</v>
      </c>
      <c r="AM10" s="33">
        <v>0</v>
      </c>
      <c r="AN10" s="33">
        <v>0</v>
      </c>
      <c r="AO10" s="33">
        <v>14</v>
      </c>
      <c r="AP10" s="33">
        <v>85</v>
      </c>
      <c r="AQ10" s="33">
        <v>1</v>
      </c>
      <c r="AR10" s="33">
        <v>85</v>
      </c>
      <c r="AS10" s="33">
        <v>1284</v>
      </c>
      <c r="AT10" s="33">
        <v>8</v>
      </c>
      <c r="AU10" s="33">
        <v>232</v>
      </c>
      <c r="AV10" s="33"/>
      <c r="AW10" s="33">
        <v>8</v>
      </c>
      <c r="AX10" s="33" t="s">
        <v>1497</v>
      </c>
      <c r="AY10" s="33" t="s">
        <v>1072</v>
      </c>
      <c r="AZ10" s="33" t="s">
        <v>804</v>
      </c>
      <c r="BA10" s="33" t="s">
        <v>1439</v>
      </c>
      <c r="BB10" s="33">
        <v>0</v>
      </c>
      <c r="BC10" s="33">
        <v>0</v>
      </c>
      <c r="BD10" s="33">
        <v>0</v>
      </c>
      <c r="BE10" s="33">
        <v>0</v>
      </c>
      <c r="BF10" s="33">
        <v>0</v>
      </c>
      <c r="BG10" s="33">
        <v>0</v>
      </c>
      <c r="BH10" s="33">
        <v>73</v>
      </c>
      <c r="BI10" s="33">
        <v>800</v>
      </c>
      <c r="BJ10" s="33">
        <v>8</v>
      </c>
      <c r="BK10" s="33">
        <v>164.5</v>
      </c>
      <c r="BL10" s="33"/>
      <c r="BM10" s="33">
        <v>8</v>
      </c>
      <c r="BN10" s="33" t="s">
        <v>1498</v>
      </c>
      <c r="BO10" s="33" t="s">
        <v>1072</v>
      </c>
      <c r="BP10" s="33" t="s">
        <v>804</v>
      </c>
      <c r="BQ10" s="33" t="s">
        <v>1439</v>
      </c>
      <c r="BR10" s="33">
        <v>0</v>
      </c>
      <c r="BS10" s="33">
        <v>0</v>
      </c>
      <c r="BT10" s="33">
        <v>0</v>
      </c>
      <c r="BU10" s="33">
        <v>0</v>
      </c>
      <c r="BV10" s="33">
        <v>0</v>
      </c>
      <c r="BW10" s="33">
        <v>0</v>
      </c>
      <c r="BX10" s="33">
        <v>0</v>
      </c>
      <c r="BY10" s="33">
        <v>0</v>
      </c>
      <c r="BZ10" s="33">
        <v>0</v>
      </c>
      <c r="CA10" s="33">
        <v>123</v>
      </c>
      <c r="CB10" s="33"/>
      <c r="CC10" s="33">
        <v>8</v>
      </c>
      <c r="CD10" s="33" t="s">
        <v>1499</v>
      </c>
      <c r="CE10" s="33" t="s">
        <v>1072</v>
      </c>
      <c r="CF10" s="33" t="s">
        <v>804</v>
      </c>
      <c r="CG10" s="33" t="s">
        <v>1439</v>
      </c>
      <c r="CH10" s="33">
        <v>0</v>
      </c>
      <c r="CI10" s="33">
        <v>0</v>
      </c>
      <c r="CJ10" s="33">
        <v>0</v>
      </c>
      <c r="CK10" s="33">
        <v>0</v>
      </c>
      <c r="CL10" s="33">
        <v>0</v>
      </c>
      <c r="CM10" s="33">
        <v>0</v>
      </c>
      <c r="CN10" s="33">
        <v>0</v>
      </c>
      <c r="CO10" s="33">
        <v>0</v>
      </c>
      <c r="CP10" s="33">
        <v>0</v>
      </c>
      <c r="CQ10" s="33">
        <v>140</v>
      </c>
      <c r="CR10" s="33"/>
      <c r="CS10" s="33" t="str">
        <f t="shared" si="0"/>
        <v>Peyton Manning</v>
      </c>
      <c r="CT10" s="33">
        <v>8</v>
      </c>
      <c r="CU10" s="33" t="s">
        <v>1500</v>
      </c>
      <c r="CV10" s="33">
        <v>4</v>
      </c>
      <c r="CW10" s="33" t="s">
        <v>203</v>
      </c>
      <c r="CX10" s="33">
        <v>49</v>
      </c>
      <c r="CY10" s="33"/>
      <c r="CZ10" s="33" t="str">
        <f t="shared" si="1"/>
        <v>Jimmy Graham</v>
      </c>
      <c r="DA10" s="33">
        <v>8</v>
      </c>
      <c r="DB10" s="33" t="s">
        <v>1501</v>
      </c>
      <c r="DC10" s="33">
        <v>6</v>
      </c>
      <c r="DD10" s="33" t="s">
        <v>224</v>
      </c>
      <c r="DE10" s="33">
        <v>51</v>
      </c>
    </row>
    <row r="11" spans="1:109" ht="12.75" customHeight="1">
      <c r="A11" s="33">
        <v>9</v>
      </c>
      <c r="B11" s="33" t="s">
        <v>1502</v>
      </c>
      <c r="C11" s="33" t="s">
        <v>1072</v>
      </c>
      <c r="D11" s="33" t="s">
        <v>804</v>
      </c>
      <c r="E11" s="33" t="s">
        <v>1503</v>
      </c>
      <c r="F11" s="33">
        <v>3378</v>
      </c>
      <c r="G11" s="33">
        <v>22</v>
      </c>
      <c r="H11" s="33">
        <v>11</v>
      </c>
      <c r="I11" s="33">
        <v>101</v>
      </c>
      <c r="J11" s="33">
        <v>474</v>
      </c>
      <c r="K11" s="33">
        <v>4</v>
      </c>
      <c r="L11" s="33">
        <v>0</v>
      </c>
      <c r="M11" s="33">
        <v>0</v>
      </c>
      <c r="N11" s="33">
        <v>0</v>
      </c>
      <c r="O11" s="33">
        <v>313</v>
      </c>
      <c r="P11" s="33"/>
      <c r="Q11" s="33">
        <v>9</v>
      </c>
      <c r="R11" s="33" t="s">
        <v>1504</v>
      </c>
      <c r="S11" s="33" t="s">
        <v>1072</v>
      </c>
      <c r="T11" s="33" t="s">
        <v>804</v>
      </c>
      <c r="U11" s="33" t="s">
        <v>1439</v>
      </c>
      <c r="V11" s="33">
        <v>0</v>
      </c>
      <c r="W11" s="33">
        <v>0</v>
      </c>
      <c r="X11" s="33">
        <v>0</v>
      </c>
      <c r="Y11" s="33">
        <v>206</v>
      </c>
      <c r="Z11" s="33">
        <v>989</v>
      </c>
      <c r="AA11" s="33">
        <v>8</v>
      </c>
      <c r="AB11" s="33">
        <v>56</v>
      </c>
      <c r="AC11" s="33">
        <v>425</v>
      </c>
      <c r="AD11" s="33">
        <v>1</v>
      </c>
      <c r="AE11" s="33">
        <v>221</v>
      </c>
      <c r="AF11" s="33"/>
      <c r="AG11" s="33">
        <v>9</v>
      </c>
      <c r="AH11" s="33" t="s">
        <v>1505</v>
      </c>
      <c r="AI11" s="33" t="s">
        <v>1072</v>
      </c>
      <c r="AJ11" s="33" t="s">
        <v>804</v>
      </c>
      <c r="AK11" s="33" t="s">
        <v>1439</v>
      </c>
      <c r="AL11" s="33">
        <v>0</v>
      </c>
      <c r="AM11" s="33">
        <v>0</v>
      </c>
      <c r="AN11" s="33">
        <v>0</v>
      </c>
      <c r="AO11" s="33">
        <v>8</v>
      </c>
      <c r="AP11" s="33">
        <v>47</v>
      </c>
      <c r="AQ11" s="33">
        <v>0</v>
      </c>
      <c r="AR11" s="33">
        <v>109</v>
      </c>
      <c r="AS11" s="33">
        <v>1435</v>
      </c>
      <c r="AT11" s="33">
        <v>7</v>
      </c>
      <c r="AU11" s="33">
        <v>243.5</v>
      </c>
      <c r="AV11" s="33"/>
      <c r="AW11" s="33">
        <v>9</v>
      </c>
      <c r="AX11" s="33" t="s">
        <v>1506</v>
      </c>
      <c r="AY11" s="33" t="s">
        <v>1072</v>
      </c>
      <c r="AZ11" s="33" t="s">
        <v>804</v>
      </c>
      <c r="BA11" s="33" t="s">
        <v>1439</v>
      </c>
      <c r="BB11" s="33">
        <v>0</v>
      </c>
      <c r="BC11" s="33">
        <v>0</v>
      </c>
      <c r="BD11" s="33">
        <v>0</v>
      </c>
      <c r="BE11" s="33">
        <v>0</v>
      </c>
      <c r="BF11" s="33">
        <v>0</v>
      </c>
      <c r="BG11" s="33">
        <v>0</v>
      </c>
      <c r="BH11" s="33">
        <v>56</v>
      </c>
      <c r="BI11" s="33">
        <v>576</v>
      </c>
      <c r="BJ11" s="33">
        <v>8</v>
      </c>
      <c r="BK11" s="33">
        <v>133.5</v>
      </c>
      <c r="BL11" s="33"/>
      <c r="BM11" s="33">
        <v>9</v>
      </c>
      <c r="BN11" s="33" t="s">
        <v>1507</v>
      </c>
      <c r="BO11" s="33" t="s">
        <v>1072</v>
      </c>
      <c r="BP11" s="33" t="s">
        <v>804</v>
      </c>
      <c r="BQ11" s="33" t="s">
        <v>1439</v>
      </c>
      <c r="BR11" s="33">
        <v>0</v>
      </c>
      <c r="BS11" s="33">
        <v>0</v>
      </c>
      <c r="BT11" s="33">
        <v>0</v>
      </c>
      <c r="BU11" s="33">
        <v>0</v>
      </c>
      <c r="BV11" s="33">
        <v>0</v>
      </c>
      <c r="BW11" s="33">
        <v>0</v>
      </c>
      <c r="BX11" s="33">
        <v>0</v>
      </c>
      <c r="BY11" s="33">
        <v>0</v>
      </c>
      <c r="BZ11" s="33">
        <v>0</v>
      </c>
      <c r="CA11" s="33">
        <v>116</v>
      </c>
      <c r="CB11" s="33"/>
      <c r="CC11" s="33">
        <v>9</v>
      </c>
      <c r="CD11" s="33" t="s">
        <v>1508</v>
      </c>
      <c r="CE11" s="33" t="s">
        <v>1072</v>
      </c>
      <c r="CF11" s="33" t="s">
        <v>804</v>
      </c>
      <c r="CG11" s="33" t="s">
        <v>1439</v>
      </c>
      <c r="CH11" s="33">
        <v>0</v>
      </c>
      <c r="CI11" s="33">
        <v>0</v>
      </c>
      <c r="CJ11" s="33">
        <v>0</v>
      </c>
      <c r="CK11" s="33">
        <v>0</v>
      </c>
      <c r="CL11" s="33">
        <v>0</v>
      </c>
      <c r="CM11" s="33">
        <v>0</v>
      </c>
      <c r="CN11" s="33">
        <v>0</v>
      </c>
      <c r="CO11" s="33">
        <v>0</v>
      </c>
      <c r="CP11" s="33">
        <v>0</v>
      </c>
      <c r="CQ11" s="33">
        <v>142</v>
      </c>
      <c r="CR11" s="33"/>
      <c r="CS11" s="33" t="str">
        <f t="shared" si="0"/>
        <v>Arian Foster</v>
      </c>
      <c r="CT11" s="33">
        <v>9</v>
      </c>
      <c r="CU11" s="33" t="s">
        <v>1509</v>
      </c>
      <c r="CV11" s="33">
        <v>10</v>
      </c>
      <c r="CW11" s="33" t="s">
        <v>213</v>
      </c>
      <c r="CX11" s="33">
        <v>48</v>
      </c>
      <c r="CY11" s="33"/>
      <c r="CZ11" s="33" t="str">
        <f t="shared" si="1"/>
        <v>Peyton Manning</v>
      </c>
      <c r="DA11" s="33">
        <v>9</v>
      </c>
      <c r="DB11" s="33" t="s">
        <v>1500</v>
      </c>
      <c r="DC11" s="33">
        <v>4</v>
      </c>
      <c r="DD11" s="33" t="s">
        <v>203</v>
      </c>
      <c r="DE11" s="33">
        <v>48</v>
      </c>
    </row>
    <row r="12" spans="1:109" ht="12.75" customHeight="1">
      <c r="A12" s="33">
        <v>10</v>
      </c>
      <c r="B12" s="33" t="s">
        <v>1510</v>
      </c>
      <c r="C12" s="33" t="s">
        <v>1072</v>
      </c>
      <c r="D12" s="33" t="s">
        <v>804</v>
      </c>
      <c r="E12" s="33" t="s">
        <v>1511</v>
      </c>
      <c r="F12" s="33">
        <v>3264</v>
      </c>
      <c r="G12" s="33">
        <v>25</v>
      </c>
      <c r="H12" s="33">
        <v>10</v>
      </c>
      <c r="I12" s="33">
        <v>92</v>
      </c>
      <c r="J12" s="33">
        <v>497</v>
      </c>
      <c r="K12" s="33">
        <v>3</v>
      </c>
      <c r="L12" s="33">
        <v>0</v>
      </c>
      <c r="M12" s="33">
        <v>0</v>
      </c>
      <c r="N12" s="33">
        <v>0</v>
      </c>
      <c r="O12" s="33">
        <v>323.89999999999998</v>
      </c>
      <c r="P12" s="33"/>
      <c r="Q12" s="33">
        <v>10</v>
      </c>
      <c r="R12" s="33" t="s">
        <v>1512</v>
      </c>
      <c r="S12" s="33" t="s">
        <v>1072</v>
      </c>
      <c r="T12" s="33" t="s">
        <v>804</v>
      </c>
      <c r="U12" s="33" t="s">
        <v>1439</v>
      </c>
      <c r="V12" s="33">
        <v>0</v>
      </c>
      <c r="W12" s="33">
        <v>0</v>
      </c>
      <c r="X12" s="33">
        <v>0</v>
      </c>
      <c r="Y12" s="33">
        <v>281</v>
      </c>
      <c r="Z12" s="33">
        <v>1073</v>
      </c>
      <c r="AA12" s="33">
        <v>8</v>
      </c>
      <c r="AB12" s="33">
        <v>52</v>
      </c>
      <c r="AC12" s="33">
        <v>358</v>
      </c>
      <c r="AD12" s="33">
        <v>1</v>
      </c>
      <c r="AE12" s="33">
        <v>220.5</v>
      </c>
      <c r="AF12" s="33"/>
      <c r="AG12" s="33">
        <v>10</v>
      </c>
      <c r="AH12" s="33" t="s">
        <v>1513</v>
      </c>
      <c r="AI12" s="33" t="s">
        <v>1072</v>
      </c>
      <c r="AJ12" s="33" t="s">
        <v>804</v>
      </c>
      <c r="AK12" s="33" t="s">
        <v>1439</v>
      </c>
      <c r="AL12" s="33">
        <v>0</v>
      </c>
      <c r="AM12" s="33">
        <v>0</v>
      </c>
      <c r="AN12" s="33">
        <v>0</v>
      </c>
      <c r="AO12" s="33">
        <v>10</v>
      </c>
      <c r="AP12" s="33">
        <v>123</v>
      </c>
      <c r="AQ12" s="33">
        <v>0</v>
      </c>
      <c r="AR12" s="33">
        <v>87</v>
      </c>
      <c r="AS12" s="33">
        <v>1233</v>
      </c>
      <c r="AT12" s="33">
        <v>8</v>
      </c>
      <c r="AU12" s="33">
        <v>226.5</v>
      </c>
      <c r="AV12" s="33"/>
      <c r="AW12" s="33">
        <v>10</v>
      </c>
      <c r="AX12" s="33" t="s">
        <v>1514</v>
      </c>
      <c r="AY12" s="33" t="s">
        <v>1072</v>
      </c>
      <c r="AZ12" s="33" t="s">
        <v>804</v>
      </c>
      <c r="BA12" s="33" t="s">
        <v>1439</v>
      </c>
      <c r="BB12" s="33">
        <v>0</v>
      </c>
      <c r="BC12" s="33">
        <v>0</v>
      </c>
      <c r="BD12" s="33">
        <v>0</v>
      </c>
      <c r="BE12" s="33">
        <v>0</v>
      </c>
      <c r="BF12" s="33">
        <v>0</v>
      </c>
      <c r="BG12" s="33">
        <v>0</v>
      </c>
      <c r="BH12" s="33">
        <v>61</v>
      </c>
      <c r="BI12" s="33">
        <v>689</v>
      </c>
      <c r="BJ12" s="33">
        <v>6</v>
      </c>
      <c r="BK12" s="33">
        <v>134</v>
      </c>
      <c r="BL12" s="33"/>
      <c r="BM12" s="33">
        <v>10</v>
      </c>
      <c r="BN12" s="33" t="s">
        <v>1515</v>
      </c>
      <c r="BO12" s="33" t="s">
        <v>1072</v>
      </c>
      <c r="BP12" s="33" t="s">
        <v>804</v>
      </c>
      <c r="BQ12" s="33" t="s">
        <v>1439</v>
      </c>
      <c r="BR12" s="33">
        <v>0</v>
      </c>
      <c r="BS12" s="33">
        <v>0</v>
      </c>
      <c r="BT12" s="33">
        <v>0</v>
      </c>
      <c r="BU12" s="33">
        <v>0</v>
      </c>
      <c r="BV12" s="33">
        <v>0</v>
      </c>
      <c r="BW12" s="33">
        <v>0</v>
      </c>
      <c r="BX12" s="33">
        <v>0</v>
      </c>
      <c r="BY12" s="33">
        <v>0</v>
      </c>
      <c r="BZ12" s="33">
        <v>0</v>
      </c>
      <c r="CA12" s="33">
        <v>98</v>
      </c>
      <c r="CB12" s="33"/>
      <c r="CC12" s="33">
        <v>10</v>
      </c>
      <c r="CD12" s="33" t="s">
        <v>1516</v>
      </c>
      <c r="CE12" s="33" t="s">
        <v>1072</v>
      </c>
      <c r="CF12" s="33" t="s">
        <v>804</v>
      </c>
      <c r="CG12" s="33" t="s">
        <v>1439</v>
      </c>
      <c r="CH12" s="33">
        <v>0</v>
      </c>
      <c r="CI12" s="33">
        <v>0</v>
      </c>
      <c r="CJ12" s="33">
        <v>0</v>
      </c>
      <c r="CK12" s="33">
        <v>0</v>
      </c>
      <c r="CL12" s="33">
        <v>0</v>
      </c>
      <c r="CM12" s="33">
        <v>0</v>
      </c>
      <c r="CN12" s="33">
        <v>0</v>
      </c>
      <c r="CO12" s="33">
        <v>0</v>
      </c>
      <c r="CP12" s="33">
        <v>0</v>
      </c>
      <c r="CQ12" s="33">
        <v>138</v>
      </c>
      <c r="CR12" s="33"/>
      <c r="CS12" s="33" t="str">
        <f t="shared" si="0"/>
        <v>Jimmy Graham</v>
      </c>
      <c r="CT12" s="33">
        <v>10</v>
      </c>
      <c r="CU12" s="33" t="s">
        <v>1501</v>
      </c>
      <c r="CV12" s="33">
        <v>6</v>
      </c>
      <c r="CW12" s="33" t="s">
        <v>224</v>
      </c>
      <c r="CX12" s="33">
        <v>47</v>
      </c>
      <c r="CY12" s="33"/>
      <c r="CZ12" s="33" t="str">
        <f t="shared" si="1"/>
        <v>Demaryius Thomas</v>
      </c>
      <c r="DA12" s="33">
        <v>10</v>
      </c>
      <c r="DB12" s="33" t="s">
        <v>1517</v>
      </c>
      <c r="DC12" s="33">
        <v>4</v>
      </c>
      <c r="DD12" s="33" t="s">
        <v>216</v>
      </c>
      <c r="DE12" s="33">
        <v>47</v>
      </c>
    </row>
    <row r="13" spans="1:109" ht="12.75" customHeight="1">
      <c r="A13" s="33">
        <v>11</v>
      </c>
      <c r="B13" s="33" t="s">
        <v>1518</v>
      </c>
      <c r="C13" s="33" t="s">
        <v>1072</v>
      </c>
      <c r="D13" s="33" t="s">
        <v>804</v>
      </c>
      <c r="E13" s="33" t="s">
        <v>1519</v>
      </c>
      <c r="F13" s="33">
        <v>4377</v>
      </c>
      <c r="G13" s="33">
        <v>28</v>
      </c>
      <c r="H13" s="33">
        <v>14</v>
      </c>
      <c r="I13" s="33">
        <v>24</v>
      </c>
      <c r="J13" s="33">
        <v>86</v>
      </c>
      <c r="K13" s="33">
        <v>0</v>
      </c>
      <c r="L13" s="33">
        <v>0</v>
      </c>
      <c r="M13" s="33">
        <v>0</v>
      </c>
      <c r="N13" s="33">
        <v>0</v>
      </c>
      <c r="O13" s="33">
        <v>320.5</v>
      </c>
      <c r="P13" s="33"/>
      <c r="Q13" s="33">
        <v>11</v>
      </c>
      <c r="R13" s="33" t="s">
        <v>1520</v>
      </c>
      <c r="S13" s="33" t="s">
        <v>1072</v>
      </c>
      <c r="T13" s="33" t="s">
        <v>804</v>
      </c>
      <c r="U13" s="33" t="s">
        <v>1439</v>
      </c>
      <c r="V13" s="33">
        <v>0</v>
      </c>
      <c r="W13" s="33">
        <v>0</v>
      </c>
      <c r="X13" s="33">
        <v>0</v>
      </c>
      <c r="Y13" s="33">
        <v>286</v>
      </c>
      <c r="Z13" s="33">
        <v>1187</v>
      </c>
      <c r="AA13" s="33">
        <v>9</v>
      </c>
      <c r="AB13" s="33">
        <v>21</v>
      </c>
      <c r="AC13" s="33">
        <v>127</v>
      </c>
      <c r="AD13" s="33">
        <v>0</v>
      </c>
      <c r="AE13" s="33">
        <v>194.5</v>
      </c>
      <c r="AF13" s="33"/>
      <c r="AG13" s="33">
        <v>11</v>
      </c>
      <c r="AH13" s="33" t="s">
        <v>1521</v>
      </c>
      <c r="AI13" s="33" t="s">
        <v>1072</v>
      </c>
      <c r="AJ13" s="33" t="s">
        <v>804</v>
      </c>
      <c r="AK13" s="33" t="s">
        <v>1439</v>
      </c>
      <c r="AL13" s="33">
        <v>0</v>
      </c>
      <c r="AM13" s="33">
        <v>0</v>
      </c>
      <c r="AN13" s="33">
        <v>0</v>
      </c>
      <c r="AO13" s="33">
        <v>0</v>
      </c>
      <c r="AP13" s="33">
        <v>0</v>
      </c>
      <c r="AQ13" s="33">
        <v>0</v>
      </c>
      <c r="AR13" s="33">
        <v>100</v>
      </c>
      <c r="AS13" s="33">
        <v>1367</v>
      </c>
      <c r="AT13" s="33">
        <v>7</v>
      </c>
      <c r="AU13" s="33">
        <v>228.5</v>
      </c>
      <c r="AV13" s="33"/>
      <c r="AW13" s="33">
        <v>11</v>
      </c>
      <c r="AX13" s="33" t="s">
        <v>1522</v>
      </c>
      <c r="AY13" s="33" t="s">
        <v>1072</v>
      </c>
      <c r="AZ13" s="33" t="s">
        <v>804</v>
      </c>
      <c r="BA13" s="33" t="s">
        <v>1439</v>
      </c>
      <c r="BB13" s="33">
        <v>0</v>
      </c>
      <c r="BC13" s="33">
        <v>0</v>
      </c>
      <c r="BD13" s="33">
        <v>0</v>
      </c>
      <c r="BE13" s="33">
        <v>0</v>
      </c>
      <c r="BF13" s="33">
        <v>0</v>
      </c>
      <c r="BG13" s="33">
        <v>0</v>
      </c>
      <c r="BH13" s="33">
        <v>63</v>
      </c>
      <c r="BI13" s="33">
        <v>735</v>
      </c>
      <c r="BJ13" s="33">
        <v>5</v>
      </c>
      <c r="BK13" s="33">
        <v>135</v>
      </c>
      <c r="BL13" s="33"/>
      <c r="BM13" s="33">
        <v>11</v>
      </c>
      <c r="BN13" s="33" t="s">
        <v>1523</v>
      </c>
      <c r="BO13" s="33" t="s">
        <v>1072</v>
      </c>
      <c r="BP13" s="33" t="s">
        <v>804</v>
      </c>
      <c r="BQ13" s="33" t="s">
        <v>1439</v>
      </c>
      <c r="BR13" s="33">
        <v>0</v>
      </c>
      <c r="BS13" s="33">
        <v>0</v>
      </c>
      <c r="BT13" s="33">
        <v>0</v>
      </c>
      <c r="BU13" s="33">
        <v>0</v>
      </c>
      <c r="BV13" s="33">
        <v>0</v>
      </c>
      <c r="BW13" s="33">
        <v>0</v>
      </c>
      <c r="BX13" s="33">
        <v>0</v>
      </c>
      <c r="BY13" s="33">
        <v>0</v>
      </c>
      <c r="BZ13" s="33">
        <v>0</v>
      </c>
      <c r="CA13" s="33">
        <v>94</v>
      </c>
      <c r="CB13" s="33"/>
      <c r="CC13" s="33">
        <v>11</v>
      </c>
      <c r="CD13" s="33" t="s">
        <v>1524</v>
      </c>
      <c r="CE13" s="33" t="s">
        <v>1072</v>
      </c>
      <c r="CF13" s="33" t="s">
        <v>804</v>
      </c>
      <c r="CG13" s="33" t="s">
        <v>1439</v>
      </c>
      <c r="CH13" s="33">
        <v>0</v>
      </c>
      <c r="CI13" s="33">
        <v>0</v>
      </c>
      <c r="CJ13" s="33">
        <v>0</v>
      </c>
      <c r="CK13" s="33">
        <v>0</v>
      </c>
      <c r="CL13" s="33">
        <v>0</v>
      </c>
      <c r="CM13" s="33">
        <v>0</v>
      </c>
      <c r="CN13" s="33">
        <v>0</v>
      </c>
      <c r="CO13" s="33">
        <v>0</v>
      </c>
      <c r="CP13" s="33">
        <v>0</v>
      </c>
      <c r="CQ13" s="33">
        <v>136</v>
      </c>
      <c r="CR13" s="33"/>
      <c r="CS13" s="33" t="str">
        <f t="shared" si="0"/>
        <v>Doug Martin</v>
      </c>
      <c r="CT13" s="33">
        <v>11</v>
      </c>
      <c r="CU13" s="33" t="s">
        <v>1525</v>
      </c>
      <c r="CV13" s="33">
        <v>7</v>
      </c>
      <c r="CW13" s="33" t="s">
        <v>214</v>
      </c>
      <c r="CX13" s="33">
        <v>45</v>
      </c>
      <c r="CY13" s="33"/>
      <c r="CZ13" s="33" t="str">
        <f t="shared" si="1"/>
        <v>DeMarco Murray</v>
      </c>
      <c r="DA13" s="33">
        <v>11</v>
      </c>
      <c r="DB13" s="33" t="s">
        <v>1526</v>
      </c>
      <c r="DC13" s="33">
        <v>11</v>
      </c>
      <c r="DD13" s="33" t="s">
        <v>213</v>
      </c>
      <c r="DE13" s="33">
        <v>45</v>
      </c>
    </row>
    <row r="14" spans="1:109" ht="12.75" customHeight="1">
      <c r="A14" s="33">
        <v>12</v>
      </c>
      <c r="B14" s="33" t="s">
        <v>1527</v>
      </c>
      <c r="C14" s="33" t="s">
        <v>1072</v>
      </c>
      <c r="D14" s="33" t="s">
        <v>804</v>
      </c>
      <c r="E14" s="33" t="s">
        <v>1528</v>
      </c>
      <c r="F14" s="33">
        <v>4287</v>
      </c>
      <c r="G14" s="33">
        <v>26</v>
      </c>
      <c r="H14" s="33">
        <v>9</v>
      </c>
      <c r="I14" s="33">
        <v>24</v>
      </c>
      <c r="J14" s="33">
        <v>21</v>
      </c>
      <c r="K14" s="33">
        <v>1</v>
      </c>
      <c r="L14" s="33">
        <v>0</v>
      </c>
      <c r="M14" s="33">
        <v>0</v>
      </c>
      <c r="N14" s="33">
        <v>0</v>
      </c>
      <c r="O14" s="33">
        <v>315.39999999999998</v>
      </c>
      <c r="P14" s="33"/>
      <c r="Q14" s="33">
        <v>12</v>
      </c>
      <c r="R14" s="33" t="s">
        <v>1529</v>
      </c>
      <c r="S14" s="33" t="s">
        <v>1072</v>
      </c>
      <c r="T14" s="33" t="s">
        <v>804</v>
      </c>
      <c r="U14" s="33" t="s">
        <v>1439</v>
      </c>
      <c r="V14" s="33">
        <v>0</v>
      </c>
      <c r="W14" s="33">
        <v>0</v>
      </c>
      <c r="X14" s="33">
        <v>0</v>
      </c>
      <c r="Y14" s="33">
        <v>269</v>
      </c>
      <c r="Z14" s="33">
        <v>1287</v>
      </c>
      <c r="AA14" s="33">
        <v>9</v>
      </c>
      <c r="AB14" s="33">
        <v>8</v>
      </c>
      <c r="AC14" s="33">
        <v>62</v>
      </c>
      <c r="AD14" s="33">
        <v>0</v>
      </c>
      <c r="AE14" s="33">
        <v>189.5</v>
      </c>
      <c r="AF14" s="33"/>
      <c r="AG14" s="33">
        <v>12</v>
      </c>
      <c r="AH14" s="33" t="s">
        <v>1530</v>
      </c>
      <c r="AI14" s="33" t="s">
        <v>1072</v>
      </c>
      <c r="AJ14" s="33" t="s">
        <v>804</v>
      </c>
      <c r="AK14" s="33" t="s">
        <v>1439</v>
      </c>
      <c r="AL14" s="33">
        <v>0</v>
      </c>
      <c r="AM14" s="33">
        <v>0</v>
      </c>
      <c r="AN14" s="33">
        <v>0</v>
      </c>
      <c r="AO14" s="33">
        <v>1</v>
      </c>
      <c r="AP14" s="33">
        <v>12</v>
      </c>
      <c r="AQ14" s="33">
        <v>0</v>
      </c>
      <c r="AR14" s="33">
        <v>73</v>
      </c>
      <c r="AS14" s="33">
        <v>1235</v>
      </c>
      <c r="AT14" s="33">
        <v>8</v>
      </c>
      <c r="AU14" s="33">
        <v>209</v>
      </c>
      <c r="AV14" s="33"/>
      <c r="AW14" s="33">
        <v>12</v>
      </c>
      <c r="AX14" s="33" t="s">
        <v>1531</v>
      </c>
      <c r="AY14" s="33" t="s">
        <v>1072</v>
      </c>
      <c r="AZ14" s="33" t="s">
        <v>804</v>
      </c>
      <c r="BA14" s="33" t="s">
        <v>1439</v>
      </c>
      <c r="BB14" s="33">
        <v>0</v>
      </c>
      <c r="BC14" s="33">
        <v>0</v>
      </c>
      <c r="BD14" s="33">
        <v>0</v>
      </c>
      <c r="BE14" s="33">
        <v>0</v>
      </c>
      <c r="BF14" s="33">
        <v>0</v>
      </c>
      <c r="BG14" s="33">
        <v>0</v>
      </c>
      <c r="BH14" s="33">
        <v>55</v>
      </c>
      <c r="BI14" s="33">
        <v>598</v>
      </c>
      <c r="BJ14" s="33">
        <v>5</v>
      </c>
      <c r="BK14" s="33">
        <v>116</v>
      </c>
      <c r="BL14" s="33"/>
      <c r="BM14" s="33">
        <v>12</v>
      </c>
      <c r="BN14" s="33" t="s">
        <v>1532</v>
      </c>
      <c r="BO14" s="33" t="s">
        <v>1072</v>
      </c>
      <c r="BP14" s="33" t="s">
        <v>804</v>
      </c>
      <c r="BQ14" s="33" t="s">
        <v>1439</v>
      </c>
      <c r="BR14" s="33">
        <v>0</v>
      </c>
      <c r="BS14" s="33">
        <v>0</v>
      </c>
      <c r="BT14" s="33">
        <v>0</v>
      </c>
      <c r="BU14" s="33">
        <v>0</v>
      </c>
      <c r="BV14" s="33">
        <v>0</v>
      </c>
      <c r="BW14" s="33">
        <v>0</v>
      </c>
      <c r="BX14" s="33">
        <v>0</v>
      </c>
      <c r="BY14" s="33">
        <v>0</v>
      </c>
      <c r="BZ14" s="33">
        <v>0</v>
      </c>
      <c r="CA14" s="33">
        <v>83</v>
      </c>
      <c r="CB14" s="33"/>
      <c r="CC14" s="33">
        <v>12</v>
      </c>
      <c r="CD14" s="33" t="s">
        <v>1533</v>
      </c>
      <c r="CE14" s="33" t="s">
        <v>1072</v>
      </c>
      <c r="CF14" s="33" t="s">
        <v>804</v>
      </c>
      <c r="CG14" s="33" t="s">
        <v>1439</v>
      </c>
      <c r="CH14" s="33">
        <v>0</v>
      </c>
      <c r="CI14" s="33">
        <v>0</v>
      </c>
      <c r="CJ14" s="33">
        <v>0</v>
      </c>
      <c r="CK14" s="33">
        <v>0</v>
      </c>
      <c r="CL14" s="33">
        <v>0</v>
      </c>
      <c r="CM14" s="33">
        <v>0</v>
      </c>
      <c r="CN14" s="33">
        <v>0</v>
      </c>
      <c r="CO14" s="33">
        <v>0</v>
      </c>
      <c r="CP14" s="33">
        <v>0</v>
      </c>
      <c r="CQ14" s="33">
        <v>134</v>
      </c>
      <c r="CR14" s="33"/>
      <c r="CS14" s="33" t="str">
        <f t="shared" si="0"/>
        <v>Aaron Rodgers</v>
      </c>
      <c r="CT14" s="33">
        <v>12</v>
      </c>
      <c r="CU14" s="33" t="s">
        <v>1534</v>
      </c>
      <c r="CV14" s="33">
        <v>9</v>
      </c>
      <c r="CW14" s="33" t="s">
        <v>204</v>
      </c>
      <c r="CX14" s="33">
        <v>43</v>
      </c>
      <c r="CY14" s="33"/>
      <c r="CZ14" s="33" t="str">
        <f t="shared" si="1"/>
        <v>Doug Martin</v>
      </c>
      <c r="DA14" s="33">
        <v>12</v>
      </c>
      <c r="DB14" s="33" t="s">
        <v>1525</v>
      </c>
      <c r="DC14" s="33">
        <v>7</v>
      </c>
      <c r="DD14" s="33" t="s">
        <v>214</v>
      </c>
      <c r="DE14" s="33">
        <v>43</v>
      </c>
    </row>
    <row r="15" spans="1:109" ht="12.75" customHeight="1">
      <c r="A15" s="33">
        <v>13</v>
      </c>
      <c r="B15" s="33" t="s">
        <v>1535</v>
      </c>
      <c r="C15" s="33" t="s">
        <v>1072</v>
      </c>
      <c r="D15" s="33" t="s">
        <v>804</v>
      </c>
      <c r="E15" s="33" t="s">
        <v>1536</v>
      </c>
      <c r="F15" s="33">
        <v>4654</v>
      </c>
      <c r="G15" s="33">
        <v>28</v>
      </c>
      <c r="H15" s="33">
        <v>15</v>
      </c>
      <c r="I15" s="33">
        <v>23</v>
      </c>
      <c r="J15" s="33">
        <v>29</v>
      </c>
      <c r="K15" s="33">
        <v>0</v>
      </c>
      <c r="L15" s="33">
        <v>0</v>
      </c>
      <c r="M15" s="33">
        <v>0</v>
      </c>
      <c r="N15" s="33">
        <v>0</v>
      </c>
      <c r="O15" s="33">
        <v>323.5</v>
      </c>
      <c r="P15" s="33"/>
      <c r="Q15" s="33">
        <v>13</v>
      </c>
      <c r="R15" s="33" t="s">
        <v>1537</v>
      </c>
      <c r="S15" s="33" t="s">
        <v>1072</v>
      </c>
      <c r="T15" s="33" t="s">
        <v>804</v>
      </c>
      <c r="U15" s="33" t="s">
        <v>1439</v>
      </c>
      <c r="V15" s="33">
        <v>0</v>
      </c>
      <c r="W15" s="33">
        <v>0</v>
      </c>
      <c r="X15" s="33">
        <v>0</v>
      </c>
      <c r="Y15" s="33">
        <v>217</v>
      </c>
      <c r="Z15" s="33">
        <v>943</v>
      </c>
      <c r="AA15" s="33">
        <v>9</v>
      </c>
      <c r="AB15" s="33">
        <v>54</v>
      </c>
      <c r="AC15" s="33">
        <v>333</v>
      </c>
      <c r="AD15" s="33">
        <v>1</v>
      </c>
      <c r="AE15" s="33">
        <v>210</v>
      </c>
      <c r="AF15" s="33"/>
      <c r="AG15" s="33">
        <v>13</v>
      </c>
      <c r="AH15" s="33" t="s">
        <v>1538</v>
      </c>
      <c r="AI15" s="33" t="s">
        <v>1072</v>
      </c>
      <c r="AJ15" s="33" t="s">
        <v>804</v>
      </c>
      <c r="AK15" s="33" t="s">
        <v>1439</v>
      </c>
      <c r="AL15" s="33">
        <v>0</v>
      </c>
      <c r="AM15" s="33">
        <v>0</v>
      </c>
      <c r="AN15" s="33">
        <v>0</v>
      </c>
      <c r="AO15" s="33">
        <v>2</v>
      </c>
      <c r="AP15" s="33">
        <v>11</v>
      </c>
      <c r="AQ15" s="33">
        <v>0</v>
      </c>
      <c r="AR15" s="33">
        <v>88</v>
      </c>
      <c r="AS15" s="33">
        <v>1057</v>
      </c>
      <c r="AT15" s="33">
        <v>8</v>
      </c>
      <c r="AU15" s="33">
        <v>198.5</v>
      </c>
      <c r="AV15" s="33"/>
      <c r="AW15" s="33">
        <v>13</v>
      </c>
      <c r="AX15" s="33" t="s">
        <v>1539</v>
      </c>
      <c r="AY15" s="33" t="s">
        <v>1072</v>
      </c>
      <c r="AZ15" s="33" t="s">
        <v>804</v>
      </c>
      <c r="BA15" s="33" t="s">
        <v>1439</v>
      </c>
      <c r="BB15" s="33">
        <v>0</v>
      </c>
      <c r="BC15" s="33">
        <v>0</v>
      </c>
      <c r="BD15" s="33">
        <v>0</v>
      </c>
      <c r="BE15" s="33">
        <v>0</v>
      </c>
      <c r="BF15" s="33">
        <v>0</v>
      </c>
      <c r="BG15" s="33">
        <v>0</v>
      </c>
      <c r="BH15" s="33">
        <v>50</v>
      </c>
      <c r="BI15" s="33">
        <v>646</v>
      </c>
      <c r="BJ15" s="33">
        <v>4</v>
      </c>
      <c r="BK15" s="33">
        <v>113.5</v>
      </c>
      <c r="BL15" s="33"/>
      <c r="BM15" s="33">
        <v>13</v>
      </c>
      <c r="BN15" s="33" t="s">
        <v>1540</v>
      </c>
      <c r="BO15" s="33" t="s">
        <v>1072</v>
      </c>
      <c r="BP15" s="33" t="s">
        <v>804</v>
      </c>
      <c r="BQ15" s="33" t="s">
        <v>1439</v>
      </c>
      <c r="BR15" s="33">
        <v>0</v>
      </c>
      <c r="BS15" s="33">
        <v>0</v>
      </c>
      <c r="BT15" s="33">
        <v>0</v>
      </c>
      <c r="BU15" s="33">
        <v>0</v>
      </c>
      <c r="BV15" s="33">
        <v>0</v>
      </c>
      <c r="BW15" s="33">
        <v>0</v>
      </c>
      <c r="BX15" s="33">
        <v>0</v>
      </c>
      <c r="BY15" s="33">
        <v>0</v>
      </c>
      <c r="BZ15" s="33">
        <v>0</v>
      </c>
      <c r="CA15" s="33">
        <v>82</v>
      </c>
      <c r="CB15" s="33"/>
      <c r="CC15" s="33">
        <v>13</v>
      </c>
      <c r="CD15" s="33" t="s">
        <v>1541</v>
      </c>
      <c r="CE15" s="33" t="s">
        <v>1072</v>
      </c>
      <c r="CF15" s="33" t="s">
        <v>804</v>
      </c>
      <c r="CG15" s="33" t="s">
        <v>1439</v>
      </c>
      <c r="CH15" s="33">
        <v>0</v>
      </c>
      <c r="CI15" s="33">
        <v>0</v>
      </c>
      <c r="CJ15" s="33">
        <v>0</v>
      </c>
      <c r="CK15" s="33">
        <v>0</v>
      </c>
      <c r="CL15" s="33">
        <v>0</v>
      </c>
      <c r="CM15" s="33">
        <v>0</v>
      </c>
      <c r="CN15" s="33">
        <v>0</v>
      </c>
      <c r="CO15" s="33">
        <v>0</v>
      </c>
      <c r="CP15" s="33">
        <v>0</v>
      </c>
      <c r="CQ15" s="33">
        <v>133</v>
      </c>
      <c r="CR15" s="33"/>
      <c r="CS15" s="33" t="str">
        <f t="shared" si="0"/>
        <v>DeMarco Murray</v>
      </c>
      <c r="CT15" s="33">
        <v>13</v>
      </c>
      <c r="CU15" s="33" t="s">
        <v>1526</v>
      </c>
      <c r="CV15" s="33">
        <v>11</v>
      </c>
      <c r="CW15" s="33" t="s">
        <v>1542</v>
      </c>
      <c r="CX15" s="33">
        <v>42</v>
      </c>
      <c r="CY15" s="33"/>
      <c r="CZ15" s="33" t="str">
        <f t="shared" si="1"/>
        <v>Aaron Rodgers</v>
      </c>
      <c r="DA15" s="33">
        <v>13</v>
      </c>
      <c r="DB15" s="33" t="s">
        <v>1534</v>
      </c>
      <c r="DC15" s="33">
        <v>9</v>
      </c>
      <c r="DD15" s="33" t="s">
        <v>204</v>
      </c>
      <c r="DE15" s="33">
        <v>42</v>
      </c>
    </row>
    <row r="16" spans="1:109" ht="12.75" customHeight="1">
      <c r="A16" s="33">
        <v>14</v>
      </c>
      <c r="B16" s="33" t="s">
        <v>1543</v>
      </c>
      <c r="C16" s="33" t="s">
        <v>1072</v>
      </c>
      <c r="D16" s="33" t="s">
        <v>804</v>
      </c>
      <c r="E16" s="33" t="s">
        <v>1544</v>
      </c>
      <c r="F16" s="33">
        <v>4392</v>
      </c>
      <c r="G16" s="33">
        <v>28</v>
      </c>
      <c r="H16" s="33">
        <v>12</v>
      </c>
      <c r="I16" s="33">
        <v>26</v>
      </c>
      <c r="J16" s="33">
        <v>45</v>
      </c>
      <c r="K16" s="33">
        <v>0</v>
      </c>
      <c r="L16" s="33">
        <v>0</v>
      </c>
      <c r="M16" s="33">
        <v>0</v>
      </c>
      <c r="N16" s="33">
        <v>0</v>
      </c>
      <c r="O16" s="33">
        <v>321.10000000000002</v>
      </c>
      <c r="P16" s="33"/>
      <c r="Q16" s="33">
        <v>14</v>
      </c>
      <c r="R16" s="33" t="s">
        <v>1545</v>
      </c>
      <c r="S16" s="33" t="s">
        <v>1072</v>
      </c>
      <c r="T16" s="33" t="s">
        <v>804</v>
      </c>
      <c r="U16" s="33" t="s">
        <v>1439</v>
      </c>
      <c r="V16" s="33">
        <v>0</v>
      </c>
      <c r="W16" s="33">
        <v>0</v>
      </c>
      <c r="X16" s="33">
        <v>0</v>
      </c>
      <c r="Y16" s="33">
        <v>210</v>
      </c>
      <c r="Z16" s="33">
        <v>927</v>
      </c>
      <c r="AA16" s="33">
        <v>3</v>
      </c>
      <c r="AB16" s="33">
        <v>52</v>
      </c>
      <c r="AC16" s="33">
        <v>478</v>
      </c>
      <c r="AD16" s="33">
        <v>4</v>
      </c>
      <c r="AE16" s="33">
        <v>206</v>
      </c>
      <c r="AF16" s="33"/>
      <c r="AG16" s="33">
        <v>14</v>
      </c>
      <c r="AH16" s="33" t="s">
        <v>1546</v>
      </c>
      <c r="AI16" s="33" t="s">
        <v>1072</v>
      </c>
      <c r="AJ16" s="33" t="s">
        <v>804</v>
      </c>
      <c r="AK16" s="33" t="s">
        <v>1439</v>
      </c>
      <c r="AL16" s="33">
        <v>0</v>
      </c>
      <c r="AM16" s="33">
        <v>0</v>
      </c>
      <c r="AN16" s="33">
        <v>0</v>
      </c>
      <c r="AO16" s="33">
        <v>2</v>
      </c>
      <c r="AP16" s="33">
        <v>19</v>
      </c>
      <c r="AQ16" s="33">
        <v>0</v>
      </c>
      <c r="AR16" s="33">
        <v>96</v>
      </c>
      <c r="AS16" s="33">
        <v>1129</v>
      </c>
      <c r="AT16" s="33">
        <v>6</v>
      </c>
      <c r="AU16" s="33">
        <v>197</v>
      </c>
      <c r="AV16" s="33"/>
      <c r="AW16" s="33">
        <v>14</v>
      </c>
      <c r="AX16" s="33" t="s">
        <v>1547</v>
      </c>
      <c r="AY16" s="33" t="s">
        <v>1072</v>
      </c>
      <c r="AZ16" s="33" t="s">
        <v>804</v>
      </c>
      <c r="BA16" s="33" t="s">
        <v>1439</v>
      </c>
      <c r="BB16" s="33">
        <v>0</v>
      </c>
      <c r="BC16" s="33">
        <v>0</v>
      </c>
      <c r="BD16" s="33">
        <v>0</v>
      </c>
      <c r="BE16" s="33">
        <v>0</v>
      </c>
      <c r="BF16" s="33">
        <v>0</v>
      </c>
      <c r="BG16" s="33">
        <v>0</v>
      </c>
      <c r="BH16" s="33">
        <v>62</v>
      </c>
      <c r="BI16" s="33">
        <v>684</v>
      </c>
      <c r="BJ16" s="33">
        <v>5</v>
      </c>
      <c r="BK16" s="33">
        <v>123</v>
      </c>
      <c r="BL16" s="33"/>
      <c r="BM16" s="33">
        <v>14</v>
      </c>
      <c r="BN16" s="33" t="s">
        <v>1548</v>
      </c>
      <c r="BO16" s="33" t="s">
        <v>1072</v>
      </c>
      <c r="BP16" s="33" t="s">
        <v>804</v>
      </c>
      <c r="BQ16" s="33" t="s">
        <v>1439</v>
      </c>
      <c r="BR16" s="33">
        <v>0</v>
      </c>
      <c r="BS16" s="33">
        <v>0</v>
      </c>
      <c r="BT16" s="33">
        <v>0</v>
      </c>
      <c r="BU16" s="33">
        <v>0</v>
      </c>
      <c r="BV16" s="33">
        <v>0</v>
      </c>
      <c r="BW16" s="33">
        <v>0</v>
      </c>
      <c r="BX16" s="33">
        <v>0</v>
      </c>
      <c r="BY16" s="33">
        <v>0</v>
      </c>
      <c r="BZ16" s="33">
        <v>0</v>
      </c>
      <c r="CA16" s="33">
        <v>77</v>
      </c>
      <c r="CB16" s="33"/>
      <c r="CC16" s="33">
        <v>14</v>
      </c>
      <c r="CD16" s="33" t="s">
        <v>1549</v>
      </c>
      <c r="CE16" s="33" t="s">
        <v>1072</v>
      </c>
      <c r="CF16" s="33" t="s">
        <v>804</v>
      </c>
      <c r="CG16" s="33" t="s">
        <v>1439</v>
      </c>
      <c r="CH16" s="33">
        <v>0</v>
      </c>
      <c r="CI16" s="33">
        <v>0</v>
      </c>
      <c r="CJ16" s="33">
        <v>0</v>
      </c>
      <c r="CK16" s="33">
        <v>0</v>
      </c>
      <c r="CL16" s="33">
        <v>0</v>
      </c>
      <c r="CM16" s="33">
        <v>0</v>
      </c>
      <c r="CN16" s="33">
        <v>0</v>
      </c>
      <c r="CO16" s="33">
        <v>0</v>
      </c>
      <c r="CP16" s="33">
        <v>0</v>
      </c>
      <c r="CQ16" s="33">
        <v>132</v>
      </c>
      <c r="CR16" s="33"/>
      <c r="CS16" s="33" t="str">
        <f t="shared" si="0"/>
        <v>Le'Veon Bell</v>
      </c>
      <c r="CT16" s="33">
        <v>14</v>
      </c>
      <c r="CU16" s="33" t="s">
        <v>1550</v>
      </c>
      <c r="CV16" s="33">
        <v>12</v>
      </c>
      <c r="CW16" s="33" t="s">
        <v>1551</v>
      </c>
      <c r="CX16" s="33">
        <v>41</v>
      </c>
      <c r="CY16" s="33"/>
      <c r="CZ16" s="33" t="str">
        <f t="shared" si="1"/>
        <v>Dez Bryant</v>
      </c>
      <c r="DA16" s="33">
        <v>14</v>
      </c>
      <c r="DB16" s="33" t="s">
        <v>1552</v>
      </c>
      <c r="DC16" s="33">
        <v>11</v>
      </c>
      <c r="DD16" s="33" t="s">
        <v>217</v>
      </c>
      <c r="DE16" s="33">
        <v>41</v>
      </c>
    </row>
    <row r="17" spans="1:109" ht="12.75" customHeight="1">
      <c r="A17" s="33">
        <v>15</v>
      </c>
      <c r="B17" s="33" t="s">
        <v>1553</v>
      </c>
      <c r="C17" s="33" t="s">
        <v>1072</v>
      </c>
      <c r="D17" s="33" t="s">
        <v>804</v>
      </c>
      <c r="E17" s="33" t="s">
        <v>1554</v>
      </c>
      <c r="F17" s="33">
        <v>3653</v>
      </c>
      <c r="G17" s="33">
        <v>28</v>
      </c>
      <c r="H17" s="33">
        <v>16</v>
      </c>
      <c r="I17" s="33">
        <v>32</v>
      </c>
      <c r="J17" s="33">
        <v>196</v>
      </c>
      <c r="K17" s="33">
        <v>1</v>
      </c>
      <c r="L17" s="33">
        <v>0</v>
      </c>
      <c r="M17" s="33">
        <v>0</v>
      </c>
      <c r="N17" s="33">
        <v>0</v>
      </c>
      <c r="O17" s="33">
        <v>304.5</v>
      </c>
      <c r="P17" s="33"/>
      <c r="Q17" s="33">
        <v>15</v>
      </c>
      <c r="R17" s="33" t="s">
        <v>1555</v>
      </c>
      <c r="S17" s="33" t="s">
        <v>1072</v>
      </c>
      <c r="T17" s="33" t="s">
        <v>804</v>
      </c>
      <c r="U17" s="33" t="s">
        <v>1439</v>
      </c>
      <c r="V17" s="33">
        <v>0</v>
      </c>
      <c r="W17" s="33">
        <v>0</v>
      </c>
      <c r="X17" s="33">
        <v>0</v>
      </c>
      <c r="Y17" s="33">
        <v>195</v>
      </c>
      <c r="Z17" s="33">
        <v>904</v>
      </c>
      <c r="AA17" s="33">
        <v>5</v>
      </c>
      <c r="AB17" s="33">
        <v>50</v>
      </c>
      <c r="AC17" s="33">
        <v>456</v>
      </c>
      <c r="AD17" s="33">
        <v>3</v>
      </c>
      <c r="AE17" s="33">
        <v>204.5</v>
      </c>
      <c r="AF17" s="33"/>
      <c r="AG17" s="33">
        <v>15</v>
      </c>
      <c r="AH17" s="33" t="s">
        <v>1556</v>
      </c>
      <c r="AI17" s="33" t="s">
        <v>1072</v>
      </c>
      <c r="AJ17" s="33" t="s">
        <v>804</v>
      </c>
      <c r="AK17" s="33" t="s">
        <v>1439</v>
      </c>
      <c r="AL17" s="33">
        <v>0</v>
      </c>
      <c r="AM17" s="33">
        <v>0</v>
      </c>
      <c r="AN17" s="33">
        <v>0</v>
      </c>
      <c r="AO17" s="33">
        <v>0</v>
      </c>
      <c r="AP17" s="33">
        <v>0</v>
      </c>
      <c r="AQ17" s="33">
        <v>0</v>
      </c>
      <c r="AR17" s="33">
        <v>85</v>
      </c>
      <c r="AS17" s="33">
        <v>1045</v>
      </c>
      <c r="AT17" s="33">
        <v>8</v>
      </c>
      <c r="AU17" s="33">
        <v>194</v>
      </c>
      <c r="AV17" s="33"/>
      <c r="AW17" s="33">
        <v>15</v>
      </c>
      <c r="AX17" s="33" t="s">
        <v>1557</v>
      </c>
      <c r="AY17" s="33" t="s">
        <v>1072</v>
      </c>
      <c r="AZ17" s="33" t="s">
        <v>804</v>
      </c>
      <c r="BA17" s="33" t="s">
        <v>1439</v>
      </c>
      <c r="BB17" s="33">
        <v>0</v>
      </c>
      <c r="BC17" s="33">
        <v>0</v>
      </c>
      <c r="BD17" s="33">
        <v>0</v>
      </c>
      <c r="BE17" s="33">
        <v>0</v>
      </c>
      <c r="BF17" s="33">
        <v>0</v>
      </c>
      <c r="BG17" s="33">
        <v>0</v>
      </c>
      <c r="BH17" s="33">
        <v>54</v>
      </c>
      <c r="BI17" s="33">
        <v>604</v>
      </c>
      <c r="BJ17" s="33">
        <v>4</v>
      </c>
      <c r="BK17" s="33">
        <v>111</v>
      </c>
      <c r="BL17" s="33"/>
      <c r="BM17" s="33">
        <v>15</v>
      </c>
      <c r="BN17" s="33" t="s">
        <v>1558</v>
      </c>
      <c r="BO17" s="33" t="s">
        <v>1072</v>
      </c>
      <c r="BP17" s="33" t="s">
        <v>804</v>
      </c>
      <c r="BQ17" s="33" t="s">
        <v>1439</v>
      </c>
      <c r="BR17" s="33">
        <v>0</v>
      </c>
      <c r="BS17" s="33">
        <v>0</v>
      </c>
      <c r="BT17" s="33">
        <v>0</v>
      </c>
      <c r="BU17" s="33">
        <v>0</v>
      </c>
      <c r="BV17" s="33">
        <v>0</v>
      </c>
      <c r="BW17" s="33">
        <v>0</v>
      </c>
      <c r="BX17" s="33">
        <v>0</v>
      </c>
      <c r="BY17" s="33">
        <v>0</v>
      </c>
      <c r="BZ17" s="33">
        <v>0</v>
      </c>
      <c r="CA17" s="33">
        <v>86</v>
      </c>
      <c r="CB17" s="33"/>
      <c r="CC17" s="33">
        <v>15</v>
      </c>
      <c r="CD17" s="33" t="s">
        <v>1559</v>
      </c>
      <c r="CE17" s="33" t="s">
        <v>1072</v>
      </c>
      <c r="CF17" s="33" t="s">
        <v>804</v>
      </c>
      <c r="CG17" s="33" t="s">
        <v>1439</v>
      </c>
      <c r="CH17" s="33">
        <v>0</v>
      </c>
      <c r="CI17" s="33">
        <v>0</v>
      </c>
      <c r="CJ17" s="33">
        <v>0</v>
      </c>
      <c r="CK17" s="33">
        <v>0</v>
      </c>
      <c r="CL17" s="33">
        <v>0</v>
      </c>
      <c r="CM17" s="33">
        <v>0</v>
      </c>
      <c r="CN17" s="33">
        <v>0</v>
      </c>
      <c r="CO17" s="33">
        <v>0</v>
      </c>
      <c r="CP17" s="33">
        <v>0</v>
      </c>
      <c r="CQ17" s="33">
        <v>130</v>
      </c>
      <c r="CR17" s="33"/>
      <c r="CS17" s="33" t="str">
        <f t="shared" si="0"/>
        <v>Demaryius Thomas</v>
      </c>
      <c r="CT17" s="33">
        <v>15</v>
      </c>
      <c r="CU17" s="33" t="s">
        <v>1517</v>
      </c>
      <c r="CV17" s="33">
        <v>4</v>
      </c>
      <c r="CW17" s="33" t="s">
        <v>216</v>
      </c>
      <c r="CX17" s="33">
        <v>40</v>
      </c>
      <c r="CY17" s="33"/>
      <c r="CZ17" s="33" t="str">
        <f t="shared" si="1"/>
        <v>Le'Veon Bell</v>
      </c>
      <c r="DA17" s="33">
        <v>15</v>
      </c>
      <c r="DB17" s="33" t="s">
        <v>1550</v>
      </c>
      <c r="DC17" s="33">
        <v>12</v>
      </c>
      <c r="DD17" s="33" t="s">
        <v>1542</v>
      </c>
      <c r="DE17" s="33">
        <v>40</v>
      </c>
    </row>
    <row r="18" spans="1:109" ht="12.75" customHeight="1">
      <c r="A18" s="33">
        <v>16</v>
      </c>
      <c r="B18" s="33" t="s">
        <v>1560</v>
      </c>
      <c r="C18" s="33" t="s">
        <v>1072</v>
      </c>
      <c r="D18" s="33" t="s">
        <v>804</v>
      </c>
      <c r="E18" s="33" t="s">
        <v>1561</v>
      </c>
      <c r="F18" s="33">
        <v>3744</v>
      </c>
      <c r="G18" s="33">
        <v>26</v>
      </c>
      <c r="H18" s="33">
        <v>13</v>
      </c>
      <c r="I18" s="33">
        <v>26</v>
      </c>
      <c r="J18" s="33">
        <v>100</v>
      </c>
      <c r="K18" s="33">
        <v>1</v>
      </c>
      <c r="L18" s="33">
        <v>0</v>
      </c>
      <c r="M18" s="33">
        <v>0</v>
      </c>
      <c r="N18" s="33">
        <v>0</v>
      </c>
      <c r="O18" s="33">
        <v>291.60000000000002</v>
      </c>
      <c r="P18" s="33"/>
      <c r="Q18" s="33">
        <v>16</v>
      </c>
      <c r="R18" s="33" t="s">
        <v>1562</v>
      </c>
      <c r="S18" s="33" t="s">
        <v>1072</v>
      </c>
      <c r="T18" s="33" t="s">
        <v>804</v>
      </c>
      <c r="U18" s="33" t="s">
        <v>1439</v>
      </c>
      <c r="V18" s="33">
        <v>0</v>
      </c>
      <c r="W18" s="33">
        <v>0</v>
      </c>
      <c r="X18" s="33">
        <v>0</v>
      </c>
      <c r="Y18" s="33">
        <v>247</v>
      </c>
      <c r="Z18" s="33">
        <v>1026</v>
      </c>
      <c r="AA18" s="33">
        <v>7</v>
      </c>
      <c r="AB18" s="33">
        <v>40</v>
      </c>
      <c r="AC18" s="33">
        <v>311</v>
      </c>
      <c r="AD18" s="33">
        <v>0</v>
      </c>
      <c r="AE18" s="33">
        <v>192.5</v>
      </c>
      <c r="AF18" s="33"/>
      <c r="AG18" s="33">
        <v>16</v>
      </c>
      <c r="AH18" s="33" t="s">
        <v>1563</v>
      </c>
      <c r="AI18" s="33" t="s">
        <v>1072</v>
      </c>
      <c r="AJ18" s="33" t="s">
        <v>804</v>
      </c>
      <c r="AK18" s="33" t="s">
        <v>1439</v>
      </c>
      <c r="AL18" s="33">
        <v>0</v>
      </c>
      <c r="AM18" s="33">
        <v>0</v>
      </c>
      <c r="AN18" s="33">
        <v>0</v>
      </c>
      <c r="AO18" s="33">
        <v>0</v>
      </c>
      <c r="AP18" s="33">
        <v>0</v>
      </c>
      <c r="AQ18" s="33">
        <v>0</v>
      </c>
      <c r="AR18" s="33">
        <v>80</v>
      </c>
      <c r="AS18" s="33">
        <v>1042</v>
      </c>
      <c r="AT18" s="33">
        <v>7</v>
      </c>
      <c r="AU18" s="33">
        <v>185</v>
      </c>
      <c r="AV18" s="33"/>
      <c r="AW18" s="33">
        <v>16</v>
      </c>
      <c r="AX18" s="33" t="s">
        <v>1564</v>
      </c>
      <c r="AY18" s="33" t="s">
        <v>1072</v>
      </c>
      <c r="AZ18" s="33" t="s">
        <v>804</v>
      </c>
      <c r="BA18" s="33" t="s">
        <v>1439</v>
      </c>
      <c r="BB18" s="33">
        <v>0</v>
      </c>
      <c r="BC18" s="33">
        <v>0</v>
      </c>
      <c r="BD18" s="33">
        <v>0</v>
      </c>
      <c r="BE18" s="33">
        <v>0</v>
      </c>
      <c r="BF18" s="33">
        <v>0</v>
      </c>
      <c r="BG18" s="33">
        <v>0</v>
      </c>
      <c r="BH18" s="33">
        <v>38</v>
      </c>
      <c r="BI18" s="33">
        <v>584</v>
      </c>
      <c r="BJ18" s="33">
        <v>4</v>
      </c>
      <c r="BK18" s="33">
        <v>101</v>
      </c>
      <c r="BL18" s="33"/>
      <c r="BM18" s="33">
        <v>16</v>
      </c>
      <c r="BN18" s="33" t="s">
        <v>1565</v>
      </c>
      <c r="BO18" s="33" t="s">
        <v>1072</v>
      </c>
      <c r="BP18" s="33" t="s">
        <v>804</v>
      </c>
      <c r="BQ18" s="33" t="s">
        <v>1439</v>
      </c>
      <c r="BR18" s="33">
        <v>0</v>
      </c>
      <c r="BS18" s="33">
        <v>0</v>
      </c>
      <c r="BT18" s="33">
        <v>0</v>
      </c>
      <c r="BU18" s="33">
        <v>0</v>
      </c>
      <c r="BV18" s="33">
        <v>0</v>
      </c>
      <c r="BW18" s="33">
        <v>0</v>
      </c>
      <c r="BX18" s="33">
        <v>0</v>
      </c>
      <c r="BY18" s="33">
        <v>0</v>
      </c>
      <c r="BZ18" s="33">
        <v>0</v>
      </c>
      <c r="CA18" s="33">
        <v>70</v>
      </c>
      <c r="CB18" s="33"/>
      <c r="CC18" s="33">
        <v>16</v>
      </c>
      <c r="CD18" s="33" t="s">
        <v>1566</v>
      </c>
      <c r="CE18" s="33" t="s">
        <v>1072</v>
      </c>
      <c r="CF18" s="33" t="s">
        <v>804</v>
      </c>
      <c r="CG18" s="33" t="s">
        <v>1439</v>
      </c>
      <c r="CH18" s="33">
        <v>0</v>
      </c>
      <c r="CI18" s="33">
        <v>0</v>
      </c>
      <c r="CJ18" s="33">
        <v>0</v>
      </c>
      <c r="CK18" s="33">
        <v>0</v>
      </c>
      <c r="CL18" s="33">
        <v>0</v>
      </c>
      <c r="CM18" s="33">
        <v>0</v>
      </c>
      <c r="CN18" s="33">
        <v>0</v>
      </c>
      <c r="CO18" s="33">
        <v>0</v>
      </c>
      <c r="CP18" s="33">
        <v>0</v>
      </c>
      <c r="CQ18" s="33">
        <v>126</v>
      </c>
      <c r="CR18" s="33"/>
      <c r="CS18" s="33" t="str">
        <f t="shared" si="0"/>
        <v>A.J. Green</v>
      </c>
      <c r="CT18" s="33">
        <v>16</v>
      </c>
      <c r="CU18" s="33" t="s">
        <v>1567</v>
      </c>
      <c r="CV18" s="33">
        <v>4</v>
      </c>
      <c r="CW18" s="33" t="s">
        <v>217</v>
      </c>
      <c r="CX18" s="33">
        <v>39</v>
      </c>
      <c r="CY18" s="33"/>
      <c r="CZ18" s="33" t="str">
        <f t="shared" si="1"/>
        <v>Arian Foster</v>
      </c>
      <c r="DA18" s="33">
        <v>16</v>
      </c>
      <c r="DB18" s="33" t="s">
        <v>1509</v>
      </c>
      <c r="DC18" s="33">
        <v>10</v>
      </c>
      <c r="DD18" s="33" t="s">
        <v>1551</v>
      </c>
      <c r="DE18" s="33">
        <v>39</v>
      </c>
    </row>
    <row r="19" spans="1:109" ht="12.75" customHeight="1">
      <c r="A19" s="33">
        <v>17</v>
      </c>
      <c r="B19" s="33" t="s">
        <v>1568</v>
      </c>
      <c r="C19" s="33" t="s">
        <v>1072</v>
      </c>
      <c r="D19" s="33" t="s">
        <v>804</v>
      </c>
      <c r="E19" s="33" t="s">
        <v>1569</v>
      </c>
      <c r="F19" s="33">
        <v>3562</v>
      </c>
      <c r="G19" s="33">
        <v>27</v>
      </c>
      <c r="H19" s="33">
        <v>15</v>
      </c>
      <c r="I19" s="33">
        <v>54</v>
      </c>
      <c r="J19" s="33">
        <v>137</v>
      </c>
      <c r="K19" s="33">
        <v>2</v>
      </c>
      <c r="L19" s="33">
        <v>0</v>
      </c>
      <c r="M19" s="33">
        <v>0</v>
      </c>
      <c r="N19" s="33">
        <v>0</v>
      </c>
      <c r="O19" s="33">
        <v>295.89999999999998</v>
      </c>
      <c r="P19" s="33"/>
      <c r="Q19" s="33">
        <v>17</v>
      </c>
      <c r="R19" s="33" t="s">
        <v>1570</v>
      </c>
      <c r="S19" s="33" t="s">
        <v>1072</v>
      </c>
      <c r="T19" s="33" t="s">
        <v>804</v>
      </c>
      <c r="U19" s="33" t="s">
        <v>1439</v>
      </c>
      <c r="V19" s="33">
        <v>0</v>
      </c>
      <c r="W19" s="33">
        <v>0</v>
      </c>
      <c r="X19" s="33">
        <v>0</v>
      </c>
      <c r="Y19" s="33">
        <v>230</v>
      </c>
      <c r="Z19" s="33">
        <v>1065</v>
      </c>
      <c r="AA19" s="33">
        <v>7</v>
      </c>
      <c r="AB19" s="33">
        <v>19</v>
      </c>
      <c r="AC19" s="33">
        <v>176</v>
      </c>
      <c r="AD19" s="33">
        <v>0</v>
      </c>
      <c r="AE19" s="33">
        <v>174.5</v>
      </c>
      <c r="AF19" s="33"/>
      <c r="AG19" s="33">
        <v>17</v>
      </c>
      <c r="AH19" s="33" t="s">
        <v>1571</v>
      </c>
      <c r="AI19" s="33" t="s">
        <v>1072</v>
      </c>
      <c r="AJ19" s="33" t="s">
        <v>804</v>
      </c>
      <c r="AK19" s="33" t="s">
        <v>1439</v>
      </c>
      <c r="AL19" s="33">
        <v>0</v>
      </c>
      <c r="AM19" s="33">
        <v>0</v>
      </c>
      <c r="AN19" s="33">
        <v>0</v>
      </c>
      <c r="AO19" s="33">
        <v>0</v>
      </c>
      <c r="AP19" s="33">
        <v>0</v>
      </c>
      <c r="AQ19" s="33">
        <v>0</v>
      </c>
      <c r="AR19" s="33">
        <v>80</v>
      </c>
      <c r="AS19" s="33">
        <v>1004</v>
      </c>
      <c r="AT19" s="33">
        <v>7</v>
      </c>
      <c r="AU19" s="33">
        <v>181</v>
      </c>
      <c r="AV19" s="33"/>
      <c r="AW19" s="33">
        <v>17</v>
      </c>
      <c r="AX19" s="33" t="s">
        <v>1572</v>
      </c>
      <c r="AY19" s="33" t="s">
        <v>1072</v>
      </c>
      <c r="AZ19" s="33" t="s">
        <v>804</v>
      </c>
      <c r="BA19" s="33" t="s">
        <v>1439</v>
      </c>
      <c r="BB19" s="33">
        <v>0</v>
      </c>
      <c r="BC19" s="33">
        <v>0</v>
      </c>
      <c r="BD19" s="33">
        <v>0</v>
      </c>
      <c r="BE19" s="33">
        <v>0</v>
      </c>
      <c r="BF19" s="33">
        <v>0</v>
      </c>
      <c r="BG19" s="33">
        <v>0</v>
      </c>
      <c r="BH19" s="33">
        <v>37</v>
      </c>
      <c r="BI19" s="33">
        <v>433</v>
      </c>
      <c r="BJ19" s="33">
        <v>5</v>
      </c>
      <c r="BK19" s="33">
        <v>91.5</v>
      </c>
      <c r="BL19" s="33"/>
      <c r="BM19" s="33">
        <v>17</v>
      </c>
      <c r="BN19" s="33" t="s">
        <v>1573</v>
      </c>
      <c r="BO19" s="33" t="s">
        <v>1072</v>
      </c>
      <c r="BP19" s="33" t="s">
        <v>804</v>
      </c>
      <c r="BQ19" s="33" t="s">
        <v>1439</v>
      </c>
      <c r="BR19" s="33">
        <v>0</v>
      </c>
      <c r="BS19" s="33">
        <v>0</v>
      </c>
      <c r="BT19" s="33">
        <v>0</v>
      </c>
      <c r="BU19" s="33">
        <v>0</v>
      </c>
      <c r="BV19" s="33">
        <v>0</v>
      </c>
      <c r="BW19" s="33">
        <v>0</v>
      </c>
      <c r="BX19" s="33">
        <v>0</v>
      </c>
      <c r="BY19" s="33">
        <v>0</v>
      </c>
      <c r="BZ19" s="33">
        <v>0</v>
      </c>
      <c r="CA19" s="33">
        <v>71</v>
      </c>
      <c r="CB19" s="33"/>
      <c r="CC19" s="33">
        <v>17</v>
      </c>
      <c r="CD19" s="33" t="s">
        <v>1574</v>
      </c>
      <c r="CE19" s="33" t="s">
        <v>1072</v>
      </c>
      <c r="CF19" s="33" t="s">
        <v>804</v>
      </c>
      <c r="CG19" s="33" t="s">
        <v>1439</v>
      </c>
      <c r="CH19" s="33">
        <v>0</v>
      </c>
      <c r="CI19" s="33">
        <v>0</v>
      </c>
      <c r="CJ19" s="33">
        <v>0</v>
      </c>
      <c r="CK19" s="33">
        <v>0</v>
      </c>
      <c r="CL19" s="33">
        <v>0</v>
      </c>
      <c r="CM19" s="33">
        <v>0</v>
      </c>
      <c r="CN19" s="33">
        <v>0</v>
      </c>
      <c r="CO19" s="33">
        <v>0</v>
      </c>
      <c r="CP19" s="33">
        <v>0</v>
      </c>
      <c r="CQ19" s="33">
        <v>116</v>
      </c>
      <c r="CR19" s="33"/>
      <c r="CS19" s="33" t="str">
        <f t="shared" si="0"/>
        <v>Drew Brees</v>
      </c>
      <c r="CT19" s="33">
        <v>17</v>
      </c>
      <c r="CU19" s="33" t="s">
        <v>1575</v>
      </c>
      <c r="CV19" s="33">
        <v>6</v>
      </c>
      <c r="CW19" s="33" t="s">
        <v>205</v>
      </c>
      <c r="CX19" s="33">
        <v>39</v>
      </c>
      <c r="CY19" s="33"/>
      <c r="CZ19" s="33" t="str">
        <f t="shared" si="1"/>
        <v>Drew Brees</v>
      </c>
      <c r="DA19" s="33">
        <v>17</v>
      </c>
      <c r="DB19" s="33" t="s">
        <v>1575</v>
      </c>
      <c r="DC19" s="33">
        <v>6</v>
      </c>
      <c r="DD19" s="33" t="s">
        <v>205</v>
      </c>
      <c r="DE19" s="33">
        <v>39</v>
      </c>
    </row>
    <row r="20" spans="1:109" ht="12.75" customHeight="1">
      <c r="A20" s="33">
        <v>18</v>
      </c>
      <c r="B20" s="33" t="s">
        <v>1576</v>
      </c>
      <c r="C20" s="33" t="s">
        <v>1072</v>
      </c>
      <c r="D20" s="33" t="s">
        <v>804</v>
      </c>
      <c r="E20" s="33" t="s">
        <v>1577</v>
      </c>
      <c r="F20" s="33">
        <v>3912</v>
      </c>
      <c r="G20" s="33">
        <v>25</v>
      </c>
      <c r="H20" s="33">
        <v>16</v>
      </c>
      <c r="I20" s="33">
        <v>20</v>
      </c>
      <c r="J20" s="33">
        <v>27</v>
      </c>
      <c r="K20" s="33">
        <v>0</v>
      </c>
      <c r="L20" s="33">
        <v>0</v>
      </c>
      <c r="M20" s="33">
        <v>0</v>
      </c>
      <c r="N20" s="33">
        <v>0</v>
      </c>
      <c r="O20" s="33">
        <v>274.89999999999998</v>
      </c>
      <c r="P20" s="33"/>
      <c r="Q20" s="33">
        <v>18</v>
      </c>
      <c r="R20" s="33" t="s">
        <v>1578</v>
      </c>
      <c r="S20" s="33" t="s">
        <v>1072</v>
      </c>
      <c r="T20" s="33" t="s">
        <v>804</v>
      </c>
      <c r="U20" s="33" t="s">
        <v>1439</v>
      </c>
      <c r="V20" s="33">
        <v>0</v>
      </c>
      <c r="W20" s="33">
        <v>0</v>
      </c>
      <c r="X20" s="33">
        <v>0</v>
      </c>
      <c r="Y20" s="33">
        <v>201</v>
      </c>
      <c r="Z20" s="33">
        <v>1001</v>
      </c>
      <c r="AA20" s="33">
        <v>5</v>
      </c>
      <c r="AB20" s="33">
        <v>37</v>
      </c>
      <c r="AC20" s="33">
        <v>316</v>
      </c>
      <c r="AD20" s="33">
        <v>1</v>
      </c>
      <c r="AE20" s="33">
        <v>185</v>
      </c>
      <c r="AF20" s="33"/>
      <c r="AG20" s="33">
        <v>18</v>
      </c>
      <c r="AH20" s="33" t="s">
        <v>1579</v>
      </c>
      <c r="AI20" s="33" t="s">
        <v>1072</v>
      </c>
      <c r="AJ20" s="33" t="s">
        <v>804</v>
      </c>
      <c r="AK20" s="33" t="s">
        <v>1439</v>
      </c>
      <c r="AL20" s="33">
        <v>0</v>
      </c>
      <c r="AM20" s="33">
        <v>0</v>
      </c>
      <c r="AN20" s="33">
        <v>0</v>
      </c>
      <c r="AO20" s="33">
        <v>4</v>
      </c>
      <c r="AP20" s="33">
        <v>26</v>
      </c>
      <c r="AQ20" s="33">
        <v>0</v>
      </c>
      <c r="AR20" s="33">
        <v>65</v>
      </c>
      <c r="AS20" s="33">
        <v>1031</v>
      </c>
      <c r="AT20" s="33">
        <v>7</v>
      </c>
      <c r="AU20" s="33">
        <v>180</v>
      </c>
      <c r="AV20" s="33"/>
      <c r="AW20" s="33">
        <v>18</v>
      </c>
      <c r="AX20" s="33" t="s">
        <v>1580</v>
      </c>
      <c r="AY20" s="33" t="s">
        <v>1072</v>
      </c>
      <c r="AZ20" s="33" t="s">
        <v>804</v>
      </c>
      <c r="BA20" s="33" t="s">
        <v>1439</v>
      </c>
      <c r="BB20" s="33">
        <v>0</v>
      </c>
      <c r="BC20" s="33">
        <v>0</v>
      </c>
      <c r="BD20" s="33">
        <v>0</v>
      </c>
      <c r="BE20" s="33">
        <v>0</v>
      </c>
      <c r="BF20" s="33">
        <v>0</v>
      </c>
      <c r="BG20" s="33">
        <v>0</v>
      </c>
      <c r="BH20" s="33">
        <v>33</v>
      </c>
      <c r="BI20" s="33">
        <v>476</v>
      </c>
      <c r="BJ20" s="33">
        <v>4</v>
      </c>
      <c r="BK20" s="33">
        <v>88</v>
      </c>
      <c r="BL20" s="33"/>
      <c r="BM20" s="33">
        <v>18</v>
      </c>
      <c r="BN20" s="33" t="s">
        <v>1581</v>
      </c>
      <c r="BO20" s="33" t="s">
        <v>1072</v>
      </c>
      <c r="BP20" s="33" t="s">
        <v>804</v>
      </c>
      <c r="BQ20" s="33" t="s">
        <v>1439</v>
      </c>
      <c r="BR20" s="33">
        <v>0</v>
      </c>
      <c r="BS20" s="33">
        <v>0</v>
      </c>
      <c r="BT20" s="33">
        <v>0</v>
      </c>
      <c r="BU20" s="33">
        <v>0</v>
      </c>
      <c r="BV20" s="33">
        <v>0</v>
      </c>
      <c r="BW20" s="33">
        <v>0</v>
      </c>
      <c r="BX20" s="33">
        <v>0</v>
      </c>
      <c r="BY20" s="33">
        <v>0</v>
      </c>
      <c r="BZ20" s="33">
        <v>0</v>
      </c>
      <c r="CA20" s="33">
        <v>27</v>
      </c>
      <c r="CB20" s="33"/>
      <c r="CC20" s="33">
        <v>18</v>
      </c>
      <c r="CD20" s="33" t="s">
        <v>1582</v>
      </c>
      <c r="CE20" s="33" t="s">
        <v>1072</v>
      </c>
      <c r="CF20" s="33" t="s">
        <v>804</v>
      </c>
      <c r="CG20" s="33" t="s">
        <v>1439</v>
      </c>
      <c r="CH20" s="33">
        <v>0</v>
      </c>
      <c r="CI20" s="33">
        <v>0</v>
      </c>
      <c r="CJ20" s="33">
        <v>0</v>
      </c>
      <c r="CK20" s="33">
        <v>0</v>
      </c>
      <c r="CL20" s="33">
        <v>0</v>
      </c>
      <c r="CM20" s="33">
        <v>0</v>
      </c>
      <c r="CN20" s="33">
        <v>0</v>
      </c>
      <c r="CO20" s="33">
        <v>0</v>
      </c>
      <c r="CP20" s="33">
        <v>0</v>
      </c>
      <c r="CQ20" s="33">
        <v>115</v>
      </c>
      <c r="CR20" s="33"/>
      <c r="CS20" s="33" t="str">
        <f t="shared" si="0"/>
        <v>Dez Bryant</v>
      </c>
      <c r="CT20" s="33">
        <v>18</v>
      </c>
      <c r="CU20" s="33" t="s">
        <v>1552</v>
      </c>
      <c r="CV20" s="33">
        <v>11</v>
      </c>
      <c r="CW20" s="33" t="s">
        <v>218</v>
      </c>
      <c r="CX20" s="33">
        <v>38</v>
      </c>
      <c r="CY20" s="33"/>
      <c r="CZ20" s="33" t="str">
        <f t="shared" si="1"/>
        <v>Montee Ball</v>
      </c>
      <c r="DA20" s="33">
        <v>18</v>
      </c>
      <c r="DB20" s="33" t="s">
        <v>1583</v>
      </c>
      <c r="DC20" s="33">
        <v>4</v>
      </c>
      <c r="DD20" s="33" t="s">
        <v>1584</v>
      </c>
      <c r="DE20" s="33">
        <v>38</v>
      </c>
    </row>
    <row r="21" spans="1:109" ht="12.75" customHeight="1">
      <c r="A21" s="33">
        <v>19</v>
      </c>
      <c r="B21" s="33" t="s">
        <v>1585</v>
      </c>
      <c r="C21" s="33" t="s">
        <v>1072</v>
      </c>
      <c r="D21" s="33" t="s">
        <v>804</v>
      </c>
      <c r="E21" s="33" t="s">
        <v>1586</v>
      </c>
      <c r="F21" s="33">
        <v>4191</v>
      </c>
      <c r="G21" s="33">
        <v>23</v>
      </c>
      <c r="H21" s="33">
        <v>17</v>
      </c>
      <c r="I21" s="33">
        <v>19</v>
      </c>
      <c r="J21" s="33">
        <v>23</v>
      </c>
      <c r="K21" s="33">
        <v>0</v>
      </c>
      <c r="L21" s="33">
        <v>0</v>
      </c>
      <c r="M21" s="33">
        <v>0</v>
      </c>
      <c r="N21" s="33">
        <v>0</v>
      </c>
      <c r="O21" s="33">
        <v>270.60000000000002</v>
      </c>
      <c r="P21" s="33"/>
      <c r="Q21" s="33">
        <v>19</v>
      </c>
      <c r="R21" s="33" t="s">
        <v>1587</v>
      </c>
      <c r="S21" s="33" t="s">
        <v>1072</v>
      </c>
      <c r="T21" s="33" t="s">
        <v>804</v>
      </c>
      <c r="U21" s="33" t="s">
        <v>1439</v>
      </c>
      <c r="V21" s="33">
        <v>0</v>
      </c>
      <c r="W21" s="33">
        <v>0</v>
      </c>
      <c r="X21" s="33">
        <v>0</v>
      </c>
      <c r="Y21" s="33">
        <v>259</v>
      </c>
      <c r="Z21" s="33">
        <v>1123</v>
      </c>
      <c r="AA21" s="33">
        <v>8</v>
      </c>
      <c r="AB21" s="33">
        <v>15</v>
      </c>
      <c r="AC21" s="33">
        <v>130</v>
      </c>
      <c r="AD21" s="33">
        <v>0</v>
      </c>
      <c r="AE21" s="33">
        <v>178.5</v>
      </c>
      <c r="AF21" s="33"/>
      <c r="AG21" s="33">
        <v>19</v>
      </c>
      <c r="AH21" s="33" t="s">
        <v>1588</v>
      </c>
      <c r="AI21" s="33" t="s">
        <v>1072</v>
      </c>
      <c r="AJ21" s="33" t="s">
        <v>804</v>
      </c>
      <c r="AK21" s="33" t="s">
        <v>1439</v>
      </c>
      <c r="AL21" s="33">
        <v>0</v>
      </c>
      <c r="AM21" s="33">
        <v>0</v>
      </c>
      <c r="AN21" s="33">
        <v>0</v>
      </c>
      <c r="AO21" s="33">
        <v>0</v>
      </c>
      <c r="AP21" s="33">
        <v>0</v>
      </c>
      <c r="AQ21" s="33">
        <v>0</v>
      </c>
      <c r="AR21" s="33">
        <v>76</v>
      </c>
      <c r="AS21" s="33">
        <v>998</v>
      </c>
      <c r="AT21" s="33">
        <v>6</v>
      </c>
      <c r="AU21" s="33">
        <v>172.5</v>
      </c>
      <c r="AV21" s="33"/>
      <c r="AW21" s="33">
        <v>19</v>
      </c>
      <c r="AX21" s="33" t="s">
        <v>1589</v>
      </c>
      <c r="AY21" s="33" t="s">
        <v>1072</v>
      </c>
      <c r="AZ21" s="33" t="s">
        <v>804</v>
      </c>
      <c r="BA21" s="33" t="s">
        <v>1439</v>
      </c>
      <c r="BB21" s="33">
        <v>0</v>
      </c>
      <c r="BC21" s="33">
        <v>0</v>
      </c>
      <c r="BD21" s="33">
        <v>0</v>
      </c>
      <c r="BE21" s="33">
        <v>0</v>
      </c>
      <c r="BF21" s="33">
        <v>0</v>
      </c>
      <c r="BG21" s="33">
        <v>0</v>
      </c>
      <c r="BH21" s="33">
        <v>61</v>
      </c>
      <c r="BI21" s="33">
        <v>632</v>
      </c>
      <c r="BJ21" s="33">
        <v>2</v>
      </c>
      <c r="BK21" s="33">
        <v>105.5</v>
      </c>
      <c r="BL21" s="33"/>
      <c r="BM21" s="33">
        <v>19</v>
      </c>
      <c r="BN21" s="33" t="s">
        <v>1590</v>
      </c>
      <c r="BO21" s="33" t="s">
        <v>1072</v>
      </c>
      <c r="BP21" s="33" t="s">
        <v>804</v>
      </c>
      <c r="BQ21" s="33" t="s">
        <v>1439</v>
      </c>
      <c r="BR21" s="33">
        <v>0</v>
      </c>
      <c r="BS21" s="33">
        <v>0</v>
      </c>
      <c r="BT21" s="33">
        <v>0</v>
      </c>
      <c r="BU21" s="33">
        <v>0</v>
      </c>
      <c r="BV21" s="33">
        <v>0</v>
      </c>
      <c r="BW21" s="33">
        <v>0</v>
      </c>
      <c r="BX21" s="33">
        <v>0</v>
      </c>
      <c r="BY21" s="33">
        <v>0</v>
      </c>
      <c r="BZ21" s="33">
        <v>0</v>
      </c>
      <c r="CA21" s="33">
        <v>71</v>
      </c>
      <c r="CB21" s="33"/>
      <c r="CC21" s="33">
        <v>19</v>
      </c>
      <c r="CD21" s="33" t="s">
        <v>1591</v>
      </c>
      <c r="CE21" s="33" t="s">
        <v>1072</v>
      </c>
      <c r="CF21" s="33" t="s">
        <v>804</v>
      </c>
      <c r="CG21" s="33" t="s">
        <v>1439</v>
      </c>
      <c r="CH21" s="33">
        <v>0</v>
      </c>
      <c r="CI21" s="33">
        <v>0</v>
      </c>
      <c r="CJ21" s="33">
        <v>0</v>
      </c>
      <c r="CK21" s="33">
        <v>0</v>
      </c>
      <c r="CL21" s="33">
        <v>0</v>
      </c>
      <c r="CM21" s="33">
        <v>0</v>
      </c>
      <c r="CN21" s="33">
        <v>0</v>
      </c>
      <c r="CO21" s="33">
        <v>0</v>
      </c>
      <c r="CP21" s="33">
        <v>0</v>
      </c>
      <c r="CQ21" s="33">
        <v>121</v>
      </c>
      <c r="CR21" s="33"/>
      <c r="CS21" s="33" t="str">
        <f t="shared" si="0"/>
        <v>Zac Stacy</v>
      </c>
      <c r="CT21" s="33">
        <v>19</v>
      </c>
      <c r="CU21" s="33" t="s">
        <v>1592</v>
      </c>
      <c r="CV21" s="33">
        <v>4</v>
      </c>
      <c r="CW21" s="33" t="s">
        <v>1584</v>
      </c>
      <c r="CX21" s="33">
        <v>37</v>
      </c>
      <c r="CY21" s="33"/>
      <c r="CZ21" s="33" t="str">
        <f t="shared" si="1"/>
        <v>A.J. Green</v>
      </c>
      <c r="DA21" s="33">
        <v>19</v>
      </c>
      <c r="DB21" s="33" t="s">
        <v>1567</v>
      </c>
      <c r="DC21" s="33">
        <v>4</v>
      </c>
      <c r="DD21" s="33" t="s">
        <v>218</v>
      </c>
      <c r="DE21" s="33">
        <v>37</v>
      </c>
    </row>
    <row r="22" spans="1:109" ht="12.75" customHeight="1">
      <c r="A22" s="33">
        <v>20</v>
      </c>
      <c r="B22" s="33" t="s">
        <v>1593</v>
      </c>
      <c r="C22" s="33" t="s">
        <v>1072</v>
      </c>
      <c r="D22" s="33" t="s">
        <v>804</v>
      </c>
      <c r="E22" s="33" t="s">
        <v>1594</v>
      </c>
      <c r="F22" s="33">
        <v>3365</v>
      </c>
      <c r="G22" s="33">
        <v>22</v>
      </c>
      <c r="H22" s="33">
        <v>10</v>
      </c>
      <c r="I22" s="33">
        <v>20</v>
      </c>
      <c r="J22" s="33">
        <v>87</v>
      </c>
      <c r="K22" s="33">
        <v>1</v>
      </c>
      <c r="L22" s="33">
        <v>0</v>
      </c>
      <c r="M22" s="33">
        <v>0</v>
      </c>
      <c r="N22" s="33">
        <v>0</v>
      </c>
      <c r="O22" s="33">
        <v>258.10000000000002</v>
      </c>
      <c r="P22" s="33"/>
      <c r="Q22" s="33">
        <v>20</v>
      </c>
      <c r="R22" s="33" t="s">
        <v>1595</v>
      </c>
      <c r="S22" s="33" t="s">
        <v>1072</v>
      </c>
      <c r="T22" s="33" t="s">
        <v>804</v>
      </c>
      <c r="U22" s="33" t="s">
        <v>1439</v>
      </c>
      <c r="V22" s="33">
        <v>0</v>
      </c>
      <c r="W22" s="33">
        <v>0</v>
      </c>
      <c r="X22" s="33">
        <v>0</v>
      </c>
      <c r="Y22" s="33">
        <v>166</v>
      </c>
      <c r="Z22" s="33">
        <v>867</v>
      </c>
      <c r="AA22" s="33">
        <v>3</v>
      </c>
      <c r="AB22" s="33">
        <v>48</v>
      </c>
      <c r="AC22" s="33">
        <v>457</v>
      </c>
      <c r="AD22" s="33">
        <v>3</v>
      </c>
      <c r="AE22" s="33">
        <v>191</v>
      </c>
      <c r="AF22" s="33"/>
      <c r="AG22" s="33">
        <v>20</v>
      </c>
      <c r="AH22" s="33" t="s">
        <v>1596</v>
      </c>
      <c r="AI22" s="33" t="s">
        <v>1072</v>
      </c>
      <c r="AJ22" s="33" t="s">
        <v>804</v>
      </c>
      <c r="AK22" s="33" t="s">
        <v>1439</v>
      </c>
      <c r="AL22" s="33">
        <v>0</v>
      </c>
      <c r="AM22" s="33">
        <v>0</v>
      </c>
      <c r="AN22" s="33">
        <v>0</v>
      </c>
      <c r="AO22" s="33">
        <v>17</v>
      </c>
      <c r="AP22" s="33">
        <v>81</v>
      </c>
      <c r="AQ22" s="33">
        <v>1</v>
      </c>
      <c r="AR22" s="33">
        <v>77</v>
      </c>
      <c r="AS22" s="33">
        <v>916</v>
      </c>
      <c r="AT22" s="33">
        <v>4</v>
      </c>
      <c r="AU22" s="33">
        <v>167</v>
      </c>
      <c r="AV22" s="33"/>
      <c r="AW22" s="33">
        <v>20</v>
      </c>
      <c r="AX22" s="33" t="s">
        <v>1597</v>
      </c>
      <c r="AY22" s="33" t="s">
        <v>1072</v>
      </c>
      <c r="AZ22" s="33" t="s">
        <v>804</v>
      </c>
      <c r="BA22" s="33" t="s">
        <v>1439</v>
      </c>
      <c r="BB22" s="33">
        <v>0</v>
      </c>
      <c r="BC22" s="33">
        <v>0</v>
      </c>
      <c r="BD22" s="33">
        <v>0</v>
      </c>
      <c r="BE22" s="33">
        <v>0</v>
      </c>
      <c r="BF22" s="33">
        <v>0</v>
      </c>
      <c r="BG22" s="33">
        <v>0</v>
      </c>
      <c r="BH22" s="33">
        <v>35</v>
      </c>
      <c r="BI22" s="33">
        <v>411</v>
      </c>
      <c r="BJ22" s="33">
        <v>3</v>
      </c>
      <c r="BK22" s="33">
        <v>75.5</v>
      </c>
      <c r="BL22" s="33"/>
      <c r="BM22" s="33">
        <v>20</v>
      </c>
      <c r="BN22" s="33" t="s">
        <v>1598</v>
      </c>
      <c r="BO22" s="33" t="s">
        <v>1072</v>
      </c>
      <c r="BP22" s="33" t="s">
        <v>804</v>
      </c>
      <c r="BQ22" s="33" t="s">
        <v>1439</v>
      </c>
      <c r="BR22" s="33">
        <v>0</v>
      </c>
      <c r="BS22" s="33">
        <v>0</v>
      </c>
      <c r="BT22" s="33">
        <v>0</v>
      </c>
      <c r="BU22" s="33">
        <v>0</v>
      </c>
      <c r="BV22" s="33">
        <v>0</v>
      </c>
      <c r="BW22" s="33">
        <v>0</v>
      </c>
      <c r="BX22" s="33">
        <v>0</v>
      </c>
      <c r="BY22" s="33">
        <v>0</v>
      </c>
      <c r="BZ22" s="33">
        <v>0</v>
      </c>
      <c r="CA22" s="33">
        <v>73</v>
      </c>
      <c r="CB22" s="33"/>
      <c r="CC22" s="33">
        <v>20</v>
      </c>
      <c r="CD22" s="33" t="s">
        <v>1599</v>
      </c>
      <c r="CE22" s="33" t="s">
        <v>1072</v>
      </c>
      <c r="CF22" s="33" t="s">
        <v>804</v>
      </c>
      <c r="CG22" s="33" t="s">
        <v>1439</v>
      </c>
      <c r="CH22" s="33">
        <v>0</v>
      </c>
      <c r="CI22" s="33">
        <v>0</v>
      </c>
      <c r="CJ22" s="33">
        <v>0</v>
      </c>
      <c r="CK22" s="33">
        <v>0</v>
      </c>
      <c r="CL22" s="33">
        <v>0</v>
      </c>
      <c r="CM22" s="33">
        <v>0</v>
      </c>
      <c r="CN22" s="33">
        <v>0</v>
      </c>
      <c r="CO22" s="33">
        <v>0</v>
      </c>
      <c r="CP22" s="33">
        <v>0</v>
      </c>
      <c r="CQ22" s="33">
        <v>124</v>
      </c>
      <c r="CR22" s="33"/>
      <c r="CS22" s="33" t="str">
        <f t="shared" si="0"/>
        <v>Brandon Marshall</v>
      </c>
      <c r="CT22" s="33">
        <v>20</v>
      </c>
      <c r="CU22" s="33" t="s">
        <v>1600</v>
      </c>
      <c r="CV22" s="33">
        <v>9</v>
      </c>
      <c r="CW22" s="33" t="s">
        <v>219</v>
      </c>
      <c r="CX22" s="33">
        <v>37</v>
      </c>
      <c r="CY22" s="33"/>
      <c r="CZ22" s="33" t="str">
        <f t="shared" si="1"/>
        <v>Giovani Bernard</v>
      </c>
      <c r="DA22" s="33">
        <v>20</v>
      </c>
      <c r="DB22" s="33" t="s">
        <v>1601</v>
      </c>
      <c r="DC22" s="33">
        <v>4</v>
      </c>
      <c r="DD22" s="33" t="s">
        <v>1602</v>
      </c>
      <c r="DE22" s="33">
        <v>37</v>
      </c>
    </row>
    <row r="23" spans="1:109" ht="12.75" customHeight="1">
      <c r="A23" s="33">
        <v>21</v>
      </c>
      <c r="B23" s="33" t="s">
        <v>1603</v>
      </c>
      <c r="C23" s="33" t="s">
        <v>1072</v>
      </c>
      <c r="D23" s="33" t="s">
        <v>804</v>
      </c>
      <c r="E23" s="33" t="s">
        <v>1604</v>
      </c>
      <c r="F23" s="33">
        <v>3905</v>
      </c>
      <c r="G23" s="33">
        <v>22</v>
      </c>
      <c r="H23" s="33">
        <v>18</v>
      </c>
      <c r="I23" s="33">
        <v>36</v>
      </c>
      <c r="J23" s="33">
        <v>61</v>
      </c>
      <c r="K23" s="33">
        <v>1</v>
      </c>
      <c r="L23" s="33">
        <v>0</v>
      </c>
      <c r="M23" s="33">
        <v>0</v>
      </c>
      <c r="N23" s="33">
        <v>0</v>
      </c>
      <c r="O23" s="33">
        <v>260.2</v>
      </c>
      <c r="P23" s="33"/>
      <c r="Q23" s="33">
        <v>21</v>
      </c>
      <c r="R23" s="33" t="s">
        <v>1605</v>
      </c>
      <c r="S23" s="33" t="s">
        <v>1072</v>
      </c>
      <c r="T23" s="33" t="s">
        <v>804</v>
      </c>
      <c r="U23" s="33" t="s">
        <v>1439</v>
      </c>
      <c r="V23" s="33">
        <v>0</v>
      </c>
      <c r="W23" s="33">
        <v>0</v>
      </c>
      <c r="X23" s="33">
        <v>0</v>
      </c>
      <c r="Y23" s="33">
        <v>264</v>
      </c>
      <c r="Z23" s="33">
        <v>987</v>
      </c>
      <c r="AA23" s="33">
        <v>6</v>
      </c>
      <c r="AB23" s="33">
        <v>43</v>
      </c>
      <c r="AC23" s="33">
        <v>326</v>
      </c>
      <c r="AD23" s="33">
        <v>1</v>
      </c>
      <c r="AE23" s="33">
        <v>193.5</v>
      </c>
      <c r="AF23" s="33"/>
      <c r="AG23" s="33">
        <v>21</v>
      </c>
      <c r="AH23" s="33" t="s">
        <v>1606</v>
      </c>
      <c r="AI23" s="33" t="s">
        <v>1072</v>
      </c>
      <c r="AJ23" s="33" t="s">
        <v>804</v>
      </c>
      <c r="AK23" s="33" t="s">
        <v>1439</v>
      </c>
      <c r="AL23" s="33">
        <v>0</v>
      </c>
      <c r="AM23" s="33">
        <v>0</v>
      </c>
      <c r="AN23" s="33">
        <v>0</v>
      </c>
      <c r="AO23" s="33">
        <v>1</v>
      </c>
      <c r="AP23" s="33">
        <v>12</v>
      </c>
      <c r="AQ23" s="33">
        <v>0</v>
      </c>
      <c r="AR23" s="33">
        <v>80</v>
      </c>
      <c r="AS23" s="33">
        <v>1043</v>
      </c>
      <c r="AT23" s="33">
        <v>6</v>
      </c>
      <c r="AU23" s="33">
        <v>181</v>
      </c>
      <c r="AV23" s="33"/>
      <c r="AW23" s="33">
        <v>21</v>
      </c>
      <c r="AX23" s="33" t="s">
        <v>1607</v>
      </c>
      <c r="AY23" s="33" t="s">
        <v>1072</v>
      </c>
      <c r="AZ23" s="33" t="s">
        <v>804</v>
      </c>
      <c r="BA23" s="33" t="s">
        <v>1439</v>
      </c>
      <c r="BB23" s="33">
        <v>0</v>
      </c>
      <c r="BC23" s="33">
        <v>0</v>
      </c>
      <c r="BD23" s="33">
        <v>0</v>
      </c>
      <c r="BE23" s="33">
        <v>0</v>
      </c>
      <c r="BF23" s="33">
        <v>0</v>
      </c>
      <c r="BG23" s="33">
        <v>0</v>
      </c>
      <c r="BH23" s="33">
        <v>45</v>
      </c>
      <c r="BI23" s="33">
        <v>505</v>
      </c>
      <c r="BJ23" s="33">
        <v>3</v>
      </c>
      <c r="BK23" s="33">
        <v>91</v>
      </c>
      <c r="BL23" s="33"/>
      <c r="BM23" s="33">
        <v>21</v>
      </c>
      <c r="BN23" s="33" t="s">
        <v>1608</v>
      </c>
      <c r="BO23" s="33" t="s">
        <v>1072</v>
      </c>
      <c r="BP23" s="33" t="s">
        <v>804</v>
      </c>
      <c r="BQ23" s="33" t="s">
        <v>1439</v>
      </c>
      <c r="BR23" s="33">
        <v>0</v>
      </c>
      <c r="BS23" s="33">
        <v>0</v>
      </c>
      <c r="BT23" s="33">
        <v>0</v>
      </c>
      <c r="BU23" s="33">
        <v>0</v>
      </c>
      <c r="BV23" s="33">
        <v>0</v>
      </c>
      <c r="BW23" s="33">
        <v>0</v>
      </c>
      <c r="BX23" s="33">
        <v>0</v>
      </c>
      <c r="BY23" s="33">
        <v>0</v>
      </c>
      <c r="BZ23" s="33">
        <v>0</v>
      </c>
      <c r="CA23" s="33">
        <v>24</v>
      </c>
      <c r="CB23" s="33"/>
      <c r="CC23" s="33">
        <v>21</v>
      </c>
      <c r="CD23" s="33" t="s">
        <v>1609</v>
      </c>
      <c r="CE23" s="33" t="s">
        <v>1072</v>
      </c>
      <c r="CF23" s="33" t="s">
        <v>804</v>
      </c>
      <c r="CG23" s="33" t="s">
        <v>1439</v>
      </c>
      <c r="CH23" s="33">
        <v>0</v>
      </c>
      <c r="CI23" s="33">
        <v>0</v>
      </c>
      <c r="CJ23" s="33">
        <v>0</v>
      </c>
      <c r="CK23" s="33">
        <v>0</v>
      </c>
      <c r="CL23" s="33">
        <v>0</v>
      </c>
      <c r="CM23" s="33">
        <v>0</v>
      </c>
      <c r="CN23" s="33">
        <v>0</v>
      </c>
      <c r="CO23" s="33">
        <v>0</v>
      </c>
      <c r="CP23" s="33">
        <v>0</v>
      </c>
      <c r="CQ23" s="33">
        <v>127</v>
      </c>
      <c r="CR23" s="33"/>
      <c r="CS23" s="33" t="str">
        <f t="shared" si="0"/>
        <v>Julio Jones</v>
      </c>
      <c r="CT23" s="33">
        <v>21</v>
      </c>
      <c r="CU23" s="33" t="s">
        <v>1610</v>
      </c>
      <c r="CV23" s="33">
        <v>9</v>
      </c>
      <c r="CW23" s="33" t="s">
        <v>220</v>
      </c>
      <c r="CX23" s="33">
        <v>36</v>
      </c>
      <c r="CY23" s="33"/>
      <c r="CZ23" s="33" t="str">
        <f t="shared" si="1"/>
        <v>Reggie Bush</v>
      </c>
      <c r="DA23" s="33">
        <v>21</v>
      </c>
      <c r="DB23" s="33" t="s">
        <v>1611</v>
      </c>
      <c r="DC23" s="33">
        <v>9</v>
      </c>
      <c r="DD23" s="33" t="s">
        <v>1612</v>
      </c>
      <c r="DE23" s="33">
        <v>36</v>
      </c>
    </row>
    <row r="24" spans="1:109" ht="12.75" customHeight="1">
      <c r="A24" s="33">
        <v>22</v>
      </c>
      <c r="B24" s="33" t="s">
        <v>1613</v>
      </c>
      <c r="C24" s="33" t="s">
        <v>1072</v>
      </c>
      <c r="D24" s="33" t="s">
        <v>804</v>
      </c>
      <c r="E24" s="33" t="s">
        <v>1614</v>
      </c>
      <c r="F24" s="33">
        <v>3672</v>
      </c>
      <c r="G24" s="33">
        <v>23</v>
      </c>
      <c r="H24" s="33">
        <v>17</v>
      </c>
      <c r="I24" s="33">
        <v>42</v>
      </c>
      <c r="J24" s="33">
        <v>209</v>
      </c>
      <c r="K24" s="33">
        <v>1</v>
      </c>
      <c r="L24" s="33">
        <v>0</v>
      </c>
      <c r="M24" s="33">
        <v>0</v>
      </c>
      <c r="N24" s="33">
        <v>0</v>
      </c>
      <c r="O24" s="33">
        <v>272.3</v>
      </c>
      <c r="P24" s="33"/>
      <c r="Q24" s="33">
        <v>22</v>
      </c>
      <c r="R24" s="33" t="s">
        <v>1615</v>
      </c>
      <c r="S24" s="33" t="s">
        <v>1072</v>
      </c>
      <c r="T24" s="33" t="s">
        <v>804</v>
      </c>
      <c r="U24" s="33" t="s">
        <v>1439</v>
      </c>
      <c r="V24" s="33">
        <v>0</v>
      </c>
      <c r="W24" s="33">
        <v>0</v>
      </c>
      <c r="X24" s="33">
        <v>0</v>
      </c>
      <c r="Y24" s="33">
        <v>253</v>
      </c>
      <c r="Z24" s="33">
        <v>931</v>
      </c>
      <c r="AA24" s="33">
        <v>6</v>
      </c>
      <c r="AB24" s="33">
        <v>33</v>
      </c>
      <c r="AC24" s="33">
        <v>253</v>
      </c>
      <c r="AD24" s="33">
        <v>0</v>
      </c>
      <c r="AE24" s="33">
        <v>168.5</v>
      </c>
      <c r="AF24" s="33"/>
      <c r="AG24" s="33">
        <v>22</v>
      </c>
      <c r="AH24" s="33" t="s">
        <v>1616</v>
      </c>
      <c r="AI24" s="33" t="s">
        <v>1072</v>
      </c>
      <c r="AJ24" s="33" t="s">
        <v>804</v>
      </c>
      <c r="AK24" s="33" t="s">
        <v>1439</v>
      </c>
      <c r="AL24" s="33">
        <v>0</v>
      </c>
      <c r="AM24" s="33">
        <v>0</v>
      </c>
      <c r="AN24" s="33">
        <v>0</v>
      </c>
      <c r="AO24" s="33">
        <v>2</v>
      </c>
      <c r="AP24" s="33">
        <v>12</v>
      </c>
      <c r="AQ24" s="33">
        <v>0</v>
      </c>
      <c r="AR24" s="33">
        <v>61</v>
      </c>
      <c r="AS24" s="33">
        <v>1056</v>
      </c>
      <c r="AT24" s="33">
        <v>6</v>
      </c>
      <c r="AU24" s="33">
        <v>173</v>
      </c>
      <c r="AV24" s="33"/>
      <c r="AW24" s="33">
        <v>22</v>
      </c>
      <c r="AX24" s="33" t="s">
        <v>1617</v>
      </c>
      <c r="AY24" s="33" t="s">
        <v>1072</v>
      </c>
      <c r="AZ24" s="33" t="s">
        <v>804</v>
      </c>
      <c r="BA24" s="33" t="s">
        <v>1439</v>
      </c>
      <c r="BB24" s="33">
        <v>0</v>
      </c>
      <c r="BC24" s="33">
        <v>0</v>
      </c>
      <c r="BD24" s="33">
        <v>0</v>
      </c>
      <c r="BE24" s="33">
        <v>0</v>
      </c>
      <c r="BF24" s="33">
        <v>0</v>
      </c>
      <c r="BG24" s="33">
        <v>0</v>
      </c>
      <c r="BH24" s="33">
        <v>33</v>
      </c>
      <c r="BI24" s="33">
        <v>341</v>
      </c>
      <c r="BJ24" s="33">
        <v>3</v>
      </c>
      <c r="BK24" s="33">
        <v>68.5</v>
      </c>
      <c r="BL24" s="33"/>
      <c r="BM24" s="33">
        <v>22</v>
      </c>
      <c r="BN24" s="33" t="s">
        <v>1618</v>
      </c>
      <c r="BO24" s="33" t="s">
        <v>1072</v>
      </c>
      <c r="BP24" s="33" t="s">
        <v>804</v>
      </c>
      <c r="BQ24" s="33" t="s">
        <v>1439</v>
      </c>
      <c r="BR24" s="33">
        <v>0</v>
      </c>
      <c r="BS24" s="33">
        <v>0</v>
      </c>
      <c r="BT24" s="33">
        <v>0</v>
      </c>
      <c r="BU24" s="33">
        <v>0</v>
      </c>
      <c r="BV24" s="33">
        <v>0</v>
      </c>
      <c r="BW24" s="33">
        <v>0</v>
      </c>
      <c r="BX24" s="33">
        <v>0</v>
      </c>
      <c r="BY24" s="33">
        <v>0</v>
      </c>
      <c r="BZ24" s="33">
        <v>0</v>
      </c>
      <c r="CA24" s="33">
        <v>17</v>
      </c>
      <c r="CB24" s="33"/>
      <c r="CC24" s="33">
        <v>22</v>
      </c>
      <c r="CD24" s="33" t="s">
        <v>1619</v>
      </c>
      <c r="CE24" s="33" t="s">
        <v>1072</v>
      </c>
      <c r="CF24" s="33" t="s">
        <v>804</v>
      </c>
      <c r="CG24" s="33" t="s">
        <v>1439</v>
      </c>
      <c r="CH24" s="33">
        <v>0</v>
      </c>
      <c r="CI24" s="33">
        <v>0</v>
      </c>
      <c r="CJ24" s="33">
        <v>0</v>
      </c>
      <c r="CK24" s="33">
        <v>0</v>
      </c>
      <c r="CL24" s="33">
        <v>0</v>
      </c>
      <c r="CM24" s="33">
        <v>0</v>
      </c>
      <c r="CN24" s="33">
        <v>0</v>
      </c>
      <c r="CO24" s="33">
        <v>0</v>
      </c>
      <c r="CP24" s="33">
        <v>0</v>
      </c>
      <c r="CQ24" s="33">
        <v>127</v>
      </c>
      <c r="CR24" s="33"/>
      <c r="CS24" s="33" t="str">
        <f t="shared" si="0"/>
        <v>Jordy Nelson</v>
      </c>
      <c r="CT24" s="33">
        <v>22</v>
      </c>
      <c r="CU24" s="33" t="s">
        <v>1620</v>
      </c>
      <c r="CV24" s="33">
        <v>9</v>
      </c>
      <c r="CW24" s="33" t="s">
        <v>221</v>
      </c>
      <c r="CX24" s="33">
        <v>34</v>
      </c>
      <c r="CY24" s="33"/>
      <c r="CZ24" s="33" t="str">
        <f t="shared" si="1"/>
        <v>Matthew Stafford</v>
      </c>
      <c r="DA24" s="33">
        <v>22</v>
      </c>
      <c r="DB24" s="33" t="s">
        <v>1621</v>
      </c>
      <c r="DC24" s="33">
        <v>9</v>
      </c>
      <c r="DD24" s="33" t="s">
        <v>206</v>
      </c>
      <c r="DE24" s="33">
        <v>34</v>
      </c>
    </row>
    <row r="25" spans="1:109" ht="12.75" customHeight="1">
      <c r="A25" s="33">
        <v>23</v>
      </c>
      <c r="B25" s="33" t="s">
        <v>1622</v>
      </c>
      <c r="C25" s="33" t="s">
        <v>1072</v>
      </c>
      <c r="D25" s="33" t="s">
        <v>804</v>
      </c>
      <c r="E25" s="33" t="s">
        <v>1623</v>
      </c>
      <c r="F25" s="33">
        <v>2456</v>
      </c>
      <c r="G25" s="33">
        <v>12</v>
      </c>
      <c r="H25" s="33">
        <v>15</v>
      </c>
      <c r="I25" s="33">
        <v>70</v>
      </c>
      <c r="J25" s="33">
        <v>351</v>
      </c>
      <c r="K25" s="33">
        <v>5</v>
      </c>
      <c r="L25" s="33">
        <v>0</v>
      </c>
      <c r="M25" s="33">
        <v>0</v>
      </c>
      <c r="N25" s="33">
        <v>0</v>
      </c>
      <c r="O25" s="33">
        <v>201.2</v>
      </c>
      <c r="P25" s="33"/>
      <c r="Q25" s="33">
        <v>23</v>
      </c>
      <c r="R25" s="33" t="s">
        <v>1624</v>
      </c>
      <c r="S25" s="33" t="s">
        <v>1072</v>
      </c>
      <c r="T25" s="33" t="s">
        <v>804</v>
      </c>
      <c r="U25" s="33" t="s">
        <v>1439</v>
      </c>
      <c r="V25" s="33">
        <v>0</v>
      </c>
      <c r="W25" s="33">
        <v>0</v>
      </c>
      <c r="X25" s="33">
        <v>0</v>
      </c>
      <c r="Y25" s="33">
        <v>217</v>
      </c>
      <c r="Z25" s="33">
        <v>901</v>
      </c>
      <c r="AA25" s="33">
        <v>6</v>
      </c>
      <c r="AB25" s="33">
        <v>54</v>
      </c>
      <c r="AC25" s="33">
        <v>330</v>
      </c>
      <c r="AD25" s="33">
        <v>1</v>
      </c>
      <c r="AE25" s="33">
        <v>190</v>
      </c>
      <c r="AF25" s="33"/>
      <c r="AG25" s="33">
        <v>23</v>
      </c>
      <c r="AH25" s="33" t="s">
        <v>1625</v>
      </c>
      <c r="AI25" s="33" t="s">
        <v>1072</v>
      </c>
      <c r="AJ25" s="33" t="s">
        <v>804</v>
      </c>
      <c r="AK25" s="33" t="s">
        <v>1439</v>
      </c>
      <c r="AL25" s="33">
        <v>0</v>
      </c>
      <c r="AM25" s="33">
        <v>0</v>
      </c>
      <c r="AN25" s="33">
        <v>0</v>
      </c>
      <c r="AO25" s="33">
        <v>0</v>
      </c>
      <c r="AP25" s="33">
        <v>0</v>
      </c>
      <c r="AQ25" s="33">
        <v>0</v>
      </c>
      <c r="AR25" s="33">
        <v>70</v>
      </c>
      <c r="AS25" s="33">
        <v>1076</v>
      </c>
      <c r="AT25" s="33">
        <v>5</v>
      </c>
      <c r="AU25" s="33">
        <v>171.5</v>
      </c>
      <c r="AV25" s="33"/>
      <c r="AW25" s="33">
        <v>23</v>
      </c>
      <c r="AX25" s="33" t="s">
        <v>1626</v>
      </c>
      <c r="AY25" s="33" t="s">
        <v>1072</v>
      </c>
      <c r="AZ25" s="33" t="s">
        <v>804</v>
      </c>
      <c r="BA25" s="33" t="s">
        <v>1439</v>
      </c>
      <c r="BB25" s="33">
        <v>0</v>
      </c>
      <c r="BC25" s="33">
        <v>0</v>
      </c>
      <c r="BD25" s="33">
        <v>0</v>
      </c>
      <c r="BE25" s="33">
        <v>0</v>
      </c>
      <c r="BF25" s="33">
        <v>0</v>
      </c>
      <c r="BG25" s="33">
        <v>0</v>
      </c>
      <c r="BH25" s="33">
        <v>29</v>
      </c>
      <c r="BI25" s="33">
        <v>345</v>
      </c>
      <c r="BJ25" s="33">
        <v>5</v>
      </c>
      <c r="BK25" s="33">
        <v>79</v>
      </c>
      <c r="BL25" s="33"/>
      <c r="BM25" s="33">
        <v>23</v>
      </c>
      <c r="BN25" s="33" t="s">
        <v>1627</v>
      </c>
      <c r="BO25" s="33" t="s">
        <v>1072</v>
      </c>
      <c r="BP25" s="33" t="s">
        <v>804</v>
      </c>
      <c r="BQ25" s="33" t="s">
        <v>1439</v>
      </c>
      <c r="BR25" s="33">
        <v>0</v>
      </c>
      <c r="BS25" s="33">
        <v>0</v>
      </c>
      <c r="BT25" s="33">
        <v>0</v>
      </c>
      <c r="BU25" s="33">
        <v>0</v>
      </c>
      <c r="BV25" s="33">
        <v>0</v>
      </c>
      <c r="BW25" s="33">
        <v>0</v>
      </c>
      <c r="BX25" s="33">
        <v>0</v>
      </c>
      <c r="BY25" s="33">
        <v>0</v>
      </c>
      <c r="BZ25" s="33">
        <v>0</v>
      </c>
      <c r="CA25" s="33">
        <v>65</v>
      </c>
      <c r="CB25" s="33"/>
      <c r="CC25" s="33">
        <v>23</v>
      </c>
      <c r="CD25" s="33" t="s">
        <v>1628</v>
      </c>
      <c r="CE25" s="33" t="s">
        <v>1072</v>
      </c>
      <c r="CF25" s="33" t="s">
        <v>804</v>
      </c>
      <c r="CG25" s="33" t="s">
        <v>1439</v>
      </c>
      <c r="CH25" s="33">
        <v>0</v>
      </c>
      <c r="CI25" s="33">
        <v>0</v>
      </c>
      <c r="CJ25" s="33">
        <v>0</v>
      </c>
      <c r="CK25" s="33">
        <v>0</v>
      </c>
      <c r="CL25" s="33">
        <v>0</v>
      </c>
      <c r="CM25" s="33">
        <v>0</v>
      </c>
      <c r="CN25" s="33">
        <v>0</v>
      </c>
      <c r="CO25" s="33">
        <v>0</v>
      </c>
      <c r="CP25" s="33">
        <v>0</v>
      </c>
      <c r="CQ25" s="33">
        <v>113</v>
      </c>
      <c r="CR25" s="33"/>
      <c r="CS25" s="33" t="str">
        <f t="shared" si="0"/>
        <v>Alfred Morris</v>
      </c>
      <c r="CT25" s="33">
        <v>23</v>
      </c>
      <c r="CU25" s="33" t="s">
        <v>1629</v>
      </c>
      <c r="CV25" s="33">
        <v>10</v>
      </c>
      <c r="CW25" s="33" t="s">
        <v>1602</v>
      </c>
      <c r="CX25" s="33">
        <v>33</v>
      </c>
      <c r="CY25" s="33"/>
      <c r="CZ25" s="33" t="str">
        <f t="shared" si="1"/>
        <v>Zac Stacy</v>
      </c>
      <c r="DA25" s="33">
        <v>23</v>
      </c>
      <c r="DB25" s="33" t="s">
        <v>1592</v>
      </c>
      <c r="DC25" s="33">
        <v>4</v>
      </c>
      <c r="DD25" s="33" t="s">
        <v>1630</v>
      </c>
      <c r="DE25" s="33">
        <v>33</v>
      </c>
    </row>
    <row r="26" spans="1:109" ht="12.75" customHeight="1">
      <c r="A26" s="33">
        <v>24</v>
      </c>
      <c r="B26" s="33" t="s">
        <v>1631</v>
      </c>
      <c r="C26" s="33" t="s">
        <v>1072</v>
      </c>
      <c r="D26" s="33" t="s">
        <v>804</v>
      </c>
      <c r="E26" s="33" t="s">
        <v>1632</v>
      </c>
      <c r="F26" s="33">
        <v>3122</v>
      </c>
      <c r="G26" s="33">
        <v>18</v>
      </c>
      <c r="H26" s="33">
        <v>8</v>
      </c>
      <c r="I26" s="33">
        <v>65</v>
      </c>
      <c r="J26" s="33">
        <v>327</v>
      </c>
      <c r="K26" s="33">
        <v>1</v>
      </c>
      <c r="L26" s="33">
        <v>0</v>
      </c>
      <c r="M26" s="33">
        <v>0</v>
      </c>
      <c r="N26" s="33">
        <v>0</v>
      </c>
      <c r="O26" s="33">
        <v>252.3</v>
      </c>
      <c r="P26" s="33"/>
      <c r="Q26" s="33">
        <v>24</v>
      </c>
      <c r="R26" s="33" t="s">
        <v>1633</v>
      </c>
      <c r="S26" s="33" t="s">
        <v>1072</v>
      </c>
      <c r="T26" s="33" t="s">
        <v>804</v>
      </c>
      <c r="U26" s="33" t="s">
        <v>1439</v>
      </c>
      <c r="V26" s="33">
        <v>0</v>
      </c>
      <c r="W26" s="33">
        <v>0</v>
      </c>
      <c r="X26" s="33">
        <v>0</v>
      </c>
      <c r="Y26" s="33">
        <v>217</v>
      </c>
      <c r="Z26" s="33">
        <v>960</v>
      </c>
      <c r="AA26" s="33">
        <v>7</v>
      </c>
      <c r="AB26" s="33">
        <v>31</v>
      </c>
      <c r="AC26" s="33">
        <v>218</v>
      </c>
      <c r="AD26" s="33">
        <v>0</v>
      </c>
      <c r="AE26" s="33">
        <v>173</v>
      </c>
      <c r="AF26" s="33"/>
      <c r="AG26" s="33">
        <v>24</v>
      </c>
      <c r="AH26" s="33" t="s">
        <v>1634</v>
      </c>
      <c r="AI26" s="33" t="s">
        <v>1072</v>
      </c>
      <c r="AJ26" s="33" t="s">
        <v>804</v>
      </c>
      <c r="AK26" s="33" t="s">
        <v>1439</v>
      </c>
      <c r="AL26" s="33">
        <v>0</v>
      </c>
      <c r="AM26" s="33">
        <v>0</v>
      </c>
      <c r="AN26" s="33">
        <v>0</v>
      </c>
      <c r="AO26" s="33">
        <v>15</v>
      </c>
      <c r="AP26" s="33">
        <v>104</v>
      </c>
      <c r="AQ26" s="33">
        <v>1</v>
      </c>
      <c r="AR26" s="33">
        <v>73</v>
      </c>
      <c r="AS26" s="33">
        <v>814</v>
      </c>
      <c r="AT26" s="33">
        <v>7</v>
      </c>
      <c r="AU26" s="33">
        <v>174.5</v>
      </c>
      <c r="AV26" s="33"/>
      <c r="AW26" s="33">
        <v>24</v>
      </c>
      <c r="AX26" s="33" t="s">
        <v>1635</v>
      </c>
      <c r="AY26" s="33" t="s">
        <v>1072</v>
      </c>
      <c r="AZ26" s="33" t="s">
        <v>804</v>
      </c>
      <c r="BA26" s="33" t="s">
        <v>1439</v>
      </c>
      <c r="BB26" s="33">
        <v>0</v>
      </c>
      <c r="BC26" s="33">
        <v>0</v>
      </c>
      <c r="BD26" s="33">
        <v>0</v>
      </c>
      <c r="BE26" s="33">
        <v>0</v>
      </c>
      <c r="BF26" s="33">
        <v>0</v>
      </c>
      <c r="BG26" s="33">
        <v>0</v>
      </c>
      <c r="BH26" s="33">
        <v>31</v>
      </c>
      <c r="BI26" s="33">
        <v>376</v>
      </c>
      <c r="BJ26" s="33">
        <v>3</v>
      </c>
      <c r="BK26" s="33">
        <v>71</v>
      </c>
      <c r="BL26" s="33"/>
      <c r="BM26" s="33">
        <v>24</v>
      </c>
      <c r="BN26" s="33" t="s">
        <v>1636</v>
      </c>
      <c r="BO26" s="33" t="s">
        <v>1072</v>
      </c>
      <c r="BP26" s="33" t="s">
        <v>804</v>
      </c>
      <c r="BQ26" s="33" t="s">
        <v>1439</v>
      </c>
      <c r="BR26" s="33">
        <v>0</v>
      </c>
      <c r="BS26" s="33">
        <v>0</v>
      </c>
      <c r="BT26" s="33">
        <v>0</v>
      </c>
      <c r="BU26" s="33">
        <v>0</v>
      </c>
      <c r="BV26" s="33">
        <v>0</v>
      </c>
      <c r="BW26" s="33">
        <v>0</v>
      </c>
      <c r="BX26" s="33">
        <v>0</v>
      </c>
      <c r="BY26" s="33">
        <v>0</v>
      </c>
      <c r="BZ26" s="33">
        <v>0</v>
      </c>
      <c r="CA26" s="33">
        <v>65</v>
      </c>
      <c r="CB26" s="33"/>
      <c r="CC26" s="33">
        <v>24</v>
      </c>
      <c r="CD26" s="33" t="s">
        <v>1637</v>
      </c>
      <c r="CE26" s="33" t="s">
        <v>1072</v>
      </c>
      <c r="CF26" s="33" t="s">
        <v>804</v>
      </c>
      <c r="CG26" s="33" t="s">
        <v>1439</v>
      </c>
      <c r="CH26" s="33">
        <v>0</v>
      </c>
      <c r="CI26" s="33">
        <v>0</v>
      </c>
      <c r="CJ26" s="33">
        <v>0</v>
      </c>
      <c r="CK26" s="33">
        <v>0</v>
      </c>
      <c r="CL26" s="33">
        <v>0</v>
      </c>
      <c r="CM26" s="33">
        <v>0</v>
      </c>
      <c r="CN26" s="33">
        <v>0</v>
      </c>
      <c r="CO26" s="33">
        <v>0</v>
      </c>
      <c r="CP26" s="33">
        <v>0</v>
      </c>
      <c r="CQ26" s="33">
        <v>113</v>
      </c>
      <c r="CR26" s="33"/>
      <c r="CS26" s="33" t="str">
        <f t="shared" si="0"/>
        <v>Alshon Jeffery</v>
      </c>
      <c r="CT26" s="33">
        <v>24</v>
      </c>
      <c r="CU26" s="33" t="s">
        <v>1638</v>
      </c>
      <c r="CV26" s="33">
        <v>9</v>
      </c>
      <c r="CW26" s="33" t="s">
        <v>222</v>
      </c>
      <c r="CX26" s="33">
        <v>32</v>
      </c>
      <c r="CY26" s="33"/>
      <c r="CZ26" s="33" t="str">
        <f t="shared" si="1"/>
        <v>Brandon Marshall</v>
      </c>
      <c r="DA26" s="33">
        <v>24</v>
      </c>
      <c r="DB26" s="33" t="s">
        <v>1600</v>
      </c>
      <c r="DC26" s="33">
        <v>9</v>
      </c>
      <c r="DD26" s="33" t="s">
        <v>219</v>
      </c>
      <c r="DE26" s="33">
        <v>32</v>
      </c>
    </row>
    <row r="27" spans="1:109" ht="12.75" customHeight="1">
      <c r="A27" s="33">
        <v>25</v>
      </c>
      <c r="B27" s="33" t="s">
        <v>1639</v>
      </c>
      <c r="C27" s="33" t="s">
        <v>1072</v>
      </c>
      <c r="D27" s="33" t="s">
        <v>804</v>
      </c>
      <c r="E27" s="33" t="s">
        <v>1640</v>
      </c>
      <c r="F27" s="33">
        <v>2558</v>
      </c>
      <c r="G27" s="33">
        <v>14</v>
      </c>
      <c r="H27" s="33">
        <v>11</v>
      </c>
      <c r="I27" s="33">
        <v>87</v>
      </c>
      <c r="J27" s="33">
        <v>304</v>
      </c>
      <c r="K27" s="33">
        <v>3</v>
      </c>
      <c r="L27" s="33">
        <v>0</v>
      </c>
      <c r="M27" s="33">
        <v>0</v>
      </c>
      <c r="N27" s="33">
        <v>0</v>
      </c>
      <c r="O27" s="33">
        <v>210.2</v>
      </c>
      <c r="P27" s="33"/>
      <c r="Q27" s="33">
        <v>25</v>
      </c>
      <c r="R27" s="33" t="s">
        <v>1641</v>
      </c>
      <c r="S27" s="33" t="s">
        <v>1072</v>
      </c>
      <c r="T27" s="33" t="s">
        <v>804</v>
      </c>
      <c r="U27" s="33" t="s">
        <v>1439</v>
      </c>
      <c r="V27" s="33">
        <v>0</v>
      </c>
      <c r="W27" s="33">
        <v>0</v>
      </c>
      <c r="X27" s="33">
        <v>0</v>
      </c>
      <c r="Y27" s="33">
        <v>201</v>
      </c>
      <c r="Z27" s="33">
        <v>802</v>
      </c>
      <c r="AA27" s="33">
        <v>6</v>
      </c>
      <c r="AB27" s="33">
        <v>38</v>
      </c>
      <c r="AC27" s="33">
        <v>330</v>
      </c>
      <c r="AD27" s="33">
        <v>2</v>
      </c>
      <c r="AE27" s="33">
        <v>178</v>
      </c>
      <c r="AF27" s="33"/>
      <c r="AG27" s="33">
        <v>25</v>
      </c>
      <c r="AH27" s="33" t="s">
        <v>1642</v>
      </c>
      <c r="AI27" s="33" t="s">
        <v>1072</v>
      </c>
      <c r="AJ27" s="33" t="s">
        <v>804</v>
      </c>
      <c r="AK27" s="33" t="s">
        <v>1439</v>
      </c>
      <c r="AL27" s="33">
        <v>0</v>
      </c>
      <c r="AM27" s="33">
        <v>0</v>
      </c>
      <c r="AN27" s="33">
        <v>0</v>
      </c>
      <c r="AO27" s="33">
        <v>4</v>
      </c>
      <c r="AP27" s="33">
        <v>34</v>
      </c>
      <c r="AQ27" s="33">
        <v>0</v>
      </c>
      <c r="AR27" s="33">
        <v>96</v>
      </c>
      <c r="AS27" s="33">
        <v>935</v>
      </c>
      <c r="AT27" s="33">
        <v>7</v>
      </c>
      <c r="AU27" s="33">
        <v>185.5</v>
      </c>
      <c r="AV27" s="33"/>
      <c r="AW27" s="33">
        <v>25</v>
      </c>
      <c r="AX27" s="33" t="s">
        <v>1643</v>
      </c>
      <c r="AY27" s="33" t="s">
        <v>1072</v>
      </c>
      <c r="AZ27" s="33" t="s">
        <v>804</v>
      </c>
      <c r="BA27" s="33" t="s">
        <v>1439</v>
      </c>
      <c r="BB27" s="33">
        <v>0</v>
      </c>
      <c r="BC27" s="33">
        <v>0</v>
      </c>
      <c r="BD27" s="33">
        <v>0</v>
      </c>
      <c r="BE27" s="33">
        <v>0</v>
      </c>
      <c r="BF27" s="33">
        <v>0</v>
      </c>
      <c r="BG27" s="33">
        <v>0</v>
      </c>
      <c r="BH27" s="33">
        <v>47</v>
      </c>
      <c r="BI27" s="33">
        <v>537</v>
      </c>
      <c r="BJ27" s="33">
        <v>3</v>
      </c>
      <c r="BK27" s="33">
        <v>95</v>
      </c>
      <c r="BL27" s="33"/>
      <c r="BM27" s="33">
        <v>25</v>
      </c>
      <c r="BN27" s="33" t="s">
        <v>1644</v>
      </c>
      <c r="BO27" s="33" t="s">
        <v>1072</v>
      </c>
      <c r="BP27" s="33" t="s">
        <v>804</v>
      </c>
      <c r="BQ27" s="33" t="s">
        <v>1439</v>
      </c>
      <c r="BR27" s="33">
        <v>0</v>
      </c>
      <c r="BS27" s="33">
        <v>0</v>
      </c>
      <c r="BT27" s="33">
        <v>0</v>
      </c>
      <c r="BU27" s="33">
        <v>0</v>
      </c>
      <c r="BV27" s="33">
        <v>0</v>
      </c>
      <c r="BW27" s="33">
        <v>0</v>
      </c>
      <c r="BX27" s="33">
        <v>0</v>
      </c>
      <c r="BY27" s="33">
        <v>0</v>
      </c>
      <c r="BZ27" s="33">
        <v>0</v>
      </c>
      <c r="CA27" s="33">
        <v>60</v>
      </c>
      <c r="CB27" s="33"/>
      <c r="CC27" s="33">
        <v>25</v>
      </c>
      <c r="CD27" s="33" t="s">
        <v>1645</v>
      </c>
      <c r="CE27" s="33" t="s">
        <v>1072</v>
      </c>
      <c r="CF27" s="33" t="s">
        <v>804</v>
      </c>
      <c r="CG27" s="33" t="s">
        <v>1439</v>
      </c>
      <c r="CH27" s="33">
        <v>0</v>
      </c>
      <c r="CI27" s="33">
        <v>0</v>
      </c>
      <c r="CJ27" s="33">
        <v>0</v>
      </c>
      <c r="CK27" s="33">
        <v>0</v>
      </c>
      <c r="CL27" s="33">
        <v>0</v>
      </c>
      <c r="CM27" s="33">
        <v>0</v>
      </c>
      <c r="CN27" s="33">
        <v>0</v>
      </c>
      <c r="CO27" s="33">
        <v>0</v>
      </c>
      <c r="CP27" s="33">
        <v>0</v>
      </c>
      <c r="CQ27" s="33">
        <v>108</v>
      </c>
      <c r="CR27" s="33"/>
      <c r="CS27" s="33" t="str">
        <f t="shared" si="0"/>
        <v>Montee Ball</v>
      </c>
      <c r="CT27" s="33">
        <v>25</v>
      </c>
      <c r="CU27" s="33" t="s">
        <v>1583</v>
      </c>
      <c r="CV27" s="33">
        <v>4</v>
      </c>
      <c r="CW27" s="33" t="s">
        <v>1612</v>
      </c>
      <c r="CX27" s="33">
        <v>32</v>
      </c>
      <c r="CY27" s="33"/>
      <c r="CZ27" s="33" t="str">
        <f t="shared" si="1"/>
        <v>Cam Newton</v>
      </c>
      <c r="DA27" s="33">
        <v>25</v>
      </c>
      <c r="DB27" s="33" t="s">
        <v>1646</v>
      </c>
      <c r="DC27" s="33">
        <v>12</v>
      </c>
      <c r="DD27" s="33" t="s">
        <v>1647</v>
      </c>
      <c r="DE27" s="33">
        <v>32</v>
      </c>
    </row>
    <row r="28" spans="1:109" ht="12.75" customHeight="1">
      <c r="A28" s="33">
        <v>26</v>
      </c>
      <c r="B28" s="33" t="s">
        <v>1648</v>
      </c>
      <c r="C28" s="33" t="s">
        <v>1072</v>
      </c>
      <c r="D28" s="33" t="s">
        <v>804</v>
      </c>
      <c r="E28" s="33" t="s">
        <v>1649</v>
      </c>
      <c r="F28" s="33">
        <v>3121</v>
      </c>
      <c r="G28" s="33">
        <v>21</v>
      </c>
      <c r="H28" s="33">
        <v>14</v>
      </c>
      <c r="I28" s="33">
        <v>21</v>
      </c>
      <c r="J28" s="33">
        <v>31</v>
      </c>
      <c r="K28" s="33">
        <v>0</v>
      </c>
      <c r="L28" s="33">
        <v>0</v>
      </c>
      <c r="M28" s="33">
        <v>0</v>
      </c>
      <c r="N28" s="33">
        <v>0</v>
      </c>
      <c r="O28" s="33">
        <v>223.8</v>
      </c>
      <c r="P28" s="33"/>
      <c r="Q28" s="33">
        <v>26</v>
      </c>
      <c r="R28" s="33" t="s">
        <v>1650</v>
      </c>
      <c r="S28" s="33" t="s">
        <v>1072</v>
      </c>
      <c r="T28" s="33" t="s">
        <v>804</v>
      </c>
      <c r="U28" s="33" t="s">
        <v>1439</v>
      </c>
      <c r="V28" s="33">
        <v>0</v>
      </c>
      <c r="W28" s="33">
        <v>0</v>
      </c>
      <c r="X28" s="33">
        <v>0</v>
      </c>
      <c r="Y28" s="33">
        <v>219</v>
      </c>
      <c r="Z28" s="33">
        <v>877</v>
      </c>
      <c r="AA28" s="33">
        <v>6</v>
      </c>
      <c r="AB28" s="33">
        <v>27</v>
      </c>
      <c r="AC28" s="33">
        <v>221</v>
      </c>
      <c r="AD28" s="33">
        <v>1</v>
      </c>
      <c r="AE28" s="33">
        <v>164</v>
      </c>
      <c r="AF28" s="33"/>
      <c r="AG28" s="33">
        <v>26</v>
      </c>
      <c r="AH28" s="33" t="s">
        <v>1651</v>
      </c>
      <c r="AI28" s="33" t="s">
        <v>1072</v>
      </c>
      <c r="AJ28" s="33" t="s">
        <v>804</v>
      </c>
      <c r="AK28" s="33" t="s">
        <v>1439</v>
      </c>
      <c r="AL28" s="33">
        <v>0</v>
      </c>
      <c r="AM28" s="33">
        <v>0</v>
      </c>
      <c r="AN28" s="33">
        <v>0</v>
      </c>
      <c r="AO28" s="33">
        <v>0</v>
      </c>
      <c r="AP28" s="33">
        <v>0</v>
      </c>
      <c r="AQ28" s="33">
        <v>0</v>
      </c>
      <c r="AR28" s="33">
        <v>63</v>
      </c>
      <c r="AS28" s="33">
        <v>875</v>
      </c>
      <c r="AT28" s="33">
        <v>7</v>
      </c>
      <c r="AU28" s="33">
        <v>160</v>
      </c>
      <c r="AV28" s="33"/>
      <c r="AW28" s="33">
        <v>26</v>
      </c>
      <c r="AX28" s="33" t="s">
        <v>1652</v>
      </c>
      <c r="AY28" s="33" t="s">
        <v>1072</v>
      </c>
      <c r="AZ28" s="33" t="s">
        <v>804</v>
      </c>
      <c r="BA28" s="33" t="s">
        <v>1439</v>
      </c>
      <c r="BB28" s="33">
        <v>0</v>
      </c>
      <c r="BC28" s="33">
        <v>0</v>
      </c>
      <c r="BD28" s="33">
        <v>0</v>
      </c>
      <c r="BE28" s="33">
        <v>0</v>
      </c>
      <c r="BF28" s="33">
        <v>0</v>
      </c>
      <c r="BG28" s="33">
        <v>0</v>
      </c>
      <c r="BH28" s="33">
        <v>39</v>
      </c>
      <c r="BI28" s="33">
        <v>440</v>
      </c>
      <c r="BJ28" s="33">
        <v>3</v>
      </c>
      <c r="BK28" s="33">
        <v>81.5</v>
      </c>
      <c r="BL28" s="33"/>
      <c r="BM28" s="33">
        <v>26</v>
      </c>
      <c r="BN28" s="33" t="s">
        <v>1653</v>
      </c>
      <c r="BO28" s="33" t="s">
        <v>1072</v>
      </c>
      <c r="BP28" s="33" t="s">
        <v>804</v>
      </c>
      <c r="BQ28" s="33" t="s">
        <v>1439</v>
      </c>
      <c r="BR28" s="33">
        <v>0</v>
      </c>
      <c r="BS28" s="33">
        <v>0</v>
      </c>
      <c r="BT28" s="33">
        <v>0</v>
      </c>
      <c r="BU28" s="33">
        <v>0</v>
      </c>
      <c r="BV28" s="33">
        <v>0</v>
      </c>
      <c r="BW28" s="33">
        <v>0</v>
      </c>
      <c r="BX28" s="33">
        <v>0</v>
      </c>
      <c r="BY28" s="33">
        <v>0</v>
      </c>
      <c r="BZ28" s="33">
        <v>0</v>
      </c>
      <c r="CA28" s="33">
        <v>60</v>
      </c>
      <c r="CB28" s="33"/>
      <c r="CC28" s="33">
        <v>26</v>
      </c>
      <c r="CD28" s="33" t="s">
        <v>1654</v>
      </c>
      <c r="CE28" s="33" t="s">
        <v>1072</v>
      </c>
      <c r="CF28" s="33" t="s">
        <v>804</v>
      </c>
      <c r="CG28" s="33" t="s">
        <v>1439</v>
      </c>
      <c r="CH28" s="33">
        <v>0</v>
      </c>
      <c r="CI28" s="33">
        <v>0</v>
      </c>
      <c r="CJ28" s="33">
        <v>0</v>
      </c>
      <c r="CK28" s="33">
        <v>0</v>
      </c>
      <c r="CL28" s="33">
        <v>0</v>
      </c>
      <c r="CM28" s="33">
        <v>0</v>
      </c>
      <c r="CN28" s="33">
        <v>0</v>
      </c>
      <c r="CO28" s="33">
        <v>0</v>
      </c>
      <c r="CP28" s="33">
        <v>0</v>
      </c>
      <c r="CQ28" s="33">
        <v>109</v>
      </c>
      <c r="CR28" s="33"/>
      <c r="CS28" s="33" t="str">
        <f t="shared" si="0"/>
        <v>Giovani Bernard</v>
      </c>
      <c r="CT28" s="33">
        <v>26</v>
      </c>
      <c r="CU28" s="33" t="s">
        <v>1601</v>
      </c>
      <c r="CV28" s="33">
        <v>4</v>
      </c>
      <c r="CW28" s="33" t="s">
        <v>1630</v>
      </c>
      <c r="CX28" s="33">
        <v>31</v>
      </c>
      <c r="CY28" s="33"/>
      <c r="CZ28" s="33" t="str">
        <f t="shared" si="1"/>
        <v>Julio Jones</v>
      </c>
      <c r="DA28" s="33">
        <v>26</v>
      </c>
      <c r="DB28" s="33" t="s">
        <v>1610</v>
      </c>
      <c r="DC28" s="33">
        <v>9</v>
      </c>
      <c r="DD28" s="33" t="s">
        <v>220</v>
      </c>
      <c r="DE28" s="33">
        <v>31</v>
      </c>
    </row>
    <row r="29" spans="1:109" ht="12.75" customHeight="1">
      <c r="A29" s="33">
        <v>27</v>
      </c>
      <c r="B29" s="33" t="s">
        <v>1655</v>
      </c>
      <c r="C29" s="33" t="s">
        <v>1072</v>
      </c>
      <c r="D29" s="33" t="s">
        <v>804</v>
      </c>
      <c r="E29" s="33" t="s">
        <v>1656</v>
      </c>
      <c r="F29" s="33">
        <v>1819</v>
      </c>
      <c r="G29" s="33">
        <v>15</v>
      </c>
      <c r="H29" s="33">
        <v>11</v>
      </c>
      <c r="I29" s="33">
        <v>50</v>
      </c>
      <c r="J29" s="33">
        <v>251</v>
      </c>
      <c r="K29" s="33">
        <v>3</v>
      </c>
      <c r="L29" s="33">
        <v>0</v>
      </c>
      <c r="M29" s="33">
        <v>0</v>
      </c>
      <c r="N29" s="33">
        <v>0</v>
      </c>
      <c r="O29" s="33">
        <v>181.6</v>
      </c>
      <c r="P29" s="33"/>
      <c r="Q29" s="33">
        <v>27</v>
      </c>
      <c r="R29" s="33" t="s">
        <v>1657</v>
      </c>
      <c r="S29" s="33" t="s">
        <v>1072</v>
      </c>
      <c r="T29" s="33" t="s">
        <v>804</v>
      </c>
      <c r="U29" s="33" t="s">
        <v>1439</v>
      </c>
      <c r="V29" s="33">
        <v>0</v>
      </c>
      <c r="W29" s="33">
        <v>0</v>
      </c>
      <c r="X29" s="33">
        <v>0</v>
      </c>
      <c r="Y29" s="33">
        <v>202</v>
      </c>
      <c r="Z29" s="33">
        <v>812</v>
      </c>
      <c r="AA29" s="33">
        <v>6</v>
      </c>
      <c r="AB29" s="33">
        <v>43</v>
      </c>
      <c r="AC29" s="33">
        <v>417</v>
      </c>
      <c r="AD29" s="33">
        <v>1</v>
      </c>
      <c r="AE29" s="33">
        <v>184</v>
      </c>
      <c r="AF29" s="33"/>
      <c r="AG29" s="33">
        <v>27</v>
      </c>
      <c r="AH29" s="33" t="s">
        <v>1658</v>
      </c>
      <c r="AI29" s="33" t="s">
        <v>1072</v>
      </c>
      <c r="AJ29" s="33" t="s">
        <v>804</v>
      </c>
      <c r="AK29" s="33" t="s">
        <v>1439</v>
      </c>
      <c r="AL29" s="33">
        <v>0</v>
      </c>
      <c r="AM29" s="33">
        <v>0</v>
      </c>
      <c r="AN29" s="33">
        <v>0</v>
      </c>
      <c r="AO29" s="33">
        <v>4</v>
      </c>
      <c r="AP29" s="33">
        <v>26</v>
      </c>
      <c r="AQ29" s="33">
        <v>0</v>
      </c>
      <c r="AR29" s="33">
        <v>74</v>
      </c>
      <c r="AS29" s="33">
        <v>1087</v>
      </c>
      <c r="AT29" s="33">
        <v>5</v>
      </c>
      <c r="AU29" s="33">
        <v>178</v>
      </c>
      <c r="AV29" s="33"/>
      <c r="AW29" s="33">
        <v>27</v>
      </c>
      <c r="AX29" s="33" t="s">
        <v>1659</v>
      </c>
      <c r="AY29" s="33" t="s">
        <v>1072</v>
      </c>
      <c r="AZ29" s="33" t="s">
        <v>804</v>
      </c>
      <c r="BA29" s="33" t="s">
        <v>1439</v>
      </c>
      <c r="BB29" s="33">
        <v>0</v>
      </c>
      <c r="BC29" s="33">
        <v>0</v>
      </c>
      <c r="BD29" s="33">
        <v>0</v>
      </c>
      <c r="BE29" s="33">
        <v>0</v>
      </c>
      <c r="BF29" s="33">
        <v>0</v>
      </c>
      <c r="BG29" s="33">
        <v>0</v>
      </c>
      <c r="BH29" s="33">
        <v>31</v>
      </c>
      <c r="BI29" s="33">
        <v>338</v>
      </c>
      <c r="BJ29" s="33">
        <v>3</v>
      </c>
      <c r="BK29" s="33">
        <v>67</v>
      </c>
      <c r="BL29" s="33"/>
      <c r="BM29" s="33">
        <v>27</v>
      </c>
      <c r="BN29" s="33" t="s">
        <v>1660</v>
      </c>
      <c r="BO29" s="33" t="s">
        <v>1072</v>
      </c>
      <c r="BP29" s="33" t="s">
        <v>804</v>
      </c>
      <c r="BQ29" s="33" t="s">
        <v>1439</v>
      </c>
      <c r="BR29" s="33">
        <v>0</v>
      </c>
      <c r="BS29" s="33">
        <v>0</v>
      </c>
      <c r="BT29" s="33">
        <v>0</v>
      </c>
      <c r="BU29" s="33">
        <v>0</v>
      </c>
      <c r="BV29" s="33">
        <v>0</v>
      </c>
      <c r="BW29" s="33">
        <v>0</v>
      </c>
      <c r="BX29" s="33">
        <v>0</v>
      </c>
      <c r="BY29" s="33">
        <v>0</v>
      </c>
      <c r="BZ29" s="33">
        <v>0</v>
      </c>
      <c r="CA29" s="33">
        <v>59</v>
      </c>
      <c r="CB29" s="33"/>
      <c r="CC29" s="33">
        <v>27</v>
      </c>
      <c r="CD29" s="33" t="s">
        <v>1661</v>
      </c>
      <c r="CE29" s="33" t="s">
        <v>1072</v>
      </c>
      <c r="CF29" s="33" t="s">
        <v>804</v>
      </c>
      <c r="CG29" s="33" t="s">
        <v>1439</v>
      </c>
      <c r="CH29" s="33">
        <v>0</v>
      </c>
      <c r="CI29" s="33">
        <v>0</v>
      </c>
      <c r="CJ29" s="33">
        <v>0</v>
      </c>
      <c r="CK29" s="33">
        <v>0</v>
      </c>
      <c r="CL29" s="33">
        <v>0</v>
      </c>
      <c r="CM29" s="33">
        <v>0</v>
      </c>
      <c r="CN29" s="33">
        <v>0</v>
      </c>
      <c r="CO29" s="33">
        <v>0</v>
      </c>
      <c r="CP29" s="33">
        <v>0</v>
      </c>
      <c r="CQ29" s="33">
        <v>114</v>
      </c>
      <c r="CR29" s="33"/>
      <c r="CS29" s="33" t="str">
        <f t="shared" si="0"/>
        <v>Julius Thomas</v>
      </c>
      <c r="CT29" s="33">
        <v>27</v>
      </c>
      <c r="CU29" s="33" t="s">
        <v>1662</v>
      </c>
      <c r="CV29" s="33">
        <v>4</v>
      </c>
      <c r="CW29" s="33" t="s">
        <v>225</v>
      </c>
      <c r="CX29" s="33">
        <v>30</v>
      </c>
      <c r="CY29" s="33"/>
      <c r="CZ29" s="33" t="str">
        <f t="shared" si="1"/>
        <v>Antonio Brown</v>
      </c>
      <c r="DA29" s="33">
        <v>27</v>
      </c>
      <c r="DB29" s="33" t="s">
        <v>1663</v>
      </c>
      <c r="DC29" s="33">
        <v>12</v>
      </c>
      <c r="DD29" s="33" t="s">
        <v>221</v>
      </c>
      <c r="DE29" s="33">
        <v>30</v>
      </c>
    </row>
    <row r="30" spans="1:109" ht="12.75" customHeight="1">
      <c r="A30" s="33">
        <v>28</v>
      </c>
      <c r="B30" s="33" t="s">
        <v>1664</v>
      </c>
      <c r="C30" s="33" t="s">
        <v>1072</v>
      </c>
      <c r="D30" s="33" t="s">
        <v>804</v>
      </c>
      <c r="E30" s="33" t="s">
        <v>1665</v>
      </c>
      <c r="F30" s="33">
        <v>2413</v>
      </c>
      <c r="G30" s="33">
        <v>14</v>
      </c>
      <c r="H30" s="33">
        <v>9</v>
      </c>
      <c r="I30" s="33">
        <v>40</v>
      </c>
      <c r="J30" s="33">
        <v>262</v>
      </c>
      <c r="K30" s="33">
        <v>1</v>
      </c>
      <c r="L30" s="33">
        <v>0</v>
      </c>
      <c r="M30" s="33">
        <v>0</v>
      </c>
      <c r="N30" s="33">
        <v>0</v>
      </c>
      <c r="O30" s="33">
        <v>192.4</v>
      </c>
      <c r="P30" s="33"/>
      <c r="Q30" s="33">
        <v>28</v>
      </c>
      <c r="R30" s="33" t="s">
        <v>1666</v>
      </c>
      <c r="S30" s="33" t="s">
        <v>1072</v>
      </c>
      <c r="T30" s="33" t="s">
        <v>804</v>
      </c>
      <c r="U30" s="33" t="s">
        <v>1439</v>
      </c>
      <c r="V30" s="33">
        <v>0</v>
      </c>
      <c r="W30" s="33">
        <v>0</v>
      </c>
      <c r="X30" s="33">
        <v>0</v>
      </c>
      <c r="Y30" s="33">
        <v>95</v>
      </c>
      <c r="Z30" s="33">
        <v>436</v>
      </c>
      <c r="AA30" s="33">
        <v>2</v>
      </c>
      <c r="AB30" s="33">
        <v>72</v>
      </c>
      <c r="AC30" s="33">
        <v>687</v>
      </c>
      <c r="AD30" s="33">
        <v>4</v>
      </c>
      <c r="AE30" s="33">
        <v>183</v>
      </c>
      <c r="AF30" s="33"/>
      <c r="AG30" s="33">
        <v>28</v>
      </c>
      <c r="AH30" s="33" t="s">
        <v>1667</v>
      </c>
      <c r="AI30" s="33" t="s">
        <v>1072</v>
      </c>
      <c r="AJ30" s="33" t="s">
        <v>804</v>
      </c>
      <c r="AK30" s="33" t="s">
        <v>1439</v>
      </c>
      <c r="AL30" s="33">
        <v>0</v>
      </c>
      <c r="AM30" s="33">
        <v>0</v>
      </c>
      <c r="AN30" s="33">
        <v>0</v>
      </c>
      <c r="AO30" s="33">
        <v>0</v>
      </c>
      <c r="AP30" s="33">
        <v>0</v>
      </c>
      <c r="AQ30" s="33">
        <v>0</v>
      </c>
      <c r="AR30" s="33">
        <v>90</v>
      </c>
      <c r="AS30" s="33">
        <v>1108</v>
      </c>
      <c r="AT30" s="33">
        <v>4</v>
      </c>
      <c r="AU30" s="33">
        <v>178.5</v>
      </c>
      <c r="AV30" s="33"/>
      <c r="AW30" s="33">
        <v>28</v>
      </c>
      <c r="AX30" s="33" t="s">
        <v>1668</v>
      </c>
      <c r="AY30" s="33" t="s">
        <v>1072</v>
      </c>
      <c r="AZ30" s="33" t="s">
        <v>804</v>
      </c>
      <c r="BA30" s="33" t="s">
        <v>1439</v>
      </c>
      <c r="BB30" s="33">
        <v>0</v>
      </c>
      <c r="BC30" s="33">
        <v>0</v>
      </c>
      <c r="BD30" s="33">
        <v>0</v>
      </c>
      <c r="BE30" s="33">
        <v>0</v>
      </c>
      <c r="BF30" s="33">
        <v>0</v>
      </c>
      <c r="BG30" s="33">
        <v>0</v>
      </c>
      <c r="BH30" s="33">
        <v>38</v>
      </c>
      <c r="BI30" s="33">
        <v>387</v>
      </c>
      <c r="BJ30" s="33">
        <v>2</v>
      </c>
      <c r="BK30" s="33">
        <v>69.5</v>
      </c>
      <c r="BL30" s="33"/>
      <c r="BM30" s="33">
        <v>28</v>
      </c>
      <c r="BN30" s="33" t="s">
        <v>1669</v>
      </c>
      <c r="BO30" s="33" t="s">
        <v>1072</v>
      </c>
      <c r="BP30" s="33" t="s">
        <v>804</v>
      </c>
      <c r="BQ30" s="33" t="s">
        <v>1439</v>
      </c>
      <c r="BR30" s="33">
        <v>0</v>
      </c>
      <c r="BS30" s="33">
        <v>0</v>
      </c>
      <c r="BT30" s="33">
        <v>0</v>
      </c>
      <c r="BU30" s="33">
        <v>0</v>
      </c>
      <c r="BV30" s="33">
        <v>0</v>
      </c>
      <c r="BW30" s="33">
        <v>0</v>
      </c>
      <c r="BX30" s="33">
        <v>0</v>
      </c>
      <c r="BY30" s="33">
        <v>0</v>
      </c>
      <c r="BZ30" s="33">
        <v>0</v>
      </c>
      <c r="CA30" s="33">
        <v>65</v>
      </c>
      <c r="CB30" s="33"/>
      <c r="CC30" s="33">
        <v>28</v>
      </c>
      <c r="CD30" s="33" t="s">
        <v>1670</v>
      </c>
      <c r="CE30" s="33" t="s">
        <v>1072</v>
      </c>
      <c r="CF30" s="33" t="s">
        <v>804</v>
      </c>
      <c r="CG30" s="33" t="s">
        <v>1439</v>
      </c>
      <c r="CH30" s="33">
        <v>0</v>
      </c>
      <c r="CI30" s="33">
        <v>0</v>
      </c>
      <c r="CJ30" s="33">
        <v>0</v>
      </c>
      <c r="CK30" s="33">
        <v>0</v>
      </c>
      <c r="CL30" s="33">
        <v>0</v>
      </c>
      <c r="CM30" s="33">
        <v>0</v>
      </c>
      <c r="CN30" s="33">
        <v>0</v>
      </c>
      <c r="CO30" s="33">
        <v>0</v>
      </c>
      <c r="CP30" s="33">
        <v>0</v>
      </c>
      <c r="CQ30" s="33">
        <v>120</v>
      </c>
      <c r="CR30" s="33"/>
      <c r="CS30" s="33" t="str">
        <f t="shared" si="0"/>
        <v>Antonio Brown</v>
      </c>
      <c r="CT30" s="33">
        <v>28</v>
      </c>
      <c r="CU30" s="33" t="s">
        <v>1663</v>
      </c>
      <c r="CV30" s="33">
        <v>12</v>
      </c>
      <c r="CW30" s="33" t="s">
        <v>223</v>
      </c>
      <c r="CX30" s="33">
        <v>30</v>
      </c>
      <c r="CY30" s="33"/>
      <c r="CZ30" s="33" t="str">
        <f t="shared" si="1"/>
        <v>Jordy Nelson</v>
      </c>
      <c r="DA30" s="33">
        <v>28</v>
      </c>
      <c r="DB30" s="33" t="s">
        <v>1620</v>
      </c>
      <c r="DC30" s="33">
        <v>9</v>
      </c>
      <c r="DD30" s="33" t="s">
        <v>222</v>
      </c>
      <c r="DE30" s="33">
        <v>30</v>
      </c>
    </row>
    <row r="31" spans="1:109" ht="12.75" customHeight="1">
      <c r="A31" s="33">
        <v>29</v>
      </c>
      <c r="B31" s="33" t="s">
        <v>1671</v>
      </c>
      <c r="C31" s="33" t="s">
        <v>1072</v>
      </c>
      <c r="D31" s="33" t="s">
        <v>804</v>
      </c>
      <c r="E31" s="33" t="s">
        <v>1672</v>
      </c>
      <c r="F31" s="33">
        <v>1843</v>
      </c>
      <c r="G31" s="33">
        <v>11</v>
      </c>
      <c r="H31" s="33">
        <v>9</v>
      </c>
      <c r="I31" s="33">
        <v>46</v>
      </c>
      <c r="J31" s="33">
        <v>298</v>
      </c>
      <c r="K31" s="33">
        <v>2</v>
      </c>
      <c r="L31" s="33">
        <v>0</v>
      </c>
      <c r="M31" s="33">
        <v>0</v>
      </c>
      <c r="N31" s="33">
        <v>0</v>
      </c>
      <c r="O31" s="33">
        <v>161.1</v>
      </c>
      <c r="P31" s="33"/>
      <c r="Q31" s="33">
        <v>29</v>
      </c>
      <c r="R31" s="33" t="s">
        <v>1673</v>
      </c>
      <c r="S31" s="33" t="s">
        <v>1072</v>
      </c>
      <c r="T31" s="33" t="s">
        <v>804</v>
      </c>
      <c r="U31" s="33" t="s">
        <v>1439</v>
      </c>
      <c r="V31" s="33">
        <v>0</v>
      </c>
      <c r="W31" s="33">
        <v>0</v>
      </c>
      <c r="X31" s="33">
        <v>0</v>
      </c>
      <c r="Y31" s="33">
        <v>254</v>
      </c>
      <c r="Z31" s="33">
        <v>1107</v>
      </c>
      <c r="AA31" s="33">
        <v>8</v>
      </c>
      <c r="AB31" s="33">
        <v>8</v>
      </c>
      <c r="AC31" s="33">
        <v>60</v>
      </c>
      <c r="AD31" s="33">
        <v>0</v>
      </c>
      <c r="AE31" s="33">
        <v>164.5</v>
      </c>
      <c r="AF31" s="33"/>
      <c r="AG31" s="33">
        <v>29</v>
      </c>
      <c r="AH31" s="33" t="s">
        <v>1674</v>
      </c>
      <c r="AI31" s="33" t="s">
        <v>1072</v>
      </c>
      <c r="AJ31" s="33" t="s">
        <v>804</v>
      </c>
      <c r="AK31" s="33" t="s">
        <v>1439</v>
      </c>
      <c r="AL31" s="33">
        <v>0</v>
      </c>
      <c r="AM31" s="33">
        <v>0</v>
      </c>
      <c r="AN31" s="33">
        <v>0</v>
      </c>
      <c r="AO31" s="33">
        <v>0</v>
      </c>
      <c r="AP31" s="33">
        <v>0</v>
      </c>
      <c r="AQ31" s="33">
        <v>0</v>
      </c>
      <c r="AR31" s="33">
        <v>73</v>
      </c>
      <c r="AS31" s="33">
        <v>907</v>
      </c>
      <c r="AT31" s="33">
        <v>6</v>
      </c>
      <c r="AU31" s="33">
        <v>162</v>
      </c>
      <c r="AV31" s="33"/>
      <c r="AW31" s="33">
        <v>29</v>
      </c>
      <c r="AX31" s="33" t="s">
        <v>1675</v>
      </c>
      <c r="AY31" s="33" t="s">
        <v>1072</v>
      </c>
      <c r="AZ31" s="33" t="s">
        <v>804</v>
      </c>
      <c r="BA31" s="33" t="s">
        <v>1439</v>
      </c>
      <c r="BB31" s="33">
        <v>0</v>
      </c>
      <c r="BC31" s="33">
        <v>0</v>
      </c>
      <c r="BD31" s="33">
        <v>0</v>
      </c>
      <c r="BE31" s="33">
        <v>0</v>
      </c>
      <c r="BF31" s="33">
        <v>0</v>
      </c>
      <c r="BG31" s="33">
        <v>0</v>
      </c>
      <c r="BH31" s="33">
        <v>37</v>
      </c>
      <c r="BI31" s="33">
        <v>414</v>
      </c>
      <c r="BJ31" s="33">
        <v>3</v>
      </c>
      <c r="BK31" s="33">
        <v>77.5</v>
      </c>
      <c r="BL31" s="33"/>
      <c r="BM31" s="33">
        <v>29</v>
      </c>
      <c r="BN31" s="33" t="s">
        <v>1676</v>
      </c>
      <c r="BO31" s="33" t="s">
        <v>1072</v>
      </c>
      <c r="BP31" s="33" t="s">
        <v>804</v>
      </c>
      <c r="BQ31" s="33" t="s">
        <v>1439</v>
      </c>
      <c r="BR31" s="33">
        <v>0</v>
      </c>
      <c r="BS31" s="33">
        <v>0</v>
      </c>
      <c r="BT31" s="33">
        <v>0</v>
      </c>
      <c r="BU31" s="33">
        <v>0</v>
      </c>
      <c r="BV31" s="33">
        <v>0</v>
      </c>
      <c r="BW31" s="33">
        <v>0</v>
      </c>
      <c r="BX31" s="33">
        <v>0</v>
      </c>
      <c r="BY31" s="33">
        <v>0</v>
      </c>
      <c r="BZ31" s="33">
        <v>0</v>
      </c>
      <c r="CA31" s="33">
        <v>23</v>
      </c>
      <c r="CB31" s="33"/>
      <c r="CC31" s="33">
        <v>29</v>
      </c>
      <c r="CD31" s="33" t="s">
        <v>1677</v>
      </c>
      <c r="CE31" s="33" t="s">
        <v>1072</v>
      </c>
      <c r="CF31" s="33" t="s">
        <v>804</v>
      </c>
      <c r="CG31" s="33" t="s">
        <v>1439</v>
      </c>
      <c r="CH31" s="33">
        <v>0</v>
      </c>
      <c r="CI31" s="33">
        <v>0</v>
      </c>
      <c r="CJ31" s="33">
        <v>0</v>
      </c>
      <c r="CK31" s="33">
        <v>0</v>
      </c>
      <c r="CL31" s="33">
        <v>0</v>
      </c>
      <c r="CM31" s="33">
        <v>0</v>
      </c>
      <c r="CN31" s="33">
        <v>0</v>
      </c>
      <c r="CO31" s="33">
        <v>0</v>
      </c>
      <c r="CP31" s="33">
        <v>0</v>
      </c>
      <c r="CQ31" s="33">
        <v>104</v>
      </c>
      <c r="CR31" s="33"/>
      <c r="CS31" s="33" t="str">
        <f t="shared" si="0"/>
        <v>Reggie Bush</v>
      </c>
      <c r="CT31" s="33">
        <v>29</v>
      </c>
      <c r="CU31" s="33" t="s">
        <v>1611</v>
      </c>
      <c r="CV31" s="33">
        <v>9</v>
      </c>
      <c r="CW31" s="33" t="s">
        <v>1678</v>
      </c>
      <c r="CX31" s="33">
        <v>29</v>
      </c>
      <c r="CY31" s="33"/>
      <c r="CZ31" s="33" t="str">
        <f t="shared" si="1"/>
        <v>Alshon Jeffery</v>
      </c>
      <c r="DA31" s="33">
        <v>29</v>
      </c>
      <c r="DB31" s="33" t="s">
        <v>1638</v>
      </c>
      <c r="DC31" s="33">
        <v>9</v>
      </c>
      <c r="DD31" s="33" t="s">
        <v>223</v>
      </c>
      <c r="DE31" s="33">
        <v>29</v>
      </c>
    </row>
    <row r="32" spans="1:109" ht="12.75" customHeight="1">
      <c r="A32" s="33">
        <v>30</v>
      </c>
      <c r="B32" s="33" t="s">
        <v>1679</v>
      </c>
      <c r="C32" s="33" t="s">
        <v>1072</v>
      </c>
      <c r="D32" s="33" t="s">
        <v>804</v>
      </c>
      <c r="E32" s="33" t="s">
        <v>1680</v>
      </c>
      <c r="F32" s="33">
        <v>2475</v>
      </c>
      <c r="G32" s="33">
        <v>12</v>
      </c>
      <c r="H32" s="33">
        <v>12</v>
      </c>
      <c r="I32" s="33">
        <v>15</v>
      </c>
      <c r="J32" s="33">
        <v>41</v>
      </c>
      <c r="K32" s="33">
        <v>0</v>
      </c>
      <c r="L32" s="33">
        <v>0</v>
      </c>
      <c r="M32" s="33">
        <v>0</v>
      </c>
      <c r="N32" s="33">
        <v>0</v>
      </c>
      <c r="O32" s="33">
        <v>150</v>
      </c>
      <c r="P32" s="33"/>
      <c r="Q32" s="33">
        <v>30</v>
      </c>
      <c r="R32" s="33" t="s">
        <v>1681</v>
      </c>
      <c r="S32" s="33" t="s">
        <v>1072</v>
      </c>
      <c r="T32" s="33" t="s">
        <v>804</v>
      </c>
      <c r="U32" s="33" t="s">
        <v>1439</v>
      </c>
      <c r="V32" s="33">
        <v>0</v>
      </c>
      <c r="W32" s="33">
        <v>0</v>
      </c>
      <c r="X32" s="33">
        <v>0</v>
      </c>
      <c r="Y32" s="33">
        <v>186</v>
      </c>
      <c r="Z32" s="33">
        <v>745</v>
      </c>
      <c r="AA32" s="33">
        <v>5</v>
      </c>
      <c r="AB32" s="33">
        <v>26</v>
      </c>
      <c r="AC32" s="33">
        <v>191</v>
      </c>
      <c r="AD32" s="33">
        <v>1</v>
      </c>
      <c r="AE32" s="33">
        <v>140.5</v>
      </c>
      <c r="AF32" s="33"/>
      <c r="AG32" s="33">
        <v>30</v>
      </c>
      <c r="AH32" s="33" t="s">
        <v>1682</v>
      </c>
      <c r="AI32" s="33" t="s">
        <v>1072</v>
      </c>
      <c r="AJ32" s="33" t="s">
        <v>804</v>
      </c>
      <c r="AK32" s="33" t="s">
        <v>1439</v>
      </c>
      <c r="AL32" s="33">
        <v>0</v>
      </c>
      <c r="AM32" s="33">
        <v>0</v>
      </c>
      <c r="AN32" s="33">
        <v>0</v>
      </c>
      <c r="AO32" s="33">
        <v>1</v>
      </c>
      <c r="AP32" s="33">
        <v>19</v>
      </c>
      <c r="AQ32" s="33">
        <v>0</v>
      </c>
      <c r="AR32" s="33">
        <v>77</v>
      </c>
      <c r="AS32" s="33">
        <v>971</v>
      </c>
      <c r="AT32" s="33">
        <v>5</v>
      </c>
      <c r="AU32" s="33">
        <v>166</v>
      </c>
      <c r="AV32" s="33"/>
      <c r="AW32" s="33">
        <v>30</v>
      </c>
      <c r="AX32" s="33" t="s">
        <v>1683</v>
      </c>
      <c r="AY32" s="33" t="s">
        <v>1072</v>
      </c>
      <c r="AZ32" s="33" t="s">
        <v>804</v>
      </c>
      <c r="BA32" s="33" t="s">
        <v>1439</v>
      </c>
      <c r="BB32" s="33">
        <v>0</v>
      </c>
      <c r="BC32" s="33">
        <v>0</v>
      </c>
      <c r="BD32" s="33">
        <v>0</v>
      </c>
      <c r="BE32" s="33">
        <v>0</v>
      </c>
      <c r="BF32" s="33">
        <v>0</v>
      </c>
      <c r="BG32" s="33">
        <v>0</v>
      </c>
      <c r="BH32" s="33">
        <v>32</v>
      </c>
      <c r="BI32" s="33">
        <v>324</v>
      </c>
      <c r="BJ32" s="33">
        <v>3</v>
      </c>
      <c r="BK32" s="33">
        <v>66</v>
      </c>
      <c r="BL32" s="33"/>
      <c r="BM32" s="33">
        <v>30</v>
      </c>
      <c r="BN32" s="33" t="s">
        <v>1684</v>
      </c>
      <c r="BO32" s="33" t="s">
        <v>1072</v>
      </c>
      <c r="BP32" s="33" t="s">
        <v>804</v>
      </c>
      <c r="BQ32" s="33" t="s">
        <v>1439</v>
      </c>
      <c r="BR32" s="33">
        <v>0</v>
      </c>
      <c r="BS32" s="33">
        <v>0</v>
      </c>
      <c r="BT32" s="33">
        <v>0</v>
      </c>
      <c r="BU32" s="33">
        <v>0</v>
      </c>
      <c r="BV32" s="33">
        <v>0</v>
      </c>
      <c r="BW32" s="33">
        <v>0</v>
      </c>
      <c r="BX32" s="33">
        <v>0</v>
      </c>
      <c r="BY32" s="33">
        <v>0</v>
      </c>
      <c r="BZ32" s="33">
        <v>0</v>
      </c>
      <c r="CA32" s="33">
        <v>27</v>
      </c>
      <c r="CB32" s="33"/>
      <c r="CC32" s="33">
        <v>30</v>
      </c>
      <c r="CD32" s="33" t="s">
        <v>1685</v>
      </c>
      <c r="CE32" s="33" t="s">
        <v>1072</v>
      </c>
      <c r="CF32" s="33" t="s">
        <v>804</v>
      </c>
      <c r="CG32" s="33" t="s">
        <v>1439</v>
      </c>
      <c r="CH32" s="33">
        <v>0</v>
      </c>
      <c r="CI32" s="33">
        <v>0</v>
      </c>
      <c r="CJ32" s="33">
        <v>0</v>
      </c>
      <c r="CK32" s="33">
        <v>0</v>
      </c>
      <c r="CL32" s="33">
        <v>0</v>
      </c>
      <c r="CM32" s="33">
        <v>0</v>
      </c>
      <c r="CN32" s="33">
        <v>0</v>
      </c>
      <c r="CO32" s="33">
        <v>0</v>
      </c>
      <c r="CP32" s="33">
        <v>0</v>
      </c>
      <c r="CQ32" s="33">
        <v>88</v>
      </c>
      <c r="CR32" s="33"/>
      <c r="CS32" s="33" t="str">
        <f t="shared" si="0"/>
        <v>Randall Cobb</v>
      </c>
      <c r="CT32" s="33">
        <v>30</v>
      </c>
      <c r="CU32" s="33" t="s">
        <v>1686</v>
      </c>
      <c r="CV32" s="33">
        <v>9</v>
      </c>
      <c r="CW32" s="33" t="s">
        <v>1687</v>
      </c>
      <c r="CX32" s="33">
        <v>29</v>
      </c>
      <c r="CY32" s="33"/>
      <c r="CZ32" s="33" t="str">
        <f t="shared" si="1"/>
        <v>Julius Thomas</v>
      </c>
      <c r="DA32" s="33">
        <v>30</v>
      </c>
      <c r="DB32" s="33" t="s">
        <v>1662</v>
      </c>
      <c r="DC32" s="33">
        <v>4</v>
      </c>
      <c r="DD32" s="33" t="s">
        <v>225</v>
      </c>
      <c r="DE32" s="33">
        <v>29</v>
      </c>
    </row>
    <row r="33" spans="1:109" ht="12.75" customHeight="1">
      <c r="A33" s="33">
        <v>31</v>
      </c>
      <c r="B33" s="33" t="s">
        <v>1688</v>
      </c>
      <c r="C33" s="33" t="s">
        <v>1072</v>
      </c>
      <c r="D33" s="33" t="s">
        <v>804</v>
      </c>
      <c r="E33" s="33" t="s">
        <v>1689</v>
      </c>
      <c r="F33" s="33">
        <v>2435</v>
      </c>
      <c r="G33" s="33">
        <v>11</v>
      </c>
      <c r="H33" s="33">
        <v>12</v>
      </c>
      <c r="I33" s="33">
        <v>24</v>
      </c>
      <c r="J33" s="33">
        <v>79</v>
      </c>
      <c r="K33" s="33">
        <v>0</v>
      </c>
      <c r="L33" s="33">
        <v>0</v>
      </c>
      <c r="M33" s="33">
        <v>0</v>
      </c>
      <c r="N33" s="33">
        <v>0</v>
      </c>
      <c r="O33" s="33">
        <v>145.9</v>
      </c>
      <c r="P33" s="33"/>
      <c r="Q33" s="33">
        <v>31</v>
      </c>
      <c r="R33" s="33" t="s">
        <v>1690</v>
      </c>
      <c r="S33" s="33" t="s">
        <v>1072</v>
      </c>
      <c r="T33" s="33" t="s">
        <v>804</v>
      </c>
      <c r="U33" s="33" t="s">
        <v>1439</v>
      </c>
      <c r="V33" s="33">
        <v>0</v>
      </c>
      <c r="W33" s="33">
        <v>0</v>
      </c>
      <c r="X33" s="33">
        <v>0</v>
      </c>
      <c r="Y33" s="33">
        <v>98</v>
      </c>
      <c r="Z33" s="33">
        <v>380</v>
      </c>
      <c r="AA33" s="33">
        <v>2</v>
      </c>
      <c r="AB33" s="33">
        <v>69</v>
      </c>
      <c r="AC33" s="33">
        <v>469</v>
      </c>
      <c r="AD33" s="33">
        <v>4</v>
      </c>
      <c r="AE33" s="33">
        <v>154</v>
      </c>
      <c r="AF33" s="33"/>
      <c r="AG33" s="33">
        <v>31</v>
      </c>
      <c r="AH33" s="33" t="s">
        <v>1691</v>
      </c>
      <c r="AI33" s="33" t="s">
        <v>1072</v>
      </c>
      <c r="AJ33" s="33" t="s">
        <v>804</v>
      </c>
      <c r="AK33" s="33" t="s">
        <v>1439</v>
      </c>
      <c r="AL33" s="33">
        <v>0</v>
      </c>
      <c r="AM33" s="33">
        <v>0</v>
      </c>
      <c r="AN33" s="33">
        <v>0</v>
      </c>
      <c r="AO33" s="33">
        <v>6</v>
      </c>
      <c r="AP33" s="33">
        <v>50</v>
      </c>
      <c r="AQ33" s="33">
        <v>0</v>
      </c>
      <c r="AR33" s="33">
        <v>84</v>
      </c>
      <c r="AS33" s="33">
        <v>1041</v>
      </c>
      <c r="AT33" s="33">
        <v>5</v>
      </c>
      <c r="AU33" s="33">
        <v>181</v>
      </c>
      <c r="AV33" s="33"/>
      <c r="AW33" s="33">
        <v>31</v>
      </c>
      <c r="AX33" s="33" t="s">
        <v>1692</v>
      </c>
      <c r="AY33" s="33" t="s">
        <v>1072</v>
      </c>
      <c r="AZ33" s="33" t="s">
        <v>804</v>
      </c>
      <c r="BA33" s="33" t="s">
        <v>1439</v>
      </c>
      <c r="BB33" s="33">
        <v>0</v>
      </c>
      <c r="BC33" s="33">
        <v>0</v>
      </c>
      <c r="BD33" s="33">
        <v>0</v>
      </c>
      <c r="BE33" s="33">
        <v>0</v>
      </c>
      <c r="BF33" s="33">
        <v>0</v>
      </c>
      <c r="BG33" s="33">
        <v>0</v>
      </c>
      <c r="BH33" s="33">
        <v>28</v>
      </c>
      <c r="BI33" s="33">
        <v>313</v>
      </c>
      <c r="BJ33" s="33">
        <v>2</v>
      </c>
      <c r="BK33" s="33">
        <v>57</v>
      </c>
      <c r="BL33" s="33"/>
      <c r="BM33" s="33">
        <v>31</v>
      </c>
      <c r="BN33" s="33" t="s">
        <v>1693</v>
      </c>
      <c r="BO33" s="33" t="s">
        <v>1072</v>
      </c>
      <c r="BP33" s="33" t="s">
        <v>804</v>
      </c>
      <c r="BQ33" s="33" t="s">
        <v>1439</v>
      </c>
      <c r="BR33" s="33">
        <v>0</v>
      </c>
      <c r="BS33" s="33">
        <v>0</v>
      </c>
      <c r="BT33" s="33">
        <v>0</v>
      </c>
      <c r="BU33" s="33">
        <v>0</v>
      </c>
      <c r="BV33" s="33">
        <v>0</v>
      </c>
      <c r="BW33" s="33">
        <v>0</v>
      </c>
      <c r="BX33" s="33">
        <v>0</v>
      </c>
      <c r="BY33" s="33">
        <v>0</v>
      </c>
      <c r="BZ33" s="33">
        <v>0</v>
      </c>
      <c r="CA33" s="33">
        <v>54</v>
      </c>
      <c r="CB33" s="33"/>
      <c r="CC33" s="33">
        <v>31</v>
      </c>
      <c r="CD33" s="33" t="s">
        <v>1694</v>
      </c>
      <c r="CE33" s="33" t="s">
        <v>1072</v>
      </c>
      <c r="CF33" s="33" t="s">
        <v>804</v>
      </c>
      <c r="CG33" s="33" t="s">
        <v>1439</v>
      </c>
      <c r="CH33" s="33">
        <v>0</v>
      </c>
      <c r="CI33" s="33">
        <v>0</v>
      </c>
      <c r="CJ33" s="33">
        <v>0</v>
      </c>
      <c r="CK33" s="33">
        <v>0</v>
      </c>
      <c r="CL33" s="33">
        <v>0</v>
      </c>
      <c r="CM33" s="33">
        <v>0</v>
      </c>
      <c r="CN33" s="33">
        <v>0</v>
      </c>
      <c r="CO33" s="33">
        <v>0</v>
      </c>
      <c r="CP33" s="33">
        <v>0</v>
      </c>
      <c r="CQ33" s="33">
        <v>98</v>
      </c>
      <c r="CR33" s="33"/>
      <c r="CS33" s="33" t="str">
        <f t="shared" si="0"/>
        <v>Andre Johnson</v>
      </c>
      <c r="CT33" s="33">
        <v>31</v>
      </c>
      <c r="CU33" s="33" t="s">
        <v>1695</v>
      </c>
      <c r="CV33" s="33">
        <v>10</v>
      </c>
      <c r="CW33" s="33" t="s">
        <v>1696</v>
      </c>
      <c r="CX33" s="33">
        <v>28</v>
      </c>
      <c r="CY33" s="33"/>
      <c r="CZ33" s="33" t="str">
        <f t="shared" si="1"/>
        <v>Ben Tate</v>
      </c>
      <c r="DA33" s="33">
        <v>31</v>
      </c>
      <c r="DB33" s="33" t="s">
        <v>1697</v>
      </c>
      <c r="DC33" s="33">
        <v>4</v>
      </c>
      <c r="DD33" s="33" t="s">
        <v>1678</v>
      </c>
      <c r="DE33" s="33">
        <v>28</v>
      </c>
    </row>
    <row r="34" spans="1:109" ht="12.75" customHeight="1">
      <c r="A34" s="33">
        <v>32</v>
      </c>
      <c r="B34" s="33" t="s">
        <v>1698</v>
      </c>
      <c r="C34" s="33" t="s">
        <v>1072</v>
      </c>
      <c r="D34" s="33" t="s">
        <v>804</v>
      </c>
      <c r="E34" s="33" t="s">
        <v>1699</v>
      </c>
      <c r="F34" s="33">
        <v>2645</v>
      </c>
      <c r="G34" s="33">
        <v>15</v>
      </c>
      <c r="H34" s="33">
        <v>13</v>
      </c>
      <c r="I34" s="33">
        <v>30</v>
      </c>
      <c r="J34" s="33">
        <v>208</v>
      </c>
      <c r="K34" s="33">
        <v>1</v>
      </c>
      <c r="L34" s="33">
        <v>0</v>
      </c>
      <c r="M34" s="33">
        <v>0</v>
      </c>
      <c r="N34" s="33">
        <v>0</v>
      </c>
      <c r="O34" s="33">
        <v>192.3</v>
      </c>
      <c r="P34" s="33"/>
      <c r="Q34" s="33">
        <v>32</v>
      </c>
      <c r="R34" s="33" t="s">
        <v>1700</v>
      </c>
      <c r="S34" s="33" t="s">
        <v>1072</v>
      </c>
      <c r="T34" s="33" t="s">
        <v>804</v>
      </c>
      <c r="U34" s="33" t="s">
        <v>1439</v>
      </c>
      <c r="V34" s="33">
        <v>0</v>
      </c>
      <c r="W34" s="33">
        <v>0</v>
      </c>
      <c r="X34" s="33">
        <v>0</v>
      </c>
      <c r="Y34" s="33">
        <v>143</v>
      </c>
      <c r="Z34" s="33">
        <v>559</v>
      </c>
      <c r="AA34" s="33">
        <v>6</v>
      </c>
      <c r="AB34" s="33">
        <v>36</v>
      </c>
      <c r="AC34" s="33">
        <v>260</v>
      </c>
      <c r="AD34" s="33">
        <v>1</v>
      </c>
      <c r="AE34" s="33">
        <v>139.5</v>
      </c>
      <c r="AF34" s="33"/>
      <c r="AG34" s="33">
        <v>32</v>
      </c>
      <c r="AH34" s="33" t="s">
        <v>1701</v>
      </c>
      <c r="AI34" s="33" t="s">
        <v>1072</v>
      </c>
      <c r="AJ34" s="33" t="s">
        <v>804</v>
      </c>
      <c r="AK34" s="33" t="s">
        <v>1439</v>
      </c>
      <c r="AL34" s="33">
        <v>0</v>
      </c>
      <c r="AM34" s="33">
        <v>0</v>
      </c>
      <c r="AN34" s="33">
        <v>0</v>
      </c>
      <c r="AO34" s="33">
        <v>1</v>
      </c>
      <c r="AP34" s="33">
        <v>8</v>
      </c>
      <c r="AQ34" s="33">
        <v>0</v>
      </c>
      <c r="AR34" s="33">
        <v>91</v>
      </c>
      <c r="AS34" s="33">
        <v>1051</v>
      </c>
      <c r="AT34" s="33">
        <v>4</v>
      </c>
      <c r="AU34" s="33">
        <v>174</v>
      </c>
      <c r="AV34" s="33"/>
      <c r="AW34" s="33">
        <v>32</v>
      </c>
      <c r="AX34" s="33" t="s">
        <v>1702</v>
      </c>
      <c r="AY34" s="33" t="s">
        <v>1072</v>
      </c>
      <c r="AZ34" s="33" t="s">
        <v>804</v>
      </c>
      <c r="BA34" s="33" t="s">
        <v>1439</v>
      </c>
      <c r="BB34" s="33">
        <v>0</v>
      </c>
      <c r="BC34" s="33">
        <v>0</v>
      </c>
      <c r="BD34" s="33">
        <v>0</v>
      </c>
      <c r="BE34" s="33">
        <v>0</v>
      </c>
      <c r="BF34" s="33">
        <v>0</v>
      </c>
      <c r="BG34" s="33">
        <v>0</v>
      </c>
      <c r="BH34" s="33">
        <v>42</v>
      </c>
      <c r="BI34" s="33">
        <v>439</v>
      </c>
      <c r="BJ34" s="33">
        <v>2</v>
      </c>
      <c r="BK34" s="33">
        <v>76.5</v>
      </c>
      <c r="BL34" s="33"/>
      <c r="BM34" s="33">
        <v>32</v>
      </c>
      <c r="BN34" s="33" t="s">
        <v>1703</v>
      </c>
      <c r="BO34" s="33" t="s">
        <v>1072</v>
      </c>
      <c r="BP34" s="33" t="s">
        <v>804</v>
      </c>
      <c r="BQ34" s="33" t="s">
        <v>1439</v>
      </c>
      <c r="BR34" s="33">
        <v>0</v>
      </c>
      <c r="BS34" s="33">
        <v>0</v>
      </c>
      <c r="BT34" s="33">
        <v>0</v>
      </c>
      <c r="BU34" s="33">
        <v>0</v>
      </c>
      <c r="BV34" s="33">
        <v>0</v>
      </c>
      <c r="BW34" s="33">
        <v>0</v>
      </c>
      <c r="BX34" s="33">
        <v>0</v>
      </c>
      <c r="BY34" s="33">
        <v>0</v>
      </c>
      <c r="BZ34" s="33">
        <v>0</v>
      </c>
      <c r="CA34" s="33">
        <v>7</v>
      </c>
      <c r="CB34" s="33"/>
      <c r="CC34" s="33">
        <v>32</v>
      </c>
      <c r="CD34" s="33" t="s">
        <v>1704</v>
      </c>
      <c r="CE34" s="33" t="s">
        <v>1072</v>
      </c>
      <c r="CF34" s="33" t="s">
        <v>804</v>
      </c>
      <c r="CG34" s="33" t="s">
        <v>1439</v>
      </c>
      <c r="CH34" s="33">
        <v>0</v>
      </c>
      <c r="CI34" s="33">
        <v>0</v>
      </c>
      <c r="CJ34" s="33">
        <v>0</v>
      </c>
      <c r="CK34" s="33">
        <v>0</v>
      </c>
      <c r="CL34" s="33">
        <v>0</v>
      </c>
      <c r="CM34" s="33">
        <v>0</v>
      </c>
      <c r="CN34" s="33">
        <v>0</v>
      </c>
      <c r="CO34" s="33">
        <v>0</v>
      </c>
      <c r="CP34" s="33">
        <v>0</v>
      </c>
      <c r="CQ34" s="33">
        <v>90</v>
      </c>
      <c r="CR34" s="33"/>
      <c r="CS34" s="33" t="str">
        <f t="shared" si="0"/>
        <v>Ben Tate</v>
      </c>
      <c r="CT34" s="33">
        <v>32</v>
      </c>
      <c r="CU34" s="33" t="s">
        <v>1697</v>
      </c>
      <c r="CV34" s="33">
        <v>4</v>
      </c>
      <c r="CW34" s="33" t="s">
        <v>1705</v>
      </c>
      <c r="CX34" s="33">
        <v>27</v>
      </c>
      <c r="CY34" s="33"/>
      <c r="CZ34" s="33" t="str">
        <f t="shared" si="1"/>
        <v>Alfred Morris</v>
      </c>
      <c r="DA34" s="33">
        <v>32</v>
      </c>
      <c r="DB34" s="33" t="s">
        <v>1629</v>
      </c>
      <c r="DC34" s="33">
        <v>10</v>
      </c>
      <c r="DD34" s="33" t="s">
        <v>1705</v>
      </c>
      <c r="DE34" s="33">
        <v>27</v>
      </c>
    </row>
    <row r="35" spans="1:109" ht="12.75" customHeight="1">
      <c r="A35" s="33">
        <v>33</v>
      </c>
      <c r="B35" s="33" t="s">
        <v>1706</v>
      </c>
      <c r="C35" s="33" t="s">
        <v>1072</v>
      </c>
      <c r="D35" s="33" t="s">
        <v>804</v>
      </c>
      <c r="E35" s="33" t="s">
        <v>1707</v>
      </c>
      <c r="F35" s="33">
        <v>1702</v>
      </c>
      <c r="G35" s="33">
        <v>11</v>
      </c>
      <c r="H35" s="33">
        <v>8</v>
      </c>
      <c r="I35" s="33">
        <v>26</v>
      </c>
      <c r="J35" s="33">
        <v>102</v>
      </c>
      <c r="K35" s="33">
        <v>1</v>
      </c>
      <c r="L35" s="33">
        <v>0</v>
      </c>
      <c r="M35" s="33">
        <v>0</v>
      </c>
      <c r="N35" s="33">
        <v>0</v>
      </c>
      <c r="O35" s="33">
        <v>131</v>
      </c>
      <c r="P35" s="33"/>
      <c r="Q35" s="33">
        <v>33</v>
      </c>
      <c r="R35" s="33" t="s">
        <v>1708</v>
      </c>
      <c r="S35" s="33" t="s">
        <v>1072</v>
      </c>
      <c r="T35" s="33" t="s">
        <v>804</v>
      </c>
      <c r="U35" s="33" t="s">
        <v>1439</v>
      </c>
      <c r="V35" s="33">
        <v>0</v>
      </c>
      <c r="W35" s="33">
        <v>0</v>
      </c>
      <c r="X35" s="33">
        <v>0</v>
      </c>
      <c r="Y35" s="33">
        <v>127</v>
      </c>
      <c r="Z35" s="33">
        <v>563</v>
      </c>
      <c r="AA35" s="33">
        <v>4</v>
      </c>
      <c r="AB35" s="33">
        <v>36</v>
      </c>
      <c r="AC35" s="33">
        <v>286</v>
      </c>
      <c r="AD35" s="33">
        <v>1</v>
      </c>
      <c r="AE35" s="33">
        <v>130.5</v>
      </c>
      <c r="AF35" s="33"/>
      <c r="AG35" s="33">
        <v>33</v>
      </c>
      <c r="AH35" s="33" t="s">
        <v>1709</v>
      </c>
      <c r="AI35" s="33" t="s">
        <v>1072</v>
      </c>
      <c r="AJ35" s="33" t="s">
        <v>804</v>
      </c>
      <c r="AK35" s="33" t="s">
        <v>1439</v>
      </c>
      <c r="AL35" s="33">
        <v>0</v>
      </c>
      <c r="AM35" s="33">
        <v>0</v>
      </c>
      <c r="AN35" s="33">
        <v>0</v>
      </c>
      <c r="AO35" s="33">
        <v>7</v>
      </c>
      <c r="AP35" s="33">
        <v>42</v>
      </c>
      <c r="AQ35" s="33">
        <v>0</v>
      </c>
      <c r="AR35" s="33">
        <v>65</v>
      </c>
      <c r="AS35" s="33">
        <v>893</v>
      </c>
      <c r="AT35" s="33">
        <v>6</v>
      </c>
      <c r="AU35" s="33">
        <v>160.5</v>
      </c>
      <c r="AV35" s="33"/>
      <c r="AW35" s="33">
        <v>33</v>
      </c>
      <c r="AX35" s="33" t="s">
        <v>1710</v>
      </c>
      <c r="AY35" s="33" t="s">
        <v>1072</v>
      </c>
      <c r="AZ35" s="33" t="s">
        <v>804</v>
      </c>
      <c r="BA35" s="33" t="s">
        <v>1439</v>
      </c>
      <c r="BB35" s="33">
        <v>0</v>
      </c>
      <c r="BC35" s="33">
        <v>0</v>
      </c>
      <c r="BD35" s="33">
        <v>0</v>
      </c>
      <c r="BE35" s="33">
        <v>0</v>
      </c>
      <c r="BF35" s="33">
        <v>0</v>
      </c>
      <c r="BG35" s="33">
        <v>0</v>
      </c>
      <c r="BH35" s="33">
        <v>24</v>
      </c>
      <c r="BI35" s="33">
        <v>257</v>
      </c>
      <c r="BJ35" s="33">
        <v>3</v>
      </c>
      <c r="BK35" s="33">
        <v>55.5</v>
      </c>
      <c r="BL35" s="33"/>
      <c r="BM35" s="33"/>
      <c r="BN35" s="33"/>
      <c r="BO35" s="33"/>
      <c r="BP35" s="33"/>
      <c r="BQ35" s="33"/>
      <c r="BR35" s="33"/>
      <c r="BS35" s="33"/>
      <c r="BT35" s="33"/>
      <c r="BU35" s="33"/>
      <c r="BV35" s="33"/>
      <c r="BW35" s="33"/>
      <c r="BX35" s="33"/>
      <c r="BY35" s="33"/>
      <c r="BZ35" s="33"/>
      <c r="CA35" s="33"/>
      <c r="CB35" s="33"/>
      <c r="CC35" s="33">
        <v>33</v>
      </c>
      <c r="CD35" s="33" t="s">
        <v>1711</v>
      </c>
      <c r="CE35" s="33" t="s">
        <v>1072</v>
      </c>
      <c r="CF35" s="33" t="s">
        <v>804</v>
      </c>
      <c r="CG35" s="33" t="s">
        <v>1439</v>
      </c>
      <c r="CH35" s="33">
        <v>0</v>
      </c>
      <c r="CI35" s="33">
        <v>0</v>
      </c>
      <c r="CJ35" s="33">
        <v>0</v>
      </c>
      <c r="CK35" s="33">
        <v>0</v>
      </c>
      <c r="CL35" s="33">
        <v>0</v>
      </c>
      <c r="CM35" s="33">
        <v>0</v>
      </c>
      <c r="CN35" s="33">
        <v>0</v>
      </c>
      <c r="CO35" s="33">
        <v>0</v>
      </c>
      <c r="CP35" s="33">
        <v>0</v>
      </c>
      <c r="CQ35" s="33">
        <v>0</v>
      </c>
      <c r="CR35" s="33"/>
      <c r="CS35" s="33" t="str">
        <f t="shared" si="0"/>
        <v>Vincent Jackson</v>
      </c>
      <c r="CT35" s="33">
        <v>33</v>
      </c>
      <c r="CU35" s="33" t="s">
        <v>1712</v>
      </c>
      <c r="CV35" s="33">
        <v>7</v>
      </c>
      <c r="CW35" s="33" t="s">
        <v>1713</v>
      </c>
      <c r="CX35" s="33">
        <v>26</v>
      </c>
      <c r="CY35" s="33"/>
      <c r="CZ35" s="33" t="str">
        <f t="shared" si="1"/>
        <v>Andre Ellington</v>
      </c>
      <c r="DA35" s="33">
        <v>33</v>
      </c>
      <c r="DB35" s="33" t="s">
        <v>1714</v>
      </c>
      <c r="DC35" s="33">
        <v>4</v>
      </c>
      <c r="DD35" s="33" t="s">
        <v>1715</v>
      </c>
      <c r="DE35" s="33">
        <v>26</v>
      </c>
    </row>
    <row r="36" spans="1:109" ht="12.75" customHeight="1">
      <c r="A36" s="33">
        <v>34</v>
      </c>
      <c r="B36" s="33" t="s">
        <v>1716</v>
      </c>
      <c r="C36" s="33" t="s">
        <v>1072</v>
      </c>
      <c r="D36" s="33" t="s">
        <v>804</v>
      </c>
      <c r="E36" s="33" t="s">
        <v>1717</v>
      </c>
      <c r="F36" s="33">
        <v>1550</v>
      </c>
      <c r="G36" s="33">
        <v>10</v>
      </c>
      <c r="H36" s="33">
        <v>7</v>
      </c>
      <c r="I36" s="33">
        <v>23</v>
      </c>
      <c r="J36" s="33">
        <v>61</v>
      </c>
      <c r="K36" s="33">
        <v>1</v>
      </c>
      <c r="L36" s="33">
        <v>0</v>
      </c>
      <c r="M36" s="33">
        <v>0</v>
      </c>
      <c r="N36" s="33">
        <v>0</v>
      </c>
      <c r="O36" s="33">
        <v>119</v>
      </c>
      <c r="P36" s="33"/>
      <c r="Q36" s="33">
        <v>34</v>
      </c>
      <c r="R36" s="33" t="s">
        <v>1718</v>
      </c>
      <c r="S36" s="33" t="s">
        <v>1072</v>
      </c>
      <c r="T36" s="33" t="s">
        <v>804</v>
      </c>
      <c r="U36" s="33" t="s">
        <v>1439</v>
      </c>
      <c r="V36" s="33">
        <v>0</v>
      </c>
      <c r="W36" s="33">
        <v>0</v>
      </c>
      <c r="X36" s="33">
        <v>0</v>
      </c>
      <c r="Y36" s="33">
        <v>40</v>
      </c>
      <c r="Z36" s="33">
        <v>176</v>
      </c>
      <c r="AA36" s="33">
        <v>1</v>
      </c>
      <c r="AB36" s="33">
        <v>73</v>
      </c>
      <c r="AC36" s="33">
        <v>598</v>
      </c>
      <c r="AD36" s="33">
        <v>3</v>
      </c>
      <c r="AE36" s="33">
        <v>135.5</v>
      </c>
      <c r="AF36" s="33"/>
      <c r="AG36" s="33">
        <v>34</v>
      </c>
      <c r="AH36" s="33" t="s">
        <v>1719</v>
      </c>
      <c r="AI36" s="33" t="s">
        <v>1072</v>
      </c>
      <c r="AJ36" s="33" t="s">
        <v>804</v>
      </c>
      <c r="AK36" s="33" t="s">
        <v>1439</v>
      </c>
      <c r="AL36" s="33">
        <v>0</v>
      </c>
      <c r="AM36" s="33">
        <v>0</v>
      </c>
      <c r="AN36" s="33">
        <v>0</v>
      </c>
      <c r="AO36" s="33">
        <v>4</v>
      </c>
      <c r="AP36" s="33">
        <v>31</v>
      </c>
      <c r="AQ36" s="33">
        <v>0</v>
      </c>
      <c r="AR36" s="33">
        <v>76</v>
      </c>
      <c r="AS36" s="33">
        <v>986</v>
      </c>
      <c r="AT36" s="33">
        <v>5</v>
      </c>
      <c r="AU36" s="33">
        <v>169.5</v>
      </c>
      <c r="AV36" s="33"/>
      <c r="AW36" s="33">
        <v>34</v>
      </c>
      <c r="AX36" s="33" t="s">
        <v>1720</v>
      </c>
      <c r="AY36" s="33" t="s">
        <v>1072</v>
      </c>
      <c r="AZ36" s="33" t="s">
        <v>804</v>
      </c>
      <c r="BA36" s="33" t="s">
        <v>1439</v>
      </c>
      <c r="BB36" s="33">
        <v>0</v>
      </c>
      <c r="BC36" s="33">
        <v>0</v>
      </c>
      <c r="BD36" s="33">
        <v>0</v>
      </c>
      <c r="BE36" s="33">
        <v>0</v>
      </c>
      <c r="BF36" s="33">
        <v>0</v>
      </c>
      <c r="BG36" s="33">
        <v>0</v>
      </c>
      <c r="BH36" s="33">
        <v>26</v>
      </c>
      <c r="BI36" s="33">
        <v>334</v>
      </c>
      <c r="BJ36" s="33">
        <v>2</v>
      </c>
      <c r="BK36" s="33">
        <v>58</v>
      </c>
      <c r="BL36" s="33"/>
      <c r="BM36" s="33"/>
      <c r="BN36" s="33"/>
      <c r="BO36" s="33"/>
      <c r="BP36" s="33"/>
      <c r="BQ36" s="33"/>
      <c r="BR36" s="33"/>
      <c r="BS36" s="33"/>
      <c r="BT36" s="33"/>
      <c r="BU36" s="33"/>
      <c r="BV36" s="33"/>
      <c r="BW36" s="33"/>
      <c r="BX36" s="33"/>
      <c r="BY36" s="33"/>
      <c r="BZ36" s="33"/>
      <c r="CA36" s="33"/>
      <c r="CB36" s="33"/>
      <c r="CC36" s="33">
        <v>34</v>
      </c>
      <c r="CD36" s="33" t="s">
        <v>1721</v>
      </c>
      <c r="CE36" s="33" t="s">
        <v>1072</v>
      </c>
      <c r="CF36" s="33" t="s">
        <v>804</v>
      </c>
      <c r="CG36" s="33" t="s">
        <v>1439</v>
      </c>
      <c r="CH36" s="33">
        <v>0</v>
      </c>
      <c r="CI36" s="33">
        <v>0</v>
      </c>
      <c r="CJ36" s="33">
        <v>0</v>
      </c>
      <c r="CK36" s="33">
        <v>0</v>
      </c>
      <c r="CL36" s="33">
        <v>0</v>
      </c>
      <c r="CM36" s="33">
        <v>0</v>
      </c>
      <c r="CN36" s="33">
        <v>0</v>
      </c>
      <c r="CO36" s="33">
        <v>0</v>
      </c>
      <c r="CP36" s="33">
        <v>0</v>
      </c>
      <c r="CQ36" s="33">
        <v>0</v>
      </c>
      <c r="CR36" s="33"/>
      <c r="CS36" s="33" t="str">
        <f t="shared" si="0"/>
        <v>Larry Fitzgerald</v>
      </c>
      <c r="CT36" s="33">
        <v>34</v>
      </c>
      <c r="CU36" s="33" t="s">
        <v>1722</v>
      </c>
      <c r="CV36" s="33">
        <v>4</v>
      </c>
      <c r="CW36" s="33" t="s">
        <v>1723</v>
      </c>
      <c r="CX36" s="33">
        <v>25</v>
      </c>
      <c r="CY36" s="33"/>
      <c r="CZ36" s="33" t="str">
        <f t="shared" si="1"/>
        <v>Andre Johnson</v>
      </c>
      <c r="DA36" s="33">
        <v>34</v>
      </c>
      <c r="DB36" s="33" t="s">
        <v>1695</v>
      </c>
      <c r="DC36" s="33">
        <v>10</v>
      </c>
      <c r="DD36" s="33" t="s">
        <v>1687</v>
      </c>
      <c r="DE36" s="33">
        <v>25</v>
      </c>
    </row>
    <row r="37" spans="1:109" ht="12.75" customHeight="1">
      <c r="A37" s="33">
        <v>35</v>
      </c>
      <c r="B37" s="33" t="s">
        <v>1724</v>
      </c>
      <c r="C37" s="33" t="s">
        <v>1072</v>
      </c>
      <c r="D37" s="33" t="s">
        <v>804</v>
      </c>
      <c r="E37" s="33" t="s">
        <v>1725</v>
      </c>
      <c r="F37" s="33">
        <v>1148</v>
      </c>
      <c r="G37" s="33">
        <v>8</v>
      </c>
      <c r="H37" s="33">
        <v>8</v>
      </c>
      <c r="I37" s="33">
        <v>17</v>
      </c>
      <c r="J37" s="33">
        <v>49</v>
      </c>
      <c r="K37" s="33">
        <v>0</v>
      </c>
      <c r="L37" s="33">
        <v>0</v>
      </c>
      <c r="M37" s="33">
        <v>0</v>
      </c>
      <c r="N37" s="33">
        <v>0</v>
      </c>
      <c r="O37" s="33">
        <v>80.3</v>
      </c>
      <c r="P37" s="33"/>
      <c r="Q37" s="33">
        <v>35</v>
      </c>
      <c r="R37" s="33" t="s">
        <v>1726</v>
      </c>
      <c r="S37" s="33" t="s">
        <v>1072</v>
      </c>
      <c r="T37" s="33" t="s">
        <v>804</v>
      </c>
      <c r="U37" s="33" t="s">
        <v>1439</v>
      </c>
      <c r="V37" s="33">
        <v>0</v>
      </c>
      <c r="W37" s="33">
        <v>0</v>
      </c>
      <c r="X37" s="33">
        <v>0</v>
      </c>
      <c r="Y37" s="33">
        <v>206</v>
      </c>
      <c r="Z37" s="33">
        <v>814</v>
      </c>
      <c r="AA37" s="33">
        <v>3</v>
      </c>
      <c r="AB37" s="33">
        <v>23</v>
      </c>
      <c r="AC37" s="33">
        <v>210</v>
      </c>
      <c r="AD37" s="33">
        <v>1</v>
      </c>
      <c r="AE37" s="33">
        <v>135.5</v>
      </c>
      <c r="AF37" s="33"/>
      <c r="AG37" s="33">
        <v>35</v>
      </c>
      <c r="AH37" s="33" t="s">
        <v>1727</v>
      </c>
      <c r="AI37" s="33" t="s">
        <v>1072</v>
      </c>
      <c r="AJ37" s="33" t="s">
        <v>804</v>
      </c>
      <c r="AK37" s="33" t="s">
        <v>1439</v>
      </c>
      <c r="AL37" s="33">
        <v>0</v>
      </c>
      <c r="AM37" s="33">
        <v>0</v>
      </c>
      <c r="AN37" s="33">
        <v>0</v>
      </c>
      <c r="AO37" s="33">
        <v>0</v>
      </c>
      <c r="AP37" s="33">
        <v>0</v>
      </c>
      <c r="AQ37" s="33">
        <v>0</v>
      </c>
      <c r="AR37" s="33">
        <v>64</v>
      </c>
      <c r="AS37" s="33">
        <v>947</v>
      </c>
      <c r="AT37" s="33">
        <v>6</v>
      </c>
      <c r="AU37" s="33">
        <v>161.5</v>
      </c>
      <c r="AV37" s="33"/>
      <c r="AW37" s="33">
        <v>35</v>
      </c>
      <c r="AX37" s="33" t="s">
        <v>1728</v>
      </c>
      <c r="AY37" s="33" t="s">
        <v>1072</v>
      </c>
      <c r="AZ37" s="33" t="s">
        <v>804</v>
      </c>
      <c r="BA37" s="33" t="s">
        <v>1439</v>
      </c>
      <c r="BB37" s="33">
        <v>0</v>
      </c>
      <c r="BC37" s="33">
        <v>0</v>
      </c>
      <c r="BD37" s="33">
        <v>0</v>
      </c>
      <c r="BE37" s="33">
        <v>0</v>
      </c>
      <c r="BF37" s="33">
        <v>0</v>
      </c>
      <c r="BG37" s="33">
        <v>0</v>
      </c>
      <c r="BH37" s="33">
        <v>34</v>
      </c>
      <c r="BI37" s="33">
        <v>390</v>
      </c>
      <c r="BJ37" s="33">
        <v>1</v>
      </c>
      <c r="BK37" s="33">
        <v>62</v>
      </c>
      <c r="BL37" s="33"/>
      <c r="BM37" s="33"/>
      <c r="BN37" s="33"/>
      <c r="BO37" s="33"/>
      <c r="BP37" s="33"/>
      <c r="BQ37" s="33"/>
      <c r="BR37" s="33"/>
      <c r="BS37" s="33"/>
      <c r="BT37" s="33"/>
      <c r="BU37" s="33"/>
      <c r="BV37" s="33"/>
      <c r="BW37" s="33"/>
      <c r="BX37" s="33"/>
      <c r="BY37" s="33"/>
      <c r="BZ37" s="33"/>
      <c r="CA37" s="33"/>
      <c r="CB37" s="33"/>
      <c r="CC37" s="33">
        <v>35</v>
      </c>
      <c r="CD37" s="33" t="s">
        <v>1729</v>
      </c>
      <c r="CE37" s="33" t="s">
        <v>1072</v>
      </c>
      <c r="CF37" s="33" t="s">
        <v>804</v>
      </c>
      <c r="CG37" s="33" t="s">
        <v>1439</v>
      </c>
      <c r="CH37" s="33">
        <v>0</v>
      </c>
      <c r="CI37" s="33">
        <v>0</v>
      </c>
      <c r="CJ37" s="33">
        <v>0</v>
      </c>
      <c r="CK37" s="33">
        <v>0</v>
      </c>
      <c r="CL37" s="33">
        <v>0</v>
      </c>
      <c r="CM37" s="33">
        <v>0</v>
      </c>
      <c r="CN37" s="33">
        <v>0</v>
      </c>
      <c r="CO37" s="33">
        <v>0</v>
      </c>
      <c r="CP37" s="33">
        <v>0</v>
      </c>
      <c r="CQ37" s="33">
        <v>0</v>
      </c>
      <c r="CR37" s="33"/>
      <c r="CS37" s="33" t="str">
        <f t="shared" si="0"/>
        <v>Rob Gronkowski</v>
      </c>
      <c r="CT37" s="33">
        <v>35</v>
      </c>
      <c r="CU37" s="33" t="s">
        <v>1730</v>
      </c>
      <c r="CV37" s="33">
        <v>10</v>
      </c>
      <c r="CW37" s="33" t="s">
        <v>226</v>
      </c>
      <c r="CX37" s="33">
        <v>24</v>
      </c>
      <c r="CY37" s="33"/>
      <c r="CZ37" s="33" t="str">
        <f t="shared" si="1"/>
        <v>Randall Cobb</v>
      </c>
      <c r="DA37" s="33">
        <v>35</v>
      </c>
      <c r="DB37" s="33" t="s">
        <v>1686</v>
      </c>
      <c r="DC37" s="33">
        <v>9</v>
      </c>
      <c r="DD37" s="33" t="s">
        <v>1696</v>
      </c>
      <c r="DE37" s="33">
        <v>24</v>
      </c>
    </row>
    <row r="38" spans="1:109" ht="12.75" customHeight="1">
      <c r="A38" s="33">
        <v>36</v>
      </c>
      <c r="B38" s="33" t="s">
        <v>1731</v>
      </c>
      <c r="C38" s="33" t="s">
        <v>1072</v>
      </c>
      <c r="D38" s="33" t="s">
        <v>804</v>
      </c>
      <c r="E38" s="33" t="s">
        <v>1732</v>
      </c>
      <c r="F38" s="33">
        <v>546</v>
      </c>
      <c r="G38" s="33">
        <v>6</v>
      </c>
      <c r="H38" s="33">
        <v>6</v>
      </c>
      <c r="I38" s="33">
        <v>10</v>
      </c>
      <c r="J38" s="33">
        <v>41</v>
      </c>
      <c r="K38" s="33">
        <v>0</v>
      </c>
      <c r="L38" s="33">
        <v>0</v>
      </c>
      <c r="M38" s="33">
        <v>0</v>
      </c>
      <c r="N38" s="33">
        <v>0</v>
      </c>
      <c r="O38" s="33">
        <v>48.8</v>
      </c>
      <c r="P38" s="33"/>
      <c r="Q38" s="33">
        <v>36</v>
      </c>
      <c r="R38" s="33" t="s">
        <v>1733</v>
      </c>
      <c r="S38" s="33" t="s">
        <v>1072</v>
      </c>
      <c r="T38" s="33" t="s">
        <v>804</v>
      </c>
      <c r="U38" s="33" t="s">
        <v>1439</v>
      </c>
      <c r="V38" s="33">
        <v>0</v>
      </c>
      <c r="W38" s="33">
        <v>0</v>
      </c>
      <c r="X38" s="33">
        <v>0</v>
      </c>
      <c r="Y38" s="33">
        <v>166</v>
      </c>
      <c r="Z38" s="33">
        <v>733</v>
      </c>
      <c r="AA38" s="33">
        <v>4</v>
      </c>
      <c r="AB38" s="33">
        <v>4</v>
      </c>
      <c r="AC38" s="33">
        <v>34</v>
      </c>
      <c r="AD38" s="33">
        <v>0</v>
      </c>
      <c r="AE38" s="33">
        <v>100</v>
      </c>
      <c r="AF38" s="33"/>
      <c r="AG38" s="33">
        <v>36</v>
      </c>
      <c r="AH38" s="33" t="s">
        <v>1734</v>
      </c>
      <c r="AI38" s="33" t="s">
        <v>1072</v>
      </c>
      <c r="AJ38" s="33" t="s">
        <v>804</v>
      </c>
      <c r="AK38" s="33" t="s">
        <v>1439</v>
      </c>
      <c r="AL38" s="33">
        <v>0</v>
      </c>
      <c r="AM38" s="33">
        <v>0</v>
      </c>
      <c r="AN38" s="33">
        <v>0</v>
      </c>
      <c r="AO38" s="33">
        <v>4</v>
      </c>
      <c r="AP38" s="33">
        <v>19</v>
      </c>
      <c r="AQ38" s="33">
        <v>0</v>
      </c>
      <c r="AR38" s="33">
        <v>57</v>
      </c>
      <c r="AS38" s="33">
        <v>928</v>
      </c>
      <c r="AT38" s="33">
        <v>6</v>
      </c>
      <c r="AU38" s="33">
        <v>157.5</v>
      </c>
      <c r="AV38" s="33"/>
      <c r="AW38" s="33">
        <v>36</v>
      </c>
      <c r="AX38" s="33" t="s">
        <v>1735</v>
      </c>
      <c r="AY38" s="33" t="s">
        <v>1072</v>
      </c>
      <c r="AZ38" s="33" t="s">
        <v>804</v>
      </c>
      <c r="BA38" s="33" t="s">
        <v>1439</v>
      </c>
      <c r="BB38" s="33">
        <v>0</v>
      </c>
      <c r="BC38" s="33">
        <v>0</v>
      </c>
      <c r="BD38" s="33">
        <v>0</v>
      </c>
      <c r="BE38" s="33">
        <v>0</v>
      </c>
      <c r="BF38" s="33">
        <v>0</v>
      </c>
      <c r="BG38" s="33">
        <v>0</v>
      </c>
      <c r="BH38" s="33">
        <v>20</v>
      </c>
      <c r="BI38" s="33">
        <v>234</v>
      </c>
      <c r="BJ38" s="33">
        <v>3</v>
      </c>
      <c r="BK38" s="33">
        <v>51</v>
      </c>
      <c r="BL38" s="33"/>
      <c r="BM38" s="33"/>
      <c r="BN38" s="33"/>
      <c r="BO38" s="33"/>
      <c r="BP38" s="33"/>
      <c r="BQ38" s="33"/>
      <c r="BR38" s="33"/>
      <c r="BS38" s="33"/>
      <c r="BT38" s="33"/>
      <c r="BU38" s="33"/>
      <c r="BV38" s="33"/>
      <c r="BW38" s="33"/>
      <c r="BX38" s="33"/>
      <c r="BY38" s="33"/>
      <c r="BZ38" s="33"/>
      <c r="CA38" s="33"/>
      <c r="CB38" s="33"/>
      <c r="CC38" s="33">
        <v>36</v>
      </c>
      <c r="CD38" s="33" t="s">
        <v>1736</v>
      </c>
      <c r="CE38" s="33" t="s">
        <v>1072</v>
      </c>
      <c r="CF38" s="33" t="s">
        <v>804</v>
      </c>
      <c r="CG38" s="33" t="s">
        <v>1439</v>
      </c>
      <c r="CH38" s="33">
        <v>0</v>
      </c>
      <c r="CI38" s="33">
        <v>0</v>
      </c>
      <c r="CJ38" s="33">
        <v>0</v>
      </c>
      <c r="CK38" s="33">
        <v>0</v>
      </c>
      <c r="CL38" s="33">
        <v>0</v>
      </c>
      <c r="CM38" s="33">
        <v>0</v>
      </c>
      <c r="CN38" s="33">
        <v>0</v>
      </c>
      <c r="CO38" s="33">
        <v>0</v>
      </c>
      <c r="CP38" s="33">
        <v>0</v>
      </c>
      <c r="CQ38" s="33">
        <v>0</v>
      </c>
      <c r="CR38" s="33"/>
      <c r="CS38" s="33" t="str">
        <f t="shared" si="0"/>
        <v>Pierre Garcon</v>
      </c>
      <c r="CT38" s="33">
        <v>36</v>
      </c>
      <c r="CU38" s="33" t="s">
        <v>1737</v>
      </c>
      <c r="CV38" s="33">
        <v>10</v>
      </c>
      <c r="CW38" s="33" t="s">
        <v>1738</v>
      </c>
      <c r="CX38" s="33">
        <v>23</v>
      </c>
      <c r="CY38" s="33"/>
      <c r="CZ38" s="33" t="str">
        <f t="shared" si="1"/>
        <v>Trent Richardson</v>
      </c>
      <c r="DA38" s="33">
        <v>36</v>
      </c>
      <c r="DB38" s="33" t="s">
        <v>1739</v>
      </c>
      <c r="DC38" s="33">
        <v>10</v>
      </c>
      <c r="DD38" s="33" t="s">
        <v>1740</v>
      </c>
      <c r="DE38" s="33">
        <v>23</v>
      </c>
    </row>
    <row r="39" spans="1:109" ht="12.75" customHeight="1">
      <c r="A39" s="33">
        <v>37</v>
      </c>
      <c r="B39" s="33" t="s">
        <v>1741</v>
      </c>
      <c r="C39" s="33" t="s">
        <v>1072</v>
      </c>
      <c r="D39" s="33" t="s">
        <v>804</v>
      </c>
      <c r="E39" s="33" t="s">
        <v>1742</v>
      </c>
      <c r="F39" s="33">
        <v>566</v>
      </c>
      <c r="G39" s="33">
        <v>5</v>
      </c>
      <c r="H39" s="33">
        <v>3</v>
      </c>
      <c r="I39" s="33">
        <v>7</v>
      </c>
      <c r="J39" s="33">
        <v>17</v>
      </c>
      <c r="K39" s="33">
        <v>0</v>
      </c>
      <c r="L39" s="33">
        <v>0</v>
      </c>
      <c r="M39" s="33">
        <v>0</v>
      </c>
      <c r="N39" s="33">
        <v>0</v>
      </c>
      <c r="O39" s="33">
        <v>47.1</v>
      </c>
      <c r="P39" s="33"/>
      <c r="Q39" s="33">
        <v>37</v>
      </c>
      <c r="R39" s="33" t="s">
        <v>1743</v>
      </c>
      <c r="S39" s="33" t="s">
        <v>1072</v>
      </c>
      <c r="T39" s="33" t="s">
        <v>804</v>
      </c>
      <c r="U39" s="33" t="s">
        <v>1439</v>
      </c>
      <c r="V39" s="33">
        <v>0</v>
      </c>
      <c r="W39" s="33">
        <v>0</v>
      </c>
      <c r="X39" s="33">
        <v>0</v>
      </c>
      <c r="Y39" s="33">
        <v>115</v>
      </c>
      <c r="Z39" s="33">
        <v>470</v>
      </c>
      <c r="AA39" s="33">
        <v>3</v>
      </c>
      <c r="AB39" s="33">
        <v>21</v>
      </c>
      <c r="AC39" s="33">
        <v>191</v>
      </c>
      <c r="AD39" s="33">
        <v>0</v>
      </c>
      <c r="AE39" s="33">
        <v>93.5</v>
      </c>
      <c r="AF39" s="33"/>
      <c r="AG39" s="33">
        <v>37</v>
      </c>
      <c r="AH39" s="33" t="s">
        <v>1744</v>
      </c>
      <c r="AI39" s="33" t="s">
        <v>1072</v>
      </c>
      <c r="AJ39" s="33" t="s">
        <v>804</v>
      </c>
      <c r="AK39" s="33" t="s">
        <v>1439</v>
      </c>
      <c r="AL39" s="33">
        <v>0</v>
      </c>
      <c r="AM39" s="33">
        <v>0</v>
      </c>
      <c r="AN39" s="33">
        <v>0</v>
      </c>
      <c r="AO39" s="33">
        <v>0</v>
      </c>
      <c r="AP39" s="33">
        <v>0</v>
      </c>
      <c r="AQ39" s="33">
        <v>0</v>
      </c>
      <c r="AR39" s="33">
        <v>63</v>
      </c>
      <c r="AS39" s="33">
        <v>882</v>
      </c>
      <c r="AT39" s="33">
        <v>5</v>
      </c>
      <c r="AU39" s="33">
        <v>149.5</v>
      </c>
      <c r="AV39" s="33"/>
      <c r="AW39" s="33">
        <v>37</v>
      </c>
      <c r="AX39" s="33" t="s">
        <v>1745</v>
      </c>
      <c r="AY39" s="33" t="s">
        <v>1072</v>
      </c>
      <c r="AZ39" s="33" t="s">
        <v>804</v>
      </c>
      <c r="BA39" s="33" t="s">
        <v>1439</v>
      </c>
      <c r="BB39" s="33">
        <v>0</v>
      </c>
      <c r="BC39" s="33">
        <v>0</v>
      </c>
      <c r="BD39" s="33">
        <v>0</v>
      </c>
      <c r="BE39" s="33">
        <v>0</v>
      </c>
      <c r="BF39" s="33">
        <v>0</v>
      </c>
      <c r="BG39" s="33">
        <v>0</v>
      </c>
      <c r="BH39" s="33">
        <v>36</v>
      </c>
      <c r="BI39" s="33">
        <v>368</v>
      </c>
      <c r="BJ39" s="33">
        <v>2</v>
      </c>
      <c r="BK39" s="33">
        <v>66.5</v>
      </c>
      <c r="BL39" s="33"/>
      <c r="BM39" s="33"/>
      <c r="BN39" s="33"/>
      <c r="BO39" s="33"/>
      <c r="BP39" s="33"/>
      <c r="BQ39" s="33"/>
      <c r="BR39" s="33"/>
      <c r="BS39" s="33"/>
      <c r="BT39" s="33"/>
      <c r="BU39" s="33"/>
      <c r="BV39" s="33"/>
      <c r="BW39" s="33"/>
      <c r="BX39" s="33"/>
      <c r="BY39" s="33"/>
      <c r="BZ39" s="33"/>
      <c r="CA39" s="33"/>
      <c r="CB39" s="33"/>
      <c r="CC39" s="33">
        <v>37</v>
      </c>
      <c r="CD39" s="33" t="s">
        <v>1746</v>
      </c>
      <c r="CE39" s="33" t="s">
        <v>1072</v>
      </c>
      <c r="CF39" s="33" t="s">
        <v>804</v>
      </c>
      <c r="CG39" s="33" t="s">
        <v>1439</v>
      </c>
      <c r="CH39" s="33">
        <v>0</v>
      </c>
      <c r="CI39" s="33">
        <v>0</v>
      </c>
      <c r="CJ39" s="33">
        <v>0</v>
      </c>
      <c r="CK39" s="33">
        <v>0</v>
      </c>
      <c r="CL39" s="33">
        <v>0</v>
      </c>
      <c r="CM39" s="33">
        <v>0</v>
      </c>
      <c r="CN39" s="33">
        <v>0</v>
      </c>
      <c r="CO39" s="33">
        <v>0</v>
      </c>
      <c r="CP39" s="33">
        <v>0</v>
      </c>
      <c r="CQ39" s="33">
        <v>0</v>
      </c>
      <c r="CR39" s="33"/>
      <c r="CS39" s="33" t="str">
        <f t="shared" si="0"/>
        <v>Ryan Mathews</v>
      </c>
      <c r="CT39" s="33">
        <v>37</v>
      </c>
      <c r="CU39" s="33" t="s">
        <v>1747</v>
      </c>
      <c r="CV39" s="33">
        <v>10</v>
      </c>
      <c r="CW39" s="33" t="s">
        <v>1715</v>
      </c>
      <c r="CX39" s="33">
        <v>22</v>
      </c>
      <c r="CY39" s="33"/>
      <c r="CZ39" s="33" t="str">
        <f t="shared" si="1"/>
        <v>Vincent Jackson</v>
      </c>
      <c r="DA39" s="33">
        <v>37</v>
      </c>
      <c r="DB39" s="33" t="s">
        <v>1712</v>
      </c>
      <c r="DC39" s="33">
        <v>7</v>
      </c>
      <c r="DD39" s="33" t="s">
        <v>1713</v>
      </c>
      <c r="DE39" s="33">
        <v>22</v>
      </c>
    </row>
    <row r="40" spans="1:109" ht="12.75" customHeight="1">
      <c r="A40" s="33">
        <v>38</v>
      </c>
      <c r="B40" s="33" t="s">
        <v>1748</v>
      </c>
      <c r="C40" s="33" t="s">
        <v>1072</v>
      </c>
      <c r="D40" s="33" t="s">
        <v>804</v>
      </c>
      <c r="E40" s="33" t="s">
        <v>1749</v>
      </c>
      <c r="F40" s="33">
        <v>884</v>
      </c>
      <c r="G40" s="33">
        <v>6</v>
      </c>
      <c r="H40" s="33">
        <v>8</v>
      </c>
      <c r="I40" s="33">
        <v>17</v>
      </c>
      <c r="J40" s="33">
        <v>59</v>
      </c>
      <c r="K40" s="33">
        <v>1</v>
      </c>
      <c r="L40" s="33">
        <v>0</v>
      </c>
      <c r="M40" s="33">
        <v>0</v>
      </c>
      <c r="N40" s="33">
        <v>0</v>
      </c>
      <c r="O40" s="33">
        <v>63.7</v>
      </c>
      <c r="P40" s="33"/>
      <c r="Q40" s="33">
        <v>38</v>
      </c>
      <c r="R40" s="33" t="s">
        <v>1750</v>
      </c>
      <c r="S40" s="33" t="s">
        <v>1072</v>
      </c>
      <c r="T40" s="33" t="s">
        <v>804</v>
      </c>
      <c r="U40" s="33" t="s">
        <v>1439</v>
      </c>
      <c r="V40" s="33">
        <v>0</v>
      </c>
      <c r="W40" s="33">
        <v>0</v>
      </c>
      <c r="X40" s="33">
        <v>0</v>
      </c>
      <c r="Y40" s="33">
        <v>121</v>
      </c>
      <c r="Z40" s="33">
        <v>607</v>
      </c>
      <c r="AA40" s="33">
        <v>5</v>
      </c>
      <c r="AB40" s="33">
        <v>2</v>
      </c>
      <c r="AC40" s="33">
        <v>11</v>
      </c>
      <c r="AD40" s="33">
        <v>0</v>
      </c>
      <c r="AE40" s="33">
        <v>92.5</v>
      </c>
      <c r="AF40" s="33"/>
      <c r="AG40" s="33">
        <v>38</v>
      </c>
      <c r="AH40" s="33" t="s">
        <v>1751</v>
      </c>
      <c r="AI40" s="33" t="s">
        <v>1072</v>
      </c>
      <c r="AJ40" s="33" t="s">
        <v>804</v>
      </c>
      <c r="AK40" s="33" t="s">
        <v>1439</v>
      </c>
      <c r="AL40" s="33">
        <v>0</v>
      </c>
      <c r="AM40" s="33">
        <v>0</v>
      </c>
      <c r="AN40" s="33">
        <v>0</v>
      </c>
      <c r="AO40" s="33">
        <v>2</v>
      </c>
      <c r="AP40" s="33">
        <v>14</v>
      </c>
      <c r="AQ40" s="33">
        <v>0</v>
      </c>
      <c r="AR40" s="33">
        <v>69</v>
      </c>
      <c r="AS40" s="33">
        <v>967</v>
      </c>
      <c r="AT40" s="33">
        <v>4</v>
      </c>
      <c r="AU40" s="33">
        <v>156</v>
      </c>
      <c r="AV40" s="33"/>
      <c r="AW40" s="33">
        <v>38</v>
      </c>
      <c r="AX40" s="33" t="s">
        <v>1752</v>
      </c>
      <c r="AY40" s="33" t="s">
        <v>1072</v>
      </c>
      <c r="AZ40" s="33" t="s">
        <v>804</v>
      </c>
      <c r="BA40" s="33" t="s">
        <v>1439</v>
      </c>
      <c r="BB40" s="33">
        <v>0</v>
      </c>
      <c r="BC40" s="33">
        <v>0</v>
      </c>
      <c r="BD40" s="33">
        <v>0</v>
      </c>
      <c r="BE40" s="33">
        <v>0</v>
      </c>
      <c r="BF40" s="33">
        <v>0</v>
      </c>
      <c r="BG40" s="33">
        <v>0</v>
      </c>
      <c r="BH40" s="33">
        <v>30</v>
      </c>
      <c r="BI40" s="33">
        <v>365</v>
      </c>
      <c r="BJ40" s="33">
        <v>2</v>
      </c>
      <c r="BK40" s="33">
        <v>63.5</v>
      </c>
      <c r="BL40" s="33"/>
      <c r="BM40" s="33"/>
      <c r="BN40" s="33"/>
      <c r="BO40" s="33"/>
      <c r="BP40" s="33"/>
      <c r="BQ40" s="33"/>
      <c r="BR40" s="33"/>
      <c r="BS40" s="33"/>
      <c r="BT40" s="33"/>
      <c r="BU40" s="33"/>
      <c r="BV40" s="33"/>
      <c r="BW40" s="33"/>
      <c r="BX40" s="33"/>
      <c r="BY40" s="33"/>
      <c r="BZ40" s="33"/>
      <c r="CA40" s="33"/>
      <c r="CB40" s="33"/>
      <c r="CC40" s="33">
        <v>38</v>
      </c>
      <c r="CD40" s="33" t="s">
        <v>1753</v>
      </c>
      <c r="CE40" s="33" t="s">
        <v>1072</v>
      </c>
      <c r="CF40" s="33" t="s">
        <v>804</v>
      </c>
      <c r="CG40" s="33" t="s">
        <v>1754</v>
      </c>
      <c r="CH40" s="33" t="s">
        <v>1755</v>
      </c>
      <c r="CI40" s="33" t="s">
        <v>1755</v>
      </c>
      <c r="CJ40" s="33" t="s">
        <v>1755</v>
      </c>
      <c r="CK40" s="33" t="s">
        <v>1755</v>
      </c>
      <c r="CL40" s="33" t="s">
        <v>1755</v>
      </c>
      <c r="CM40" s="33" t="s">
        <v>1755</v>
      </c>
      <c r="CN40" s="33" t="s">
        <v>1755</v>
      </c>
      <c r="CO40" s="33" t="s">
        <v>1755</v>
      </c>
      <c r="CP40" s="33" t="s">
        <v>1755</v>
      </c>
      <c r="CQ40" s="33" t="s">
        <v>1755</v>
      </c>
      <c r="CR40" s="33"/>
      <c r="CS40" s="33" t="str">
        <f t="shared" si="0"/>
        <v>Keenan Allen</v>
      </c>
      <c r="CT40" s="33">
        <v>38</v>
      </c>
      <c r="CU40" s="33" t="s">
        <v>1756</v>
      </c>
      <c r="CV40" s="33">
        <v>10</v>
      </c>
      <c r="CW40" s="33" t="s">
        <v>1757</v>
      </c>
      <c r="CX40" s="33">
        <v>22</v>
      </c>
      <c r="CY40" s="33"/>
      <c r="CZ40" s="33" t="str">
        <f t="shared" si="1"/>
        <v>Larry Fitzgerald</v>
      </c>
      <c r="DA40" s="33">
        <v>38</v>
      </c>
      <c r="DB40" s="33" t="s">
        <v>1722</v>
      </c>
      <c r="DC40" s="33">
        <v>4</v>
      </c>
      <c r="DD40" s="33" t="s">
        <v>1723</v>
      </c>
      <c r="DE40" s="33">
        <v>21</v>
      </c>
    </row>
    <row r="41" spans="1:109" ht="12.75" customHeight="1">
      <c r="A41" s="33">
        <v>39</v>
      </c>
      <c r="B41" s="33" t="s">
        <v>1758</v>
      </c>
      <c r="C41" s="33" t="s">
        <v>1072</v>
      </c>
      <c r="D41" s="33" t="s">
        <v>804</v>
      </c>
      <c r="E41" s="33" t="s">
        <v>1759</v>
      </c>
      <c r="F41" s="33">
        <v>576</v>
      </c>
      <c r="G41" s="33">
        <v>5</v>
      </c>
      <c r="H41" s="33">
        <v>4</v>
      </c>
      <c r="I41" s="33">
        <v>11</v>
      </c>
      <c r="J41" s="33">
        <v>34</v>
      </c>
      <c r="K41" s="33">
        <v>0</v>
      </c>
      <c r="L41" s="33">
        <v>0</v>
      </c>
      <c r="M41" s="33">
        <v>0</v>
      </c>
      <c r="N41" s="33">
        <v>0</v>
      </c>
      <c r="O41" s="33">
        <v>47</v>
      </c>
      <c r="P41" s="33"/>
      <c r="Q41" s="33">
        <v>39</v>
      </c>
      <c r="R41" s="33" t="s">
        <v>1760</v>
      </c>
      <c r="S41" s="33" t="s">
        <v>1072</v>
      </c>
      <c r="T41" s="33" t="s">
        <v>804</v>
      </c>
      <c r="U41" s="33" t="s">
        <v>1439</v>
      </c>
      <c r="V41" s="33">
        <v>0</v>
      </c>
      <c r="W41" s="33">
        <v>0</v>
      </c>
      <c r="X41" s="33">
        <v>0</v>
      </c>
      <c r="Y41" s="33">
        <v>102</v>
      </c>
      <c r="Z41" s="33">
        <v>385</v>
      </c>
      <c r="AA41" s="33">
        <v>1</v>
      </c>
      <c r="AB41" s="33">
        <v>67</v>
      </c>
      <c r="AC41" s="33">
        <v>534</v>
      </c>
      <c r="AD41" s="33">
        <v>5</v>
      </c>
      <c r="AE41" s="33">
        <v>159</v>
      </c>
      <c r="AF41" s="33"/>
      <c r="AG41" s="33">
        <v>39</v>
      </c>
      <c r="AH41" s="33" t="s">
        <v>1761</v>
      </c>
      <c r="AI41" s="33" t="s">
        <v>1072</v>
      </c>
      <c r="AJ41" s="33" t="s">
        <v>804</v>
      </c>
      <c r="AK41" s="33" t="s">
        <v>1439</v>
      </c>
      <c r="AL41" s="33">
        <v>0</v>
      </c>
      <c r="AM41" s="33">
        <v>0</v>
      </c>
      <c r="AN41" s="33">
        <v>0</v>
      </c>
      <c r="AO41" s="33">
        <v>0</v>
      </c>
      <c r="AP41" s="33">
        <v>0</v>
      </c>
      <c r="AQ41" s="33">
        <v>0</v>
      </c>
      <c r="AR41" s="33">
        <v>64</v>
      </c>
      <c r="AS41" s="33">
        <v>970</v>
      </c>
      <c r="AT41" s="33">
        <v>4</v>
      </c>
      <c r="AU41" s="33">
        <v>152</v>
      </c>
      <c r="AV41" s="33"/>
      <c r="AW41" s="33">
        <v>39</v>
      </c>
      <c r="AX41" s="33" t="s">
        <v>1762</v>
      </c>
      <c r="AY41" s="33" t="s">
        <v>1072</v>
      </c>
      <c r="AZ41" s="33" t="s">
        <v>804</v>
      </c>
      <c r="BA41" s="33" t="s">
        <v>1439</v>
      </c>
      <c r="BB41" s="33">
        <v>0</v>
      </c>
      <c r="BC41" s="33">
        <v>0</v>
      </c>
      <c r="BD41" s="33">
        <v>0</v>
      </c>
      <c r="BE41" s="33">
        <v>0</v>
      </c>
      <c r="BF41" s="33">
        <v>0</v>
      </c>
      <c r="BG41" s="33">
        <v>0</v>
      </c>
      <c r="BH41" s="33">
        <v>30</v>
      </c>
      <c r="BI41" s="33">
        <v>355</v>
      </c>
      <c r="BJ41" s="33">
        <v>2</v>
      </c>
      <c r="BK41" s="33">
        <v>62.5</v>
      </c>
      <c r="BL41" s="33"/>
      <c r="BM41" s="33"/>
      <c r="BN41" s="33"/>
      <c r="BO41" s="33"/>
      <c r="BP41" s="33"/>
      <c r="BQ41" s="33"/>
      <c r="BR41" s="33"/>
      <c r="BS41" s="33"/>
      <c r="BT41" s="33"/>
      <c r="BU41" s="33"/>
      <c r="BV41" s="33"/>
      <c r="BW41" s="33"/>
      <c r="BX41" s="33"/>
      <c r="BY41" s="33"/>
      <c r="BZ41" s="33"/>
      <c r="CA41" s="33"/>
      <c r="CB41" s="33"/>
      <c r="CC41" s="33">
        <v>39</v>
      </c>
      <c r="CD41" s="33" t="s">
        <v>1763</v>
      </c>
      <c r="CE41" s="33" t="s">
        <v>1072</v>
      </c>
      <c r="CF41" s="33" t="s">
        <v>804</v>
      </c>
      <c r="CG41" s="33" t="s">
        <v>1754</v>
      </c>
      <c r="CH41" s="33" t="s">
        <v>1755</v>
      </c>
      <c r="CI41" s="33" t="s">
        <v>1755</v>
      </c>
      <c r="CJ41" s="33" t="s">
        <v>1755</v>
      </c>
      <c r="CK41" s="33" t="s">
        <v>1755</v>
      </c>
      <c r="CL41" s="33" t="s">
        <v>1755</v>
      </c>
      <c r="CM41" s="33" t="s">
        <v>1755</v>
      </c>
      <c r="CN41" s="33" t="s">
        <v>1755</v>
      </c>
      <c r="CO41" s="33" t="s">
        <v>1755</v>
      </c>
      <c r="CP41" s="33" t="s">
        <v>1755</v>
      </c>
      <c r="CQ41" s="33" t="s">
        <v>1755</v>
      </c>
      <c r="CR41" s="33"/>
      <c r="CS41" s="33" t="str">
        <f t="shared" si="0"/>
        <v>Matthew Stafford</v>
      </c>
      <c r="CT41" s="33">
        <v>39</v>
      </c>
      <c r="CU41" s="33" t="s">
        <v>1621</v>
      </c>
      <c r="CV41" s="33">
        <v>9</v>
      </c>
      <c r="CW41" s="33" t="s">
        <v>206</v>
      </c>
      <c r="CX41" s="33">
        <v>21</v>
      </c>
      <c r="CY41" s="33"/>
      <c r="CZ41" s="33" t="str">
        <f t="shared" si="1"/>
        <v>Ray Rice</v>
      </c>
      <c r="DA41" s="33">
        <v>39</v>
      </c>
      <c r="DB41" s="33" t="s">
        <v>1764</v>
      </c>
      <c r="DC41" s="33">
        <v>11</v>
      </c>
      <c r="DD41" s="33" t="s">
        <v>1765</v>
      </c>
      <c r="DE41" s="33">
        <v>20</v>
      </c>
    </row>
    <row r="42" spans="1:109" ht="12.75" customHeight="1">
      <c r="A42" s="33">
        <v>40</v>
      </c>
      <c r="B42" s="33" t="s">
        <v>1766</v>
      </c>
      <c r="C42" s="33" t="s">
        <v>1072</v>
      </c>
      <c r="D42" s="33" t="s">
        <v>804</v>
      </c>
      <c r="E42" s="33" t="s">
        <v>1767</v>
      </c>
      <c r="F42" s="33">
        <v>153</v>
      </c>
      <c r="G42" s="33">
        <v>2</v>
      </c>
      <c r="H42" s="33">
        <v>3</v>
      </c>
      <c r="I42" s="33">
        <v>6</v>
      </c>
      <c r="J42" s="33">
        <v>6</v>
      </c>
      <c r="K42" s="33">
        <v>0</v>
      </c>
      <c r="L42" s="33">
        <v>0</v>
      </c>
      <c r="M42" s="33">
        <v>0</v>
      </c>
      <c r="N42" s="33">
        <v>0</v>
      </c>
      <c r="O42" s="33">
        <v>11.5</v>
      </c>
      <c r="P42" s="33"/>
      <c r="Q42" s="33">
        <v>40</v>
      </c>
      <c r="R42" s="33" t="s">
        <v>1768</v>
      </c>
      <c r="S42" s="33" t="s">
        <v>1072</v>
      </c>
      <c r="T42" s="33" t="s">
        <v>804</v>
      </c>
      <c r="U42" s="33" t="s">
        <v>1439</v>
      </c>
      <c r="V42" s="33">
        <v>0</v>
      </c>
      <c r="W42" s="33">
        <v>0</v>
      </c>
      <c r="X42" s="33">
        <v>0</v>
      </c>
      <c r="Y42" s="33">
        <v>180</v>
      </c>
      <c r="Z42" s="33">
        <v>710</v>
      </c>
      <c r="AA42" s="33">
        <v>5</v>
      </c>
      <c r="AB42" s="33">
        <v>31</v>
      </c>
      <c r="AC42" s="33">
        <v>240</v>
      </c>
      <c r="AD42" s="33">
        <v>1</v>
      </c>
      <c r="AE42" s="33">
        <v>145.5</v>
      </c>
      <c r="AF42" s="33"/>
      <c r="AG42" s="33">
        <v>40</v>
      </c>
      <c r="AH42" s="33" t="s">
        <v>1769</v>
      </c>
      <c r="AI42" s="33" t="s">
        <v>1072</v>
      </c>
      <c r="AJ42" s="33" t="s">
        <v>804</v>
      </c>
      <c r="AK42" s="33" t="s">
        <v>1439</v>
      </c>
      <c r="AL42" s="33">
        <v>0</v>
      </c>
      <c r="AM42" s="33">
        <v>0</v>
      </c>
      <c r="AN42" s="33">
        <v>0</v>
      </c>
      <c r="AO42" s="33">
        <v>0</v>
      </c>
      <c r="AP42" s="33">
        <v>0</v>
      </c>
      <c r="AQ42" s="33">
        <v>0</v>
      </c>
      <c r="AR42" s="33">
        <v>50</v>
      </c>
      <c r="AS42" s="33">
        <v>816</v>
      </c>
      <c r="AT42" s="33">
        <v>5</v>
      </c>
      <c r="AU42" s="33">
        <v>136.5</v>
      </c>
      <c r="AV42" s="33"/>
      <c r="AW42" s="33">
        <v>40</v>
      </c>
      <c r="AX42" s="33" t="s">
        <v>1770</v>
      </c>
      <c r="AY42" s="33" t="s">
        <v>1072</v>
      </c>
      <c r="AZ42" s="33" t="s">
        <v>804</v>
      </c>
      <c r="BA42" s="33" t="s">
        <v>1439</v>
      </c>
      <c r="BB42" s="33">
        <v>0</v>
      </c>
      <c r="BC42" s="33">
        <v>0</v>
      </c>
      <c r="BD42" s="33">
        <v>0</v>
      </c>
      <c r="BE42" s="33">
        <v>0</v>
      </c>
      <c r="BF42" s="33">
        <v>0</v>
      </c>
      <c r="BG42" s="33">
        <v>0</v>
      </c>
      <c r="BH42" s="33">
        <v>27</v>
      </c>
      <c r="BI42" s="33">
        <v>300</v>
      </c>
      <c r="BJ42" s="33">
        <v>2</v>
      </c>
      <c r="BK42" s="33">
        <v>55.5</v>
      </c>
      <c r="BL42" s="33"/>
      <c r="BM42" s="33"/>
      <c r="BN42" s="33"/>
      <c r="BO42" s="33"/>
      <c r="BP42" s="33"/>
      <c r="BQ42" s="33"/>
      <c r="BR42" s="33"/>
      <c r="BS42" s="33"/>
      <c r="BT42" s="33"/>
      <c r="BU42" s="33"/>
      <c r="BV42" s="33"/>
      <c r="BW42" s="33"/>
      <c r="BX42" s="33"/>
      <c r="BY42" s="33"/>
      <c r="BZ42" s="33"/>
      <c r="CA42" s="33"/>
      <c r="CB42" s="33"/>
      <c r="CC42" s="33">
        <v>40</v>
      </c>
      <c r="CD42" s="33" t="s">
        <v>1771</v>
      </c>
      <c r="CE42" s="33" t="s">
        <v>1072</v>
      </c>
      <c r="CF42" s="33" t="s">
        <v>804</v>
      </c>
      <c r="CG42" s="33" t="s">
        <v>1754</v>
      </c>
      <c r="CH42" s="33" t="s">
        <v>1755</v>
      </c>
      <c r="CI42" s="33" t="s">
        <v>1755</v>
      </c>
      <c r="CJ42" s="33" t="s">
        <v>1755</v>
      </c>
      <c r="CK42" s="33" t="s">
        <v>1755</v>
      </c>
      <c r="CL42" s="33" t="s">
        <v>1755</v>
      </c>
      <c r="CM42" s="33" t="s">
        <v>1755</v>
      </c>
      <c r="CN42" s="33" t="s">
        <v>1755</v>
      </c>
      <c r="CO42" s="33" t="s">
        <v>1755</v>
      </c>
      <c r="CP42" s="33" t="s">
        <v>1755</v>
      </c>
      <c r="CQ42" s="33" t="s">
        <v>1755</v>
      </c>
      <c r="CR42" s="33"/>
      <c r="CS42" s="33" t="str">
        <f t="shared" si="0"/>
        <v>C.J. Spiller</v>
      </c>
      <c r="CT42" s="33">
        <v>40</v>
      </c>
      <c r="CU42" s="33" t="s">
        <v>1772</v>
      </c>
      <c r="CV42" s="33">
        <v>9</v>
      </c>
      <c r="CW42" s="33" t="s">
        <v>1740</v>
      </c>
      <c r="CX42" s="33">
        <v>20</v>
      </c>
      <c r="CY42" s="33"/>
      <c r="CZ42" s="33" t="str">
        <f t="shared" si="1"/>
        <v>Andrew Luck</v>
      </c>
      <c r="DA42" s="33">
        <v>40</v>
      </c>
      <c r="DB42" s="33" t="s">
        <v>1773</v>
      </c>
      <c r="DC42" s="33">
        <v>10</v>
      </c>
      <c r="DD42" s="33" t="s">
        <v>1774</v>
      </c>
      <c r="DE42" s="33">
        <v>19</v>
      </c>
    </row>
    <row r="43" spans="1:109" ht="12.75" customHeight="1">
      <c r="A43" s="33" t="s">
        <v>1419</v>
      </c>
      <c r="B43" s="33" t="s">
        <v>1420</v>
      </c>
      <c r="C43" s="33" t="s">
        <v>1421</v>
      </c>
      <c r="D43" s="33" t="s">
        <v>1422</v>
      </c>
      <c r="E43" s="33" t="s">
        <v>1423</v>
      </c>
      <c r="F43" s="33" t="s">
        <v>1424</v>
      </c>
      <c r="G43" s="33" t="s">
        <v>804</v>
      </c>
      <c r="H43" s="33" t="s">
        <v>804</v>
      </c>
      <c r="I43" s="33" t="s">
        <v>804</v>
      </c>
      <c r="J43" s="33" t="s">
        <v>804</v>
      </c>
      <c r="K43" s="33" t="s">
        <v>804</v>
      </c>
      <c r="L43" s="33" t="s">
        <v>804</v>
      </c>
      <c r="M43" s="33" t="s">
        <v>804</v>
      </c>
      <c r="N43" s="33" t="s">
        <v>804</v>
      </c>
      <c r="O43" s="33" t="s">
        <v>804</v>
      </c>
      <c r="P43" s="33"/>
      <c r="Q43" s="33" t="s">
        <v>1419</v>
      </c>
      <c r="R43" s="33" t="s">
        <v>1420</v>
      </c>
      <c r="S43" s="33" t="s">
        <v>1421</v>
      </c>
      <c r="T43" s="33" t="s">
        <v>1422</v>
      </c>
      <c r="U43" s="33" t="s">
        <v>1423</v>
      </c>
      <c r="V43" s="33" t="s">
        <v>1424</v>
      </c>
      <c r="W43" s="33" t="s">
        <v>804</v>
      </c>
      <c r="X43" s="33" t="s">
        <v>804</v>
      </c>
      <c r="Y43" s="33" t="s">
        <v>804</v>
      </c>
      <c r="Z43" s="33" t="s">
        <v>804</v>
      </c>
      <c r="AA43" s="33" t="s">
        <v>804</v>
      </c>
      <c r="AB43" s="33" t="s">
        <v>804</v>
      </c>
      <c r="AC43" s="33" t="s">
        <v>804</v>
      </c>
      <c r="AD43" s="33" t="s">
        <v>804</v>
      </c>
      <c r="AE43" s="33" t="s">
        <v>804</v>
      </c>
      <c r="AF43" s="33"/>
      <c r="AG43" s="33" t="s">
        <v>1419</v>
      </c>
      <c r="AH43" s="33" t="s">
        <v>1420</v>
      </c>
      <c r="AI43" s="33" t="s">
        <v>1421</v>
      </c>
      <c r="AJ43" s="33" t="s">
        <v>1422</v>
      </c>
      <c r="AK43" s="33" t="s">
        <v>1423</v>
      </c>
      <c r="AL43" s="33" t="s">
        <v>1424</v>
      </c>
      <c r="AM43" s="33" t="s">
        <v>804</v>
      </c>
      <c r="AN43" s="33" t="s">
        <v>804</v>
      </c>
      <c r="AO43" s="33" t="s">
        <v>804</v>
      </c>
      <c r="AP43" s="33" t="s">
        <v>804</v>
      </c>
      <c r="AQ43" s="33" t="s">
        <v>804</v>
      </c>
      <c r="AR43" s="33" t="s">
        <v>804</v>
      </c>
      <c r="AS43" s="33" t="s">
        <v>804</v>
      </c>
      <c r="AT43" s="33" t="s">
        <v>804</v>
      </c>
      <c r="AU43" s="33" t="s">
        <v>804</v>
      </c>
      <c r="AV43" s="33"/>
      <c r="AW43" s="33" t="s">
        <v>1419</v>
      </c>
      <c r="AX43" s="33" t="s">
        <v>1420</v>
      </c>
      <c r="AY43" s="33" t="s">
        <v>1421</v>
      </c>
      <c r="AZ43" s="33" t="s">
        <v>1422</v>
      </c>
      <c r="BA43" s="33" t="s">
        <v>1423</v>
      </c>
      <c r="BB43" s="33" t="s">
        <v>1424</v>
      </c>
      <c r="BC43" s="33" t="s">
        <v>804</v>
      </c>
      <c r="BD43" s="33" t="s">
        <v>804</v>
      </c>
      <c r="BE43" s="33" t="s">
        <v>804</v>
      </c>
      <c r="BF43" s="33" t="s">
        <v>804</v>
      </c>
      <c r="BG43" s="33" t="s">
        <v>804</v>
      </c>
      <c r="BH43" s="33" t="s">
        <v>804</v>
      </c>
      <c r="BI43" s="33" t="s">
        <v>804</v>
      </c>
      <c r="BJ43" s="33" t="s">
        <v>804</v>
      </c>
      <c r="BK43" s="33" t="s">
        <v>804</v>
      </c>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t="str">
        <f t="shared" si="0"/>
        <v>Frank Gore</v>
      </c>
      <c r="CT43" s="33">
        <v>41</v>
      </c>
      <c r="CU43" s="33" t="s">
        <v>1775</v>
      </c>
      <c r="CV43" s="33">
        <v>8</v>
      </c>
      <c r="CW43" s="33" t="s">
        <v>1765</v>
      </c>
      <c r="CX43" s="33">
        <v>20</v>
      </c>
      <c r="CY43" s="33"/>
      <c r="CZ43" s="33" t="str">
        <f t="shared" si="1"/>
        <v>Pierre Garcon</v>
      </c>
      <c r="DA43" s="33">
        <v>41</v>
      </c>
      <c r="DB43" s="33" t="s">
        <v>1737</v>
      </c>
      <c r="DC43" s="33">
        <v>10</v>
      </c>
      <c r="DD43" s="33" t="s">
        <v>1738</v>
      </c>
      <c r="DE43" s="33">
        <v>18</v>
      </c>
    </row>
    <row r="44" spans="1:109" ht="12.75" customHeight="1">
      <c r="A44" s="33" t="s">
        <v>1425</v>
      </c>
      <c r="B44" s="33" t="s">
        <v>1426</v>
      </c>
      <c r="C44" s="33" t="s">
        <v>1427</v>
      </c>
      <c r="D44" s="33" t="s">
        <v>1428</v>
      </c>
      <c r="E44" s="33" t="s">
        <v>1429</v>
      </c>
      <c r="F44" s="33" t="s">
        <v>1430</v>
      </c>
      <c r="G44" s="33" t="s">
        <v>785</v>
      </c>
      <c r="H44" s="33" t="s">
        <v>796</v>
      </c>
      <c r="I44" s="33" t="s">
        <v>1431</v>
      </c>
      <c r="J44" s="33" t="s">
        <v>1430</v>
      </c>
      <c r="K44" s="33" t="s">
        <v>785</v>
      </c>
      <c r="L44" s="33" t="s">
        <v>1432</v>
      </c>
      <c r="M44" s="33" t="s">
        <v>1430</v>
      </c>
      <c r="N44" s="33" t="s">
        <v>785</v>
      </c>
      <c r="O44" s="33" t="s">
        <v>1433</v>
      </c>
      <c r="P44" s="33"/>
      <c r="Q44" s="33" t="s">
        <v>1425</v>
      </c>
      <c r="R44" s="33" t="s">
        <v>1426</v>
      </c>
      <c r="S44" s="33" t="s">
        <v>1427</v>
      </c>
      <c r="T44" s="33" t="s">
        <v>1428</v>
      </c>
      <c r="U44" s="33" t="s">
        <v>1429</v>
      </c>
      <c r="V44" s="33" t="s">
        <v>1430</v>
      </c>
      <c r="W44" s="33" t="s">
        <v>785</v>
      </c>
      <c r="X44" s="33" t="s">
        <v>796</v>
      </c>
      <c r="Y44" s="33" t="s">
        <v>1431</v>
      </c>
      <c r="Z44" s="33" t="s">
        <v>1430</v>
      </c>
      <c r="AA44" s="33" t="s">
        <v>785</v>
      </c>
      <c r="AB44" s="33" t="s">
        <v>1432</v>
      </c>
      <c r="AC44" s="33" t="s">
        <v>1430</v>
      </c>
      <c r="AD44" s="33" t="s">
        <v>785</v>
      </c>
      <c r="AE44" s="33" t="s">
        <v>1433</v>
      </c>
      <c r="AF44" s="33"/>
      <c r="AG44" s="33" t="s">
        <v>1425</v>
      </c>
      <c r="AH44" s="33" t="s">
        <v>1426</v>
      </c>
      <c r="AI44" s="33" t="s">
        <v>1427</v>
      </c>
      <c r="AJ44" s="33" t="s">
        <v>1428</v>
      </c>
      <c r="AK44" s="33" t="s">
        <v>1429</v>
      </c>
      <c r="AL44" s="33" t="s">
        <v>1430</v>
      </c>
      <c r="AM44" s="33" t="s">
        <v>785</v>
      </c>
      <c r="AN44" s="33" t="s">
        <v>796</v>
      </c>
      <c r="AO44" s="33" t="s">
        <v>1431</v>
      </c>
      <c r="AP44" s="33" t="s">
        <v>1430</v>
      </c>
      <c r="AQ44" s="33" t="s">
        <v>785</v>
      </c>
      <c r="AR44" s="33" t="s">
        <v>1432</v>
      </c>
      <c r="AS44" s="33" t="s">
        <v>1430</v>
      </c>
      <c r="AT44" s="33" t="s">
        <v>785</v>
      </c>
      <c r="AU44" s="33" t="s">
        <v>1433</v>
      </c>
      <c r="AV44" s="33"/>
      <c r="AW44" s="33" t="s">
        <v>1425</v>
      </c>
      <c r="AX44" s="33" t="s">
        <v>1426</v>
      </c>
      <c r="AY44" s="33" t="s">
        <v>1427</v>
      </c>
      <c r="AZ44" s="33" t="s">
        <v>1428</v>
      </c>
      <c r="BA44" s="33" t="s">
        <v>1429</v>
      </c>
      <c r="BB44" s="33" t="s">
        <v>1430</v>
      </c>
      <c r="BC44" s="33" t="s">
        <v>785</v>
      </c>
      <c r="BD44" s="33" t="s">
        <v>796</v>
      </c>
      <c r="BE44" s="33" t="s">
        <v>1431</v>
      </c>
      <c r="BF44" s="33" t="s">
        <v>1430</v>
      </c>
      <c r="BG44" s="33" t="s">
        <v>785</v>
      </c>
      <c r="BH44" s="33" t="s">
        <v>1432</v>
      </c>
      <c r="BI44" s="33" t="s">
        <v>1430</v>
      </c>
      <c r="BJ44" s="33" t="s">
        <v>785</v>
      </c>
      <c r="BK44" s="33" t="s">
        <v>1433</v>
      </c>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t="str">
        <f t="shared" si="0"/>
        <v>Victor Cruz</v>
      </c>
      <c r="CT44" s="33">
        <v>42</v>
      </c>
      <c r="CU44" s="33" t="s">
        <v>1776</v>
      </c>
      <c r="CV44" s="33">
        <v>8</v>
      </c>
      <c r="CW44" s="33" t="s">
        <v>1777</v>
      </c>
      <c r="CX44" s="33">
        <v>19</v>
      </c>
      <c r="CY44" s="33"/>
      <c r="CZ44" s="33" t="str">
        <f t="shared" si="1"/>
        <v>Keenan Allen</v>
      </c>
      <c r="DA44" s="33">
        <v>42</v>
      </c>
      <c r="DB44" s="33" t="s">
        <v>1756</v>
      </c>
      <c r="DC44" s="33">
        <v>10</v>
      </c>
      <c r="DD44" s="33" t="s">
        <v>1757</v>
      </c>
      <c r="DE44" s="33">
        <v>18</v>
      </c>
    </row>
    <row r="45" spans="1:109" ht="12.75" customHeight="1">
      <c r="A45" s="33">
        <v>41</v>
      </c>
      <c r="B45" s="33" t="s">
        <v>1778</v>
      </c>
      <c r="C45" s="33" t="s">
        <v>1072</v>
      </c>
      <c r="D45" s="33" t="s">
        <v>804</v>
      </c>
      <c r="E45" s="33" t="s">
        <v>1779</v>
      </c>
      <c r="F45" s="33">
        <v>334</v>
      </c>
      <c r="G45" s="33">
        <v>2</v>
      </c>
      <c r="H45" s="33">
        <v>3</v>
      </c>
      <c r="I45" s="33">
        <v>5</v>
      </c>
      <c r="J45" s="33">
        <v>45</v>
      </c>
      <c r="K45" s="33">
        <v>0</v>
      </c>
      <c r="L45" s="33">
        <v>0</v>
      </c>
      <c r="M45" s="33">
        <v>0</v>
      </c>
      <c r="N45" s="33">
        <v>0</v>
      </c>
      <c r="O45" s="33">
        <v>23.7</v>
      </c>
      <c r="P45" s="33"/>
      <c r="Q45" s="33">
        <v>41</v>
      </c>
      <c r="R45" s="33" t="s">
        <v>1780</v>
      </c>
      <c r="S45" s="33" t="s">
        <v>1072</v>
      </c>
      <c r="T45" s="33" t="s">
        <v>804</v>
      </c>
      <c r="U45" s="33" t="s">
        <v>1439</v>
      </c>
      <c r="V45" s="33">
        <v>0</v>
      </c>
      <c r="W45" s="33">
        <v>0</v>
      </c>
      <c r="X45" s="33">
        <v>0</v>
      </c>
      <c r="Y45" s="33">
        <v>140</v>
      </c>
      <c r="Z45" s="33">
        <v>519</v>
      </c>
      <c r="AA45" s="33">
        <v>5</v>
      </c>
      <c r="AB45" s="33">
        <v>6</v>
      </c>
      <c r="AC45" s="33">
        <v>41</v>
      </c>
      <c r="AD45" s="33">
        <v>0</v>
      </c>
      <c r="AE45" s="33">
        <v>87.5</v>
      </c>
      <c r="AF45" s="33"/>
      <c r="AG45" s="33">
        <v>41</v>
      </c>
      <c r="AH45" s="33" t="s">
        <v>1781</v>
      </c>
      <c r="AI45" s="33" t="s">
        <v>1072</v>
      </c>
      <c r="AJ45" s="33" t="s">
        <v>804</v>
      </c>
      <c r="AK45" s="33" t="s">
        <v>1439</v>
      </c>
      <c r="AL45" s="33">
        <v>0</v>
      </c>
      <c r="AM45" s="33">
        <v>0</v>
      </c>
      <c r="AN45" s="33">
        <v>0</v>
      </c>
      <c r="AO45" s="33">
        <v>0</v>
      </c>
      <c r="AP45" s="33">
        <v>0</v>
      </c>
      <c r="AQ45" s="33">
        <v>0</v>
      </c>
      <c r="AR45" s="33">
        <v>65</v>
      </c>
      <c r="AS45" s="33">
        <v>767</v>
      </c>
      <c r="AT45" s="33">
        <v>4</v>
      </c>
      <c r="AU45" s="33">
        <v>132</v>
      </c>
      <c r="AV45" s="33"/>
      <c r="AW45" s="33">
        <v>41</v>
      </c>
      <c r="AX45" s="33" t="s">
        <v>1782</v>
      </c>
      <c r="AY45" s="33" t="s">
        <v>1072</v>
      </c>
      <c r="AZ45" s="33" t="s">
        <v>804</v>
      </c>
      <c r="BA45" s="33" t="s">
        <v>1439</v>
      </c>
      <c r="BB45" s="33">
        <v>0</v>
      </c>
      <c r="BC45" s="33">
        <v>0</v>
      </c>
      <c r="BD45" s="33">
        <v>0</v>
      </c>
      <c r="BE45" s="33">
        <v>0</v>
      </c>
      <c r="BF45" s="33">
        <v>0</v>
      </c>
      <c r="BG45" s="33">
        <v>0</v>
      </c>
      <c r="BH45" s="33">
        <v>0</v>
      </c>
      <c r="BI45" s="33">
        <v>0</v>
      </c>
      <c r="BJ45" s="33">
        <v>0</v>
      </c>
      <c r="BK45" s="33">
        <v>0</v>
      </c>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t="str">
        <f t="shared" si="0"/>
        <v>Roddy White</v>
      </c>
      <c r="CT45" s="33">
        <v>43</v>
      </c>
      <c r="CU45" s="33" t="s">
        <v>1783</v>
      </c>
      <c r="CV45" s="33">
        <v>9</v>
      </c>
      <c r="CW45" s="33" t="s">
        <v>1784</v>
      </c>
      <c r="CX45" s="33">
        <v>18</v>
      </c>
      <c r="CY45" s="33"/>
      <c r="CZ45" s="33" t="str">
        <f t="shared" si="1"/>
        <v>C.J. Spiller</v>
      </c>
      <c r="DA45" s="33">
        <v>43</v>
      </c>
      <c r="DB45" s="33" t="s">
        <v>1772</v>
      </c>
      <c r="DC45" s="33">
        <v>9</v>
      </c>
      <c r="DD45" s="33" t="s">
        <v>1785</v>
      </c>
      <c r="DE45" s="33">
        <v>17</v>
      </c>
    </row>
    <row r="46" spans="1:109" ht="12.75" customHeight="1">
      <c r="A46" s="33">
        <v>42</v>
      </c>
      <c r="B46" s="33" t="s">
        <v>1786</v>
      </c>
      <c r="C46" s="33" t="s">
        <v>1072</v>
      </c>
      <c r="D46" s="33" t="s">
        <v>804</v>
      </c>
      <c r="E46" s="208">
        <v>41769</v>
      </c>
      <c r="F46" s="33">
        <v>55</v>
      </c>
      <c r="G46" s="33">
        <v>0</v>
      </c>
      <c r="H46" s="33">
        <v>0</v>
      </c>
      <c r="I46" s="33">
        <v>3</v>
      </c>
      <c r="J46" s="33">
        <v>0</v>
      </c>
      <c r="K46" s="33">
        <v>0</v>
      </c>
      <c r="L46" s="33">
        <v>0</v>
      </c>
      <c r="M46" s="33">
        <v>0</v>
      </c>
      <c r="N46" s="33">
        <v>0</v>
      </c>
      <c r="O46" s="33">
        <v>2.2000000000000002</v>
      </c>
      <c r="P46" s="33"/>
      <c r="Q46" s="33">
        <v>42</v>
      </c>
      <c r="R46" s="33" t="s">
        <v>1787</v>
      </c>
      <c r="S46" s="33" t="s">
        <v>1072</v>
      </c>
      <c r="T46" s="33" t="s">
        <v>804</v>
      </c>
      <c r="U46" s="33" t="s">
        <v>1439</v>
      </c>
      <c r="V46" s="33">
        <v>0</v>
      </c>
      <c r="W46" s="33">
        <v>0</v>
      </c>
      <c r="X46" s="33">
        <v>0</v>
      </c>
      <c r="Y46" s="33">
        <v>108</v>
      </c>
      <c r="Z46" s="33">
        <v>443</v>
      </c>
      <c r="AA46" s="33">
        <v>4</v>
      </c>
      <c r="AB46" s="33">
        <v>17</v>
      </c>
      <c r="AC46" s="33">
        <v>123</v>
      </c>
      <c r="AD46" s="33">
        <v>0</v>
      </c>
      <c r="AE46" s="33">
        <v>87.5</v>
      </c>
      <c r="AF46" s="33"/>
      <c r="AG46" s="33">
        <v>42</v>
      </c>
      <c r="AH46" s="33" t="s">
        <v>1788</v>
      </c>
      <c r="AI46" s="33" t="s">
        <v>1072</v>
      </c>
      <c r="AJ46" s="33" t="s">
        <v>804</v>
      </c>
      <c r="AK46" s="33" t="s">
        <v>1439</v>
      </c>
      <c r="AL46" s="33">
        <v>0</v>
      </c>
      <c r="AM46" s="33">
        <v>0</v>
      </c>
      <c r="AN46" s="33">
        <v>0</v>
      </c>
      <c r="AO46" s="33">
        <v>0</v>
      </c>
      <c r="AP46" s="33">
        <v>0</v>
      </c>
      <c r="AQ46" s="33">
        <v>0</v>
      </c>
      <c r="AR46" s="33">
        <v>66</v>
      </c>
      <c r="AS46" s="33">
        <v>752</v>
      </c>
      <c r="AT46" s="33">
        <v>4</v>
      </c>
      <c r="AU46" s="33">
        <v>132</v>
      </c>
      <c r="AV46" s="33"/>
      <c r="AW46" s="33">
        <v>42</v>
      </c>
      <c r="AX46" s="33" t="s">
        <v>1789</v>
      </c>
      <c r="AY46" s="33" t="s">
        <v>1072</v>
      </c>
      <c r="AZ46" s="33" t="s">
        <v>804</v>
      </c>
      <c r="BA46" s="33" t="s">
        <v>1439</v>
      </c>
      <c r="BB46" s="33">
        <v>0</v>
      </c>
      <c r="BC46" s="33">
        <v>0</v>
      </c>
      <c r="BD46" s="33">
        <v>0</v>
      </c>
      <c r="BE46" s="33">
        <v>0</v>
      </c>
      <c r="BF46" s="33">
        <v>0</v>
      </c>
      <c r="BG46" s="33">
        <v>0</v>
      </c>
      <c r="BH46" s="33">
        <v>0</v>
      </c>
      <c r="BI46" s="33">
        <v>0</v>
      </c>
      <c r="BJ46" s="33">
        <v>0</v>
      </c>
      <c r="BK46" s="33">
        <v>0</v>
      </c>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t="str">
        <f t="shared" si="0"/>
        <v>DeSean Jackson</v>
      </c>
      <c r="CT46" s="33">
        <v>44</v>
      </c>
      <c r="CU46" s="33" t="s">
        <v>1790</v>
      </c>
      <c r="CV46" s="33">
        <v>10</v>
      </c>
      <c r="CW46" s="33" t="s">
        <v>1791</v>
      </c>
      <c r="CX46" s="33">
        <v>17</v>
      </c>
      <c r="CY46" s="33"/>
      <c r="CZ46" s="33" t="str">
        <f t="shared" si="1"/>
        <v>Victor Cruz</v>
      </c>
      <c r="DA46" s="33">
        <v>44</v>
      </c>
      <c r="DB46" s="33" t="s">
        <v>1776</v>
      </c>
      <c r="DC46" s="33">
        <v>8</v>
      </c>
      <c r="DD46" s="33" t="s">
        <v>1777</v>
      </c>
      <c r="DE46" s="33">
        <v>16</v>
      </c>
    </row>
    <row r="47" spans="1:109" ht="12.75" customHeight="1">
      <c r="A47" s="33">
        <v>43</v>
      </c>
      <c r="B47" s="33" t="s">
        <v>1792</v>
      </c>
      <c r="C47" s="33" t="s">
        <v>1072</v>
      </c>
      <c r="D47" s="33" t="s">
        <v>804</v>
      </c>
      <c r="E47" s="33" t="s">
        <v>1793</v>
      </c>
      <c r="F47" s="33">
        <v>293</v>
      </c>
      <c r="G47" s="33">
        <v>2</v>
      </c>
      <c r="H47" s="33">
        <v>1</v>
      </c>
      <c r="I47" s="33">
        <v>2</v>
      </c>
      <c r="J47" s="33">
        <v>7</v>
      </c>
      <c r="K47" s="33">
        <v>0</v>
      </c>
      <c r="L47" s="33">
        <v>0</v>
      </c>
      <c r="M47" s="33">
        <v>0</v>
      </c>
      <c r="N47" s="33">
        <v>0</v>
      </c>
      <c r="O47" s="33">
        <v>22.1</v>
      </c>
      <c r="P47" s="33"/>
      <c r="Q47" s="33">
        <v>43</v>
      </c>
      <c r="R47" s="33" t="s">
        <v>1794</v>
      </c>
      <c r="S47" s="33" t="s">
        <v>1072</v>
      </c>
      <c r="T47" s="33" t="s">
        <v>804</v>
      </c>
      <c r="U47" s="33" t="s">
        <v>1439</v>
      </c>
      <c r="V47" s="33">
        <v>0</v>
      </c>
      <c r="W47" s="33">
        <v>0</v>
      </c>
      <c r="X47" s="33">
        <v>0</v>
      </c>
      <c r="Y47" s="33">
        <v>147</v>
      </c>
      <c r="Z47" s="33">
        <v>526</v>
      </c>
      <c r="AA47" s="33">
        <v>3</v>
      </c>
      <c r="AB47" s="33">
        <v>22</v>
      </c>
      <c r="AC47" s="33">
        <v>110</v>
      </c>
      <c r="AD47" s="33">
        <v>0</v>
      </c>
      <c r="AE47" s="33">
        <v>92.5</v>
      </c>
      <c r="AF47" s="33"/>
      <c r="AG47" s="33">
        <v>43</v>
      </c>
      <c r="AH47" s="33" t="s">
        <v>1795</v>
      </c>
      <c r="AI47" s="33" t="s">
        <v>1072</v>
      </c>
      <c r="AJ47" s="33" t="s">
        <v>804</v>
      </c>
      <c r="AK47" s="33" t="s">
        <v>1439</v>
      </c>
      <c r="AL47" s="33">
        <v>0</v>
      </c>
      <c r="AM47" s="33">
        <v>0</v>
      </c>
      <c r="AN47" s="33">
        <v>0</v>
      </c>
      <c r="AO47" s="33">
        <v>0</v>
      </c>
      <c r="AP47" s="33">
        <v>0</v>
      </c>
      <c r="AQ47" s="33">
        <v>0</v>
      </c>
      <c r="AR47" s="33">
        <v>56</v>
      </c>
      <c r="AS47" s="33">
        <v>676</v>
      </c>
      <c r="AT47" s="33">
        <v>5</v>
      </c>
      <c r="AU47" s="33">
        <v>124.5</v>
      </c>
      <c r="AV47" s="33"/>
      <c r="AW47" s="33">
        <v>43</v>
      </c>
      <c r="AX47" s="33" t="s">
        <v>1796</v>
      </c>
      <c r="AY47" s="33" t="s">
        <v>1072</v>
      </c>
      <c r="AZ47" s="33" t="s">
        <v>804</v>
      </c>
      <c r="BA47" s="33" t="s">
        <v>1439</v>
      </c>
      <c r="BB47" s="33">
        <v>0</v>
      </c>
      <c r="BC47" s="33">
        <v>0</v>
      </c>
      <c r="BD47" s="33">
        <v>0</v>
      </c>
      <c r="BE47" s="33">
        <v>0</v>
      </c>
      <c r="BF47" s="33">
        <v>0</v>
      </c>
      <c r="BG47" s="33">
        <v>0</v>
      </c>
      <c r="BH47" s="33">
        <v>0</v>
      </c>
      <c r="BI47" s="33">
        <v>0</v>
      </c>
      <c r="BJ47" s="33">
        <v>0</v>
      </c>
      <c r="BK47" s="33">
        <v>0</v>
      </c>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t="str">
        <f t="shared" si="0"/>
        <v>Cam Newton</v>
      </c>
      <c r="CT47" s="33">
        <v>45</v>
      </c>
      <c r="CU47" s="33" t="s">
        <v>1646</v>
      </c>
      <c r="CV47" s="33">
        <v>12</v>
      </c>
      <c r="CW47" s="33" t="s">
        <v>1647</v>
      </c>
      <c r="CX47" s="33">
        <v>17</v>
      </c>
      <c r="CY47" s="33"/>
      <c r="CZ47" s="33" t="str">
        <f t="shared" si="1"/>
        <v>Rob Gronkowski</v>
      </c>
      <c r="DA47" s="33">
        <v>45</v>
      </c>
      <c r="DB47" s="33" t="s">
        <v>1730</v>
      </c>
      <c r="DC47" s="33">
        <v>10</v>
      </c>
      <c r="DD47" s="33" t="s">
        <v>226</v>
      </c>
      <c r="DE47" s="33">
        <v>16</v>
      </c>
    </row>
    <row r="48" spans="1:109" ht="12.75" customHeight="1">
      <c r="A48" s="33">
        <v>44</v>
      </c>
      <c r="B48" s="33" t="s">
        <v>1797</v>
      </c>
      <c r="C48" s="33" t="s">
        <v>1072</v>
      </c>
      <c r="D48" s="33" t="s">
        <v>804</v>
      </c>
      <c r="E48" s="33" t="s">
        <v>1798</v>
      </c>
      <c r="F48" s="33">
        <v>603</v>
      </c>
      <c r="G48" s="33">
        <v>5</v>
      </c>
      <c r="H48" s="33">
        <v>4</v>
      </c>
      <c r="I48" s="33">
        <v>8</v>
      </c>
      <c r="J48" s="33">
        <v>32</v>
      </c>
      <c r="K48" s="33">
        <v>0</v>
      </c>
      <c r="L48" s="33">
        <v>0</v>
      </c>
      <c r="M48" s="33">
        <v>0</v>
      </c>
      <c r="N48" s="33">
        <v>0</v>
      </c>
      <c r="O48" s="33">
        <v>47</v>
      </c>
      <c r="P48" s="33"/>
      <c r="Q48" s="33">
        <v>44</v>
      </c>
      <c r="R48" s="33" t="s">
        <v>1799</v>
      </c>
      <c r="S48" s="33" t="s">
        <v>1072</v>
      </c>
      <c r="T48" s="33" t="s">
        <v>804</v>
      </c>
      <c r="U48" s="33" t="s">
        <v>1439</v>
      </c>
      <c r="V48" s="33">
        <v>0</v>
      </c>
      <c r="W48" s="33">
        <v>0</v>
      </c>
      <c r="X48" s="33">
        <v>0</v>
      </c>
      <c r="Y48" s="33">
        <v>139</v>
      </c>
      <c r="Z48" s="33">
        <v>531</v>
      </c>
      <c r="AA48" s="33">
        <v>3</v>
      </c>
      <c r="AB48" s="33">
        <v>12</v>
      </c>
      <c r="AC48" s="33">
        <v>77</v>
      </c>
      <c r="AD48" s="33">
        <v>0</v>
      </c>
      <c r="AE48" s="33">
        <v>83.5</v>
      </c>
      <c r="AF48" s="33"/>
      <c r="AG48" s="33">
        <v>44</v>
      </c>
      <c r="AH48" s="33" t="s">
        <v>1800</v>
      </c>
      <c r="AI48" s="33" t="s">
        <v>1072</v>
      </c>
      <c r="AJ48" s="33" t="s">
        <v>804</v>
      </c>
      <c r="AK48" s="33" t="s">
        <v>1439</v>
      </c>
      <c r="AL48" s="33">
        <v>0</v>
      </c>
      <c r="AM48" s="33">
        <v>0</v>
      </c>
      <c r="AN48" s="33">
        <v>0</v>
      </c>
      <c r="AO48" s="33">
        <v>0</v>
      </c>
      <c r="AP48" s="33">
        <v>0</v>
      </c>
      <c r="AQ48" s="33">
        <v>0</v>
      </c>
      <c r="AR48" s="33">
        <v>57</v>
      </c>
      <c r="AS48" s="33">
        <v>673</v>
      </c>
      <c r="AT48" s="33">
        <v>6</v>
      </c>
      <c r="AU48" s="33">
        <v>131.5</v>
      </c>
      <c r="AV48" s="33"/>
      <c r="AW48" s="33">
        <v>44</v>
      </c>
      <c r="AX48" s="33" t="s">
        <v>1801</v>
      </c>
      <c r="AY48" s="33" t="s">
        <v>1072</v>
      </c>
      <c r="AZ48" s="33" t="s">
        <v>804</v>
      </c>
      <c r="BA48" s="33" t="s">
        <v>1439</v>
      </c>
      <c r="BB48" s="33">
        <v>0</v>
      </c>
      <c r="BC48" s="33">
        <v>0</v>
      </c>
      <c r="BD48" s="33">
        <v>0</v>
      </c>
      <c r="BE48" s="33">
        <v>0</v>
      </c>
      <c r="BF48" s="33">
        <v>0</v>
      </c>
      <c r="BG48" s="33">
        <v>0</v>
      </c>
      <c r="BH48" s="33">
        <v>0</v>
      </c>
      <c r="BI48" s="33">
        <v>0</v>
      </c>
      <c r="BJ48" s="33">
        <v>0</v>
      </c>
      <c r="BK48" s="33">
        <v>0</v>
      </c>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t="str">
        <f t="shared" si="0"/>
        <v>Andre Ellington</v>
      </c>
      <c r="CT48" s="33">
        <v>46</v>
      </c>
      <c r="CU48" s="33" t="s">
        <v>1714</v>
      </c>
      <c r="CV48" s="33">
        <v>4</v>
      </c>
      <c r="CW48" s="33" t="s">
        <v>1785</v>
      </c>
      <c r="CX48" s="33">
        <v>16</v>
      </c>
      <c r="CY48" s="33"/>
      <c r="CZ48" s="33" t="str">
        <f t="shared" si="1"/>
        <v>Roddy White</v>
      </c>
      <c r="DA48" s="33">
        <v>46</v>
      </c>
      <c r="DB48" s="33" t="s">
        <v>1783</v>
      </c>
      <c r="DC48" s="33">
        <v>9</v>
      </c>
      <c r="DD48" s="33" t="s">
        <v>1784</v>
      </c>
      <c r="DE48" s="33">
        <v>15</v>
      </c>
    </row>
    <row r="49" spans="1:109" ht="12.75" customHeight="1">
      <c r="A49" s="33">
        <v>45</v>
      </c>
      <c r="B49" s="33" t="s">
        <v>1802</v>
      </c>
      <c r="C49" s="33" t="s">
        <v>1072</v>
      </c>
      <c r="D49" s="33" t="s">
        <v>804</v>
      </c>
      <c r="E49" s="208">
        <v>41993</v>
      </c>
      <c r="F49" s="33">
        <v>120</v>
      </c>
      <c r="G49" s="33">
        <v>0</v>
      </c>
      <c r="H49" s="33">
        <v>0</v>
      </c>
      <c r="I49" s="33">
        <v>2</v>
      </c>
      <c r="J49" s="33">
        <v>1</v>
      </c>
      <c r="K49" s="33">
        <v>0</v>
      </c>
      <c r="L49" s="33">
        <v>0</v>
      </c>
      <c r="M49" s="33">
        <v>0</v>
      </c>
      <c r="N49" s="33">
        <v>0</v>
      </c>
      <c r="O49" s="33">
        <v>4.8</v>
      </c>
      <c r="P49" s="33"/>
      <c r="Q49" s="33">
        <v>45</v>
      </c>
      <c r="R49" s="33" t="s">
        <v>1803</v>
      </c>
      <c r="S49" s="33" t="s">
        <v>1072</v>
      </c>
      <c r="T49" s="33" t="s">
        <v>804</v>
      </c>
      <c r="U49" s="33" t="s">
        <v>1439</v>
      </c>
      <c r="V49" s="33">
        <v>0</v>
      </c>
      <c r="W49" s="33">
        <v>0</v>
      </c>
      <c r="X49" s="33">
        <v>0</v>
      </c>
      <c r="Y49" s="33">
        <v>101</v>
      </c>
      <c r="Z49" s="33">
        <v>456</v>
      </c>
      <c r="AA49" s="33">
        <v>2</v>
      </c>
      <c r="AB49" s="33">
        <v>9</v>
      </c>
      <c r="AC49" s="33">
        <v>74</v>
      </c>
      <c r="AD49" s="33">
        <v>0</v>
      </c>
      <c r="AE49" s="33">
        <v>68</v>
      </c>
      <c r="AF49" s="33"/>
      <c r="AG49" s="33">
        <v>45</v>
      </c>
      <c r="AH49" s="33" t="s">
        <v>1804</v>
      </c>
      <c r="AI49" s="33" t="s">
        <v>1072</v>
      </c>
      <c r="AJ49" s="33" t="s">
        <v>804</v>
      </c>
      <c r="AK49" s="33" t="s">
        <v>1439</v>
      </c>
      <c r="AL49" s="33">
        <v>0</v>
      </c>
      <c r="AM49" s="33">
        <v>0</v>
      </c>
      <c r="AN49" s="33">
        <v>0</v>
      </c>
      <c r="AO49" s="33">
        <v>0</v>
      </c>
      <c r="AP49" s="33">
        <v>0</v>
      </c>
      <c r="AQ49" s="33">
        <v>0</v>
      </c>
      <c r="AR49" s="33">
        <v>43</v>
      </c>
      <c r="AS49" s="33">
        <v>722</v>
      </c>
      <c r="AT49" s="33">
        <v>4</v>
      </c>
      <c r="AU49" s="33">
        <v>117.5</v>
      </c>
      <c r="AV49" s="33"/>
      <c r="AW49" s="33">
        <v>45</v>
      </c>
      <c r="AX49" s="33" t="s">
        <v>1805</v>
      </c>
      <c r="AY49" s="33" t="s">
        <v>1072</v>
      </c>
      <c r="AZ49" s="33" t="s">
        <v>804</v>
      </c>
      <c r="BA49" s="33" t="s">
        <v>1439</v>
      </c>
      <c r="BB49" s="33">
        <v>0</v>
      </c>
      <c r="BC49" s="33">
        <v>0</v>
      </c>
      <c r="BD49" s="33">
        <v>0</v>
      </c>
      <c r="BE49" s="33">
        <v>0</v>
      </c>
      <c r="BF49" s="33">
        <v>0</v>
      </c>
      <c r="BG49" s="33">
        <v>0</v>
      </c>
      <c r="BH49" s="33">
        <v>0</v>
      </c>
      <c r="BI49" s="33">
        <v>0</v>
      </c>
      <c r="BJ49" s="33">
        <v>0</v>
      </c>
      <c r="BK49" s="33">
        <v>0</v>
      </c>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t="str">
        <f t="shared" si="0"/>
        <v>Wes Welker</v>
      </c>
      <c r="CT49" s="33">
        <v>47</v>
      </c>
      <c r="CU49" s="33" t="s">
        <v>1806</v>
      </c>
      <c r="CV49" s="33">
        <v>4</v>
      </c>
      <c r="CW49" s="33" t="s">
        <v>1807</v>
      </c>
      <c r="CX49" s="33">
        <v>15</v>
      </c>
      <c r="CY49" s="33"/>
      <c r="CZ49" s="33" t="str">
        <f t="shared" si="1"/>
        <v>Robert Griffin III</v>
      </c>
      <c r="DA49" s="33">
        <v>47</v>
      </c>
      <c r="DB49" s="33" t="s">
        <v>1808</v>
      </c>
      <c r="DC49" s="33">
        <v>10</v>
      </c>
      <c r="DD49" s="33" t="s">
        <v>1809</v>
      </c>
      <c r="DE49" s="33">
        <v>14</v>
      </c>
    </row>
    <row r="50" spans="1:109" ht="12.75" customHeight="1">
      <c r="A50" s="33">
        <v>46</v>
      </c>
      <c r="B50" s="33" t="s">
        <v>1810</v>
      </c>
      <c r="C50" s="33" t="s">
        <v>1072</v>
      </c>
      <c r="D50" s="33" t="s">
        <v>804</v>
      </c>
      <c r="E50" s="33" t="s">
        <v>1811</v>
      </c>
      <c r="F50" s="33">
        <v>456</v>
      </c>
      <c r="G50" s="33">
        <v>2</v>
      </c>
      <c r="H50" s="33">
        <v>4</v>
      </c>
      <c r="I50" s="33">
        <v>3</v>
      </c>
      <c r="J50" s="33">
        <v>6</v>
      </c>
      <c r="K50" s="33">
        <v>0</v>
      </c>
      <c r="L50" s="33">
        <v>0</v>
      </c>
      <c r="M50" s="33">
        <v>0</v>
      </c>
      <c r="N50" s="33">
        <v>0</v>
      </c>
      <c r="O50" s="33">
        <v>21.7</v>
      </c>
      <c r="P50" s="33"/>
      <c r="Q50" s="33">
        <v>46</v>
      </c>
      <c r="R50" s="33" t="s">
        <v>1812</v>
      </c>
      <c r="S50" s="33" t="s">
        <v>1072</v>
      </c>
      <c r="T50" s="33" t="s">
        <v>804</v>
      </c>
      <c r="U50" s="33" t="s">
        <v>1439</v>
      </c>
      <c r="V50" s="33">
        <v>0</v>
      </c>
      <c r="W50" s="33">
        <v>0</v>
      </c>
      <c r="X50" s="33">
        <v>0</v>
      </c>
      <c r="Y50" s="33">
        <v>84</v>
      </c>
      <c r="Z50" s="33">
        <v>375</v>
      </c>
      <c r="AA50" s="33">
        <v>2</v>
      </c>
      <c r="AB50" s="33">
        <v>22</v>
      </c>
      <c r="AC50" s="33">
        <v>169</v>
      </c>
      <c r="AD50" s="33">
        <v>1</v>
      </c>
      <c r="AE50" s="33">
        <v>83</v>
      </c>
      <c r="AF50" s="33"/>
      <c r="AG50" s="33">
        <v>46</v>
      </c>
      <c r="AH50" s="33" t="s">
        <v>1813</v>
      </c>
      <c r="AI50" s="33" t="s">
        <v>1072</v>
      </c>
      <c r="AJ50" s="33" t="s">
        <v>804</v>
      </c>
      <c r="AK50" s="33" t="s">
        <v>1439</v>
      </c>
      <c r="AL50" s="33">
        <v>0</v>
      </c>
      <c r="AM50" s="33">
        <v>0</v>
      </c>
      <c r="AN50" s="33">
        <v>0</v>
      </c>
      <c r="AO50" s="33">
        <v>0</v>
      </c>
      <c r="AP50" s="33">
        <v>0</v>
      </c>
      <c r="AQ50" s="33">
        <v>0</v>
      </c>
      <c r="AR50" s="33">
        <v>47</v>
      </c>
      <c r="AS50" s="33">
        <v>761</v>
      </c>
      <c r="AT50" s="33">
        <v>4</v>
      </c>
      <c r="AU50" s="33">
        <v>123.5</v>
      </c>
      <c r="AV50" s="33"/>
      <c r="AW50" s="33">
        <v>46</v>
      </c>
      <c r="AX50" s="33" t="s">
        <v>1814</v>
      </c>
      <c r="AY50" s="33" t="s">
        <v>1072</v>
      </c>
      <c r="AZ50" s="33" t="s">
        <v>804</v>
      </c>
      <c r="BA50" s="33" t="s">
        <v>1439</v>
      </c>
      <c r="BB50" s="33">
        <v>0</v>
      </c>
      <c r="BC50" s="33">
        <v>0</v>
      </c>
      <c r="BD50" s="33">
        <v>0</v>
      </c>
      <c r="BE50" s="33">
        <v>0</v>
      </c>
      <c r="BF50" s="33">
        <v>0</v>
      </c>
      <c r="BG50" s="33">
        <v>0</v>
      </c>
      <c r="BH50" s="33">
        <v>0</v>
      </c>
      <c r="BI50" s="33">
        <v>0</v>
      </c>
      <c r="BJ50" s="33">
        <v>0</v>
      </c>
      <c r="BK50" s="33">
        <v>0</v>
      </c>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t="str">
        <f t="shared" si="0"/>
        <v>Andrew Luck</v>
      </c>
      <c r="CT50" s="33">
        <v>48</v>
      </c>
      <c r="CU50" s="33" t="s">
        <v>1773</v>
      </c>
      <c r="CV50" s="33">
        <v>10</v>
      </c>
      <c r="CW50" s="33" t="s">
        <v>1774</v>
      </c>
      <c r="CX50" s="33">
        <v>14</v>
      </c>
      <c r="CY50" s="33"/>
      <c r="CZ50" s="33" t="str">
        <f t="shared" si="1"/>
        <v>Shane Vereen</v>
      </c>
      <c r="DA50" s="33">
        <v>48</v>
      </c>
      <c r="DB50" s="33" t="s">
        <v>1815</v>
      </c>
      <c r="DC50" s="33">
        <v>10</v>
      </c>
      <c r="DD50" s="33" t="s">
        <v>1816</v>
      </c>
      <c r="DE50" s="33">
        <v>13</v>
      </c>
    </row>
    <row r="51" spans="1:109" ht="12.75" customHeight="1">
      <c r="A51" s="33">
        <v>47</v>
      </c>
      <c r="B51" s="33" t="s">
        <v>1817</v>
      </c>
      <c r="C51" s="33" t="s">
        <v>1072</v>
      </c>
      <c r="D51" s="33" t="s">
        <v>804</v>
      </c>
      <c r="E51" s="33" t="s">
        <v>1818</v>
      </c>
      <c r="F51" s="33">
        <v>409</v>
      </c>
      <c r="G51" s="33">
        <v>4</v>
      </c>
      <c r="H51" s="33">
        <v>4</v>
      </c>
      <c r="I51" s="33">
        <v>7</v>
      </c>
      <c r="J51" s="33">
        <v>27</v>
      </c>
      <c r="K51" s="33">
        <v>0</v>
      </c>
      <c r="L51" s="33">
        <v>0</v>
      </c>
      <c r="M51" s="33">
        <v>0</v>
      </c>
      <c r="N51" s="33">
        <v>0</v>
      </c>
      <c r="O51" s="33">
        <v>33.700000000000003</v>
      </c>
      <c r="P51" s="33"/>
      <c r="Q51" s="33">
        <v>47</v>
      </c>
      <c r="R51" s="33" t="s">
        <v>1819</v>
      </c>
      <c r="S51" s="33" t="s">
        <v>1072</v>
      </c>
      <c r="T51" s="33" t="s">
        <v>804</v>
      </c>
      <c r="U51" s="33" t="s">
        <v>1439</v>
      </c>
      <c r="V51" s="33">
        <v>0</v>
      </c>
      <c r="W51" s="33">
        <v>0</v>
      </c>
      <c r="X51" s="33">
        <v>0</v>
      </c>
      <c r="Y51" s="33">
        <v>112</v>
      </c>
      <c r="Z51" s="33">
        <v>509</v>
      </c>
      <c r="AA51" s="33">
        <v>7</v>
      </c>
      <c r="AB51" s="33">
        <v>7</v>
      </c>
      <c r="AC51" s="33">
        <v>45</v>
      </c>
      <c r="AD51" s="33">
        <v>0</v>
      </c>
      <c r="AE51" s="33">
        <v>98.5</v>
      </c>
      <c r="AF51" s="33"/>
      <c r="AG51" s="33">
        <v>47</v>
      </c>
      <c r="AH51" s="33" t="s">
        <v>1820</v>
      </c>
      <c r="AI51" s="33" t="s">
        <v>1072</v>
      </c>
      <c r="AJ51" s="33" t="s">
        <v>804</v>
      </c>
      <c r="AK51" s="33" t="s">
        <v>1439</v>
      </c>
      <c r="AL51" s="33">
        <v>0</v>
      </c>
      <c r="AM51" s="33">
        <v>0</v>
      </c>
      <c r="AN51" s="33">
        <v>0</v>
      </c>
      <c r="AO51" s="33">
        <v>0</v>
      </c>
      <c r="AP51" s="33">
        <v>0</v>
      </c>
      <c r="AQ51" s="33">
        <v>0</v>
      </c>
      <c r="AR51" s="33">
        <v>55</v>
      </c>
      <c r="AS51" s="33">
        <v>842</v>
      </c>
      <c r="AT51" s="33">
        <v>3</v>
      </c>
      <c r="AU51" s="33">
        <v>128.5</v>
      </c>
      <c r="AV51" s="33"/>
      <c r="AW51" s="33">
        <v>47</v>
      </c>
      <c r="AX51" s="33" t="s">
        <v>1821</v>
      </c>
      <c r="AY51" s="33" t="s">
        <v>1072</v>
      </c>
      <c r="AZ51" s="33" t="s">
        <v>804</v>
      </c>
      <c r="BA51" s="33" t="s">
        <v>1439</v>
      </c>
      <c r="BB51" s="33">
        <v>0</v>
      </c>
      <c r="BC51" s="33">
        <v>0</v>
      </c>
      <c r="BD51" s="33">
        <v>0</v>
      </c>
      <c r="BE51" s="33">
        <v>0</v>
      </c>
      <c r="BF51" s="33">
        <v>0</v>
      </c>
      <c r="BG51" s="33">
        <v>0</v>
      </c>
      <c r="BH51" s="33">
        <v>0</v>
      </c>
      <c r="BI51" s="33">
        <v>0</v>
      </c>
      <c r="BJ51" s="33">
        <v>0</v>
      </c>
      <c r="BK51" s="33">
        <v>0</v>
      </c>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t="str">
        <f t="shared" si="0"/>
        <v>Percy Harvin</v>
      </c>
      <c r="CT51" s="33">
        <v>49</v>
      </c>
      <c r="CU51" s="33" t="s">
        <v>1822</v>
      </c>
      <c r="CV51" s="33">
        <v>4</v>
      </c>
      <c r="CW51" s="33" t="s">
        <v>1823</v>
      </c>
      <c r="CX51" s="33">
        <v>13</v>
      </c>
      <c r="CY51" s="33"/>
      <c r="CZ51" s="33" t="str">
        <f t="shared" si="1"/>
        <v>Vernon Davis</v>
      </c>
      <c r="DA51" s="33">
        <v>49</v>
      </c>
      <c r="DB51" s="33" t="s">
        <v>1824</v>
      </c>
      <c r="DC51" s="33">
        <v>8</v>
      </c>
      <c r="DD51" s="33" t="s">
        <v>283</v>
      </c>
      <c r="DE51" s="33">
        <v>13</v>
      </c>
    </row>
    <row r="52" spans="1:109" ht="12.75" customHeight="1">
      <c r="A52" s="33">
        <v>48</v>
      </c>
      <c r="B52" s="33" t="s">
        <v>1825</v>
      </c>
      <c r="C52" s="33" t="s">
        <v>1072</v>
      </c>
      <c r="D52" s="33" t="s">
        <v>804</v>
      </c>
      <c r="E52" s="33" t="s">
        <v>1826</v>
      </c>
      <c r="F52" s="33">
        <v>779</v>
      </c>
      <c r="G52" s="33">
        <v>5</v>
      </c>
      <c r="H52" s="33">
        <v>8</v>
      </c>
      <c r="I52" s="33">
        <v>14</v>
      </c>
      <c r="J52" s="33">
        <v>42</v>
      </c>
      <c r="K52" s="33">
        <v>0</v>
      </c>
      <c r="L52" s="33">
        <v>0</v>
      </c>
      <c r="M52" s="33">
        <v>0</v>
      </c>
      <c r="N52" s="33">
        <v>0</v>
      </c>
      <c r="O52" s="33">
        <v>46</v>
      </c>
      <c r="P52" s="33"/>
      <c r="Q52" s="33">
        <v>48</v>
      </c>
      <c r="R52" s="33" t="s">
        <v>1827</v>
      </c>
      <c r="S52" s="33" t="s">
        <v>1072</v>
      </c>
      <c r="T52" s="33" t="s">
        <v>804</v>
      </c>
      <c r="U52" s="33" t="s">
        <v>1439</v>
      </c>
      <c r="V52" s="33">
        <v>0</v>
      </c>
      <c r="W52" s="33">
        <v>0</v>
      </c>
      <c r="X52" s="33">
        <v>0</v>
      </c>
      <c r="Y52" s="33">
        <v>136</v>
      </c>
      <c r="Z52" s="33">
        <v>517</v>
      </c>
      <c r="AA52" s="33">
        <v>5</v>
      </c>
      <c r="AB52" s="33">
        <v>10</v>
      </c>
      <c r="AC52" s="33">
        <v>80</v>
      </c>
      <c r="AD52" s="33">
        <v>0</v>
      </c>
      <c r="AE52" s="33">
        <v>93.5</v>
      </c>
      <c r="AF52" s="33"/>
      <c r="AG52" s="33">
        <v>48</v>
      </c>
      <c r="AH52" s="33" t="s">
        <v>1828</v>
      </c>
      <c r="AI52" s="33" t="s">
        <v>1072</v>
      </c>
      <c r="AJ52" s="33" t="s">
        <v>804</v>
      </c>
      <c r="AK52" s="33" t="s">
        <v>1439</v>
      </c>
      <c r="AL52" s="33">
        <v>0</v>
      </c>
      <c r="AM52" s="33">
        <v>0</v>
      </c>
      <c r="AN52" s="33">
        <v>0</v>
      </c>
      <c r="AO52" s="33">
        <v>0</v>
      </c>
      <c r="AP52" s="33">
        <v>0</v>
      </c>
      <c r="AQ52" s="33">
        <v>0</v>
      </c>
      <c r="AR52" s="33">
        <v>43</v>
      </c>
      <c r="AS52" s="33">
        <v>675</v>
      </c>
      <c r="AT52" s="33">
        <v>5</v>
      </c>
      <c r="AU52" s="33">
        <v>118</v>
      </c>
      <c r="AV52" s="33"/>
      <c r="AW52" s="33">
        <v>48</v>
      </c>
      <c r="AX52" s="33" t="s">
        <v>1829</v>
      </c>
      <c r="AY52" s="33" t="s">
        <v>1072</v>
      </c>
      <c r="AZ52" s="33" t="s">
        <v>804</v>
      </c>
      <c r="BA52" s="33" t="s">
        <v>1439</v>
      </c>
      <c r="BB52" s="33">
        <v>0</v>
      </c>
      <c r="BC52" s="33">
        <v>0</v>
      </c>
      <c r="BD52" s="33">
        <v>0</v>
      </c>
      <c r="BE52" s="33">
        <v>0</v>
      </c>
      <c r="BF52" s="33">
        <v>0</v>
      </c>
      <c r="BG52" s="33">
        <v>0</v>
      </c>
      <c r="BH52" s="33">
        <v>0</v>
      </c>
      <c r="BI52" s="33">
        <v>0</v>
      </c>
      <c r="BJ52" s="33">
        <v>0</v>
      </c>
      <c r="BK52" s="33">
        <v>0</v>
      </c>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t="str">
        <f t="shared" si="0"/>
        <v>Vernon Davis</v>
      </c>
      <c r="CT52" s="33">
        <v>50</v>
      </c>
      <c r="CU52" s="33" t="s">
        <v>1824</v>
      </c>
      <c r="CV52" s="33">
        <v>8</v>
      </c>
      <c r="CW52" s="33" t="s">
        <v>283</v>
      </c>
      <c r="CX52" s="33">
        <v>12</v>
      </c>
      <c r="CY52" s="33"/>
      <c r="CZ52" s="33" t="str">
        <f t="shared" si="1"/>
        <v>Ryan Mathews</v>
      </c>
      <c r="DA52" s="33">
        <v>50</v>
      </c>
      <c r="DB52" s="33" t="s">
        <v>1747</v>
      </c>
      <c r="DC52" s="33">
        <v>10</v>
      </c>
      <c r="DD52" s="33" t="s">
        <v>1830</v>
      </c>
      <c r="DE52" s="33">
        <v>13</v>
      </c>
    </row>
    <row r="53" spans="1:109" ht="12.75" customHeight="1">
      <c r="A53" s="33">
        <v>49</v>
      </c>
      <c r="B53" s="33" t="s">
        <v>1831</v>
      </c>
      <c r="C53" s="33" t="s">
        <v>1072</v>
      </c>
      <c r="D53" s="33" t="s">
        <v>804</v>
      </c>
      <c r="E53" s="33" t="s">
        <v>1832</v>
      </c>
      <c r="F53" s="33">
        <v>675</v>
      </c>
      <c r="G53" s="33">
        <v>5</v>
      </c>
      <c r="H53" s="33">
        <v>4</v>
      </c>
      <c r="I53" s="33">
        <v>9</v>
      </c>
      <c r="J53" s="33">
        <v>20</v>
      </c>
      <c r="K53" s="33">
        <v>0</v>
      </c>
      <c r="L53" s="33">
        <v>0</v>
      </c>
      <c r="M53" s="33">
        <v>0</v>
      </c>
      <c r="N53" s="33">
        <v>0</v>
      </c>
      <c r="O53" s="33">
        <v>50</v>
      </c>
      <c r="P53" s="33"/>
      <c r="Q53" s="33">
        <v>49</v>
      </c>
      <c r="R53" s="33" t="s">
        <v>1833</v>
      </c>
      <c r="S53" s="33" t="s">
        <v>1072</v>
      </c>
      <c r="T53" s="33" t="s">
        <v>804</v>
      </c>
      <c r="U53" s="33" t="s">
        <v>1439</v>
      </c>
      <c r="V53" s="33">
        <v>0</v>
      </c>
      <c r="W53" s="33">
        <v>0</v>
      </c>
      <c r="X53" s="33">
        <v>0</v>
      </c>
      <c r="Y53" s="33">
        <v>109</v>
      </c>
      <c r="Z53" s="33">
        <v>391</v>
      </c>
      <c r="AA53" s="33">
        <v>4</v>
      </c>
      <c r="AB53" s="33">
        <v>2</v>
      </c>
      <c r="AC53" s="33">
        <v>11</v>
      </c>
      <c r="AD53" s="33">
        <v>0</v>
      </c>
      <c r="AE53" s="33">
        <v>64</v>
      </c>
      <c r="AF53" s="33"/>
      <c r="AG53" s="33">
        <v>49</v>
      </c>
      <c r="AH53" s="33" t="s">
        <v>1834</v>
      </c>
      <c r="AI53" s="33" t="s">
        <v>1072</v>
      </c>
      <c r="AJ53" s="33" t="s">
        <v>804</v>
      </c>
      <c r="AK53" s="33" t="s">
        <v>1439</v>
      </c>
      <c r="AL53" s="33">
        <v>0</v>
      </c>
      <c r="AM53" s="33">
        <v>0</v>
      </c>
      <c r="AN53" s="33">
        <v>0</v>
      </c>
      <c r="AO53" s="33">
        <v>13</v>
      </c>
      <c r="AP53" s="33">
        <v>121</v>
      </c>
      <c r="AQ53" s="33">
        <v>1</v>
      </c>
      <c r="AR53" s="33">
        <v>46</v>
      </c>
      <c r="AS53" s="33">
        <v>524</v>
      </c>
      <c r="AT53" s="33">
        <v>3</v>
      </c>
      <c r="AU53" s="33">
        <v>109</v>
      </c>
      <c r="AV53" s="33"/>
      <c r="AW53" s="33">
        <v>49</v>
      </c>
      <c r="AX53" s="33" t="s">
        <v>1835</v>
      </c>
      <c r="AY53" s="33" t="s">
        <v>1072</v>
      </c>
      <c r="AZ53" s="33" t="s">
        <v>804</v>
      </c>
      <c r="BA53" s="33" t="s">
        <v>1439</v>
      </c>
      <c r="BB53" s="33">
        <v>0</v>
      </c>
      <c r="BC53" s="33">
        <v>0</v>
      </c>
      <c r="BD53" s="33">
        <v>0</v>
      </c>
      <c r="BE53" s="33">
        <v>0</v>
      </c>
      <c r="BF53" s="33">
        <v>0</v>
      </c>
      <c r="BG53" s="33">
        <v>0</v>
      </c>
      <c r="BH53" s="33">
        <v>0</v>
      </c>
      <c r="BI53" s="33">
        <v>0</v>
      </c>
      <c r="BJ53" s="33">
        <v>0</v>
      </c>
      <c r="BK53" s="33">
        <v>0</v>
      </c>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t="str">
        <f t="shared" si="0"/>
        <v>Trent Richardson</v>
      </c>
      <c r="CT53" s="33">
        <v>51</v>
      </c>
      <c r="CU53" s="33" t="s">
        <v>1739</v>
      </c>
      <c r="CV53" s="33">
        <v>10</v>
      </c>
      <c r="CW53" s="33" t="s">
        <v>1816</v>
      </c>
      <c r="CX53" s="33">
        <v>12</v>
      </c>
      <c r="CY53" s="33"/>
      <c r="CZ53" s="33" t="str">
        <f t="shared" si="1"/>
        <v>Michael Crabtree</v>
      </c>
      <c r="DA53" s="33">
        <v>51</v>
      </c>
      <c r="DB53" s="33" t="s">
        <v>1836</v>
      </c>
      <c r="DC53" s="33">
        <v>8</v>
      </c>
      <c r="DD53" s="33" t="s">
        <v>1791</v>
      </c>
      <c r="DE53" s="33">
        <v>13</v>
      </c>
    </row>
    <row r="54" spans="1:109" ht="12.75" customHeight="1">
      <c r="A54" s="33">
        <v>50</v>
      </c>
      <c r="B54" s="33" t="s">
        <v>1837</v>
      </c>
      <c r="C54" s="33" t="s">
        <v>1072</v>
      </c>
      <c r="D54" s="33" t="s">
        <v>804</v>
      </c>
      <c r="E54" s="33" t="s">
        <v>1439</v>
      </c>
      <c r="F54" s="33">
        <v>0</v>
      </c>
      <c r="G54" s="33">
        <v>0</v>
      </c>
      <c r="H54" s="33">
        <v>0</v>
      </c>
      <c r="I54" s="33">
        <v>0</v>
      </c>
      <c r="J54" s="33">
        <v>0</v>
      </c>
      <c r="K54" s="33">
        <v>0</v>
      </c>
      <c r="L54" s="33">
        <v>0</v>
      </c>
      <c r="M54" s="33">
        <v>0</v>
      </c>
      <c r="N54" s="33">
        <v>0</v>
      </c>
      <c r="O54" s="33">
        <v>0</v>
      </c>
      <c r="P54" s="33"/>
      <c r="Q54" s="33">
        <v>50</v>
      </c>
      <c r="R54" s="33" t="s">
        <v>1838</v>
      </c>
      <c r="S54" s="33" t="s">
        <v>1072</v>
      </c>
      <c r="T54" s="33" t="s">
        <v>804</v>
      </c>
      <c r="U54" s="33" t="s">
        <v>1439</v>
      </c>
      <c r="V54" s="33">
        <v>0</v>
      </c>
      <c r="W54" s="33">
        <v>0</v>
      </c>
      <c r="X54" s="33">
        <v>0</v>
      </c>
      <c r="Y54" s="33">
        <v>113</v>
      </c>
      <c r="Z54" s="33">
        <v>495</v>
      </c>
      <c r="AA54" s="33">
        <v>3</v>
      </c>
      <c r="AB54" s="33">
        <v>16</v>
      </c>
      <c r="AC54" s="33">
        <v>108</v>
      </c>
      <c r="AD54" s="33">
        <v>0</v>
      </c>
      <c r="AE54" s="33">
        <v>84</v>
      </c>
      <c r="AF54" s="33"/>
      <c r="AG54" s="33">
        <v>50</v>
      </c>
      <c r="AH54" s="33" t="s">
        <v>1839</v>
      </c>
      <c r="AI54" s="33" t="s">
        <v>1072</v>
      </c>
      <c r="AJ54" s="33" t="s">
        <v>804</v>
      </c>
      <c r="AK54" s="33" t="s">
        <v>1439</v>
      </c>
      <c r="AL54" s="33">
        <v>0</v>
      </c>
      <c r="AM54" s="33">
        <v>0</v>
      </c>
      <c r="AN54" s="33">
        <v>0</v>
      </c>
      <c r="AO54" s="33">
        <v>0</v>
      </c>
      <c r="AP54" s="33">
        <v>0</v>
      </c>
      <c r="AQ54" s="33">
        <v>0</v>
      </c>
      <c r="AR54" s="33">
        <v>50</v>
      </c>
      <c r="AS54" s="33">
        <v>680</v>
      </c>
      <c r="AT54" s="33">
        <v>4</v>
      </c>
      <c r="AU54" s="33">
        <v>117</v>
      </c>
      <c r="AV54" s="33"/>
      <c r="AW54" s="33">
        <v>50</v>
      </c>
      <c r="AX54" s="33" t="s">
        <v>1840</v>
      </c>
      <c r="AY54" s="33" t="s">
        <v>1072</v>
      </c>
      <c r="AZ54" s="33" t="s">
        <v>804</v>
      </c>
      <c r="BA54" s="33" t="s">
        <v>1439</v>
      </c>
      <c r="BB54" s="33">
        <v>0</v>
      </c>
      <c r="BC54" s="33">
        <v>0</v>
      </c>
      <c r="BD54" s="33">
        <v>0</v>
      </c>
      <c r="BE54" s="33">
        <v>0</v>
      </c>
      <c r="BF54" s="33">
        <v>0</v>
      </c>
      <c r="BG54" s="33">
        <v>0</v>
      </c>
      <c r="BH54" s="33">
        <v>0</v>
      </c>
      <c r="BI54" s="33">
        <v>0</v>
      </c>
      <c r="BJ54" s="33">
        <v>0</v>
      </c>
      <c r="BK54" s="33">
        <v>0</v>
      </c>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t="str">
        <f t="shared" si="0"/>
        <v>Toby Gerhart</v>
      </c>
      <c r="CT54" s="33">
        <v>52</v>
      </c>
      <c r="CU54" s="33" t="s">
        <v>1841</v>
      </c>
      <c r="CV54" s="33">
        <v>11</v>
      </c>
      <c r="CW54" s="33" t="s">
        <v>1830</v>
      </c>
      <c r="CX54" s="33">
        <v>11</v>
      </c>
      <c r="CY54" s="33"/>
      <c r="CZ54" s="33" t="str">
        <f t="shared" si="1"/>
        <v>Julian Edelman</v>
      </c>
      <c r="DA54" s="33">
        <v>52</v>
      </c>
      <c r="DB54" s="33" t="s">
        <v>1842</v>
      </c>
      <c r="DC54" s="33">
        <v>10</v>
      </c>
      <c r="DD54" s="33" t="s">
        <v>1807</v>
      </c>
      <c r="DE54" s="33">
        <v>12</v>
      </c>
    </row>
    <row r="55" spans="1:109" ht="12.75" customHeight="1">
      <c r="A55" s="33">
        <v>51</v>
      </c>
      <c r="B55" s="33" t="s">
        <v>1843</v>
      </c>
      <c r="C55" s="33" t="s">
        <v>1072</v>
      </c>
      <c r="D55" s="33" t="s">
        <v>804</v>
      </c>
      <c r="E55" s="208">
        <v>41832</v>
      </c>
      <c r="F55" s="33">
        <v>87</v>
      </c>
      <c r="G55" s="33">
        <v>1</v>
      </c>
      <c r="H55" s="33">
        <v>0</v>
      </c>
      <c r="I55" s="33">
        <v>11</v>
      </c>
      <c r="J55" s="33">
        <v>55</v>
      </c>
      <c r="K55" s="33">
        <v>1</v>
      </c>
      <c r="L55" s="33">
        <v>0</v>
      </c>
      <c r="M55" s="33">
        <v>0</v>
      </c>
      <c r="N55" s="33">
        <v>0</v>
      </c>
      <c r="O55" s="33">
        <v>20.9</v>
      </c>
      <c r="P55" s="33"/>
      <c r="Q55" s="33">
        <v>51</v>
      </c>
      <c r="R55" s="33" t="s">
        <v>1844</v>
      </c>
      <c r="S55" s="33" t="s">
        <v>1072</v>
      </c>
      <c r="T55" s="33" t="s">
        <v>804</v>
      </c>
      <c r="U55" s="33" t="s">
        <v>1439</v>
      </c>
      <c r="V55" s="33">
        <v>0</v>
      </c>
      <c r="W55" s="33">
        <v>0</v>
      </c>
      <c r="X55" s="33">
        <v>0</v>
      </c>
      <c r="Y55" s="33">
        <v>95</v>
      </c>
      <c r="Z55" s="33">
        <v>435</v>
      </c>
      <c r="AA55" s="33">
        <v>3</v>
      </c>
      <c r="AB55" s="33">
        <v>19</v>
      </c>
      <c r="AC55" s="33">
        <v>155</v>
      </c>
      <c r="AD55" s="33">
        <v>0</v>
      </c>
      <c r="AE55" s="33">
        <v>85.5</v>
      </c>
      <c r="AF55" s="33"/>
      <c r="AG55" s="33">
        <v>51</v>
      </c>
      <c r="AH55" s="33" t="s">
        <v>1845</v>
      </c>
      <c r="AI55" s="33" t="s">
        <v>1072</v>
      </c>
      <c r="AJ55" s="33" t="s">
        <v>804</v>
      </c>
      <c r="AK55" s="33" t="s">
        <v>1439</v>
      </c>
      <c r="AL55" s="33">
        <v>0</v>
      </c>
      <c r="AM55" s="33">
        <v>0</v>
      </c>
      <c r="AN55" s="33">
        <v>0</v>
      </c>
      <c r="AO55" s="33">
        <v>9</v>
      </c>
      <c r="AP55" s="33">
        <v>52</v>
      </c>
      <c r="AQ55" s="33">
        <v>0</v>
      </c>
      <c r="AR55" s="33">
        <v>47</v>
      </c>
      <c r="AS55" s="33">
        <v>566</v>
      </c>
      <c r="AT55" s="33">
        <v>5</v>
      </c>
      <c r="AU55" s="33">
        <v>114</v>
      </c>
      <c r="AV55" s="33"/>
      <c r="AW55" s="33">
        <v>51</v>
      </c>
      <c r="AX55" s="33" t="s">
        <v>1846</v>
      </c>
      <c r="AY55" s="33" t="s">
        <v>1072</v>
      </c>
      <c r="AZ55" s="33" t="s">
        <v>804</v>
      </c>
      <c r="BA55" s="33" t="s">
        <v>1439</v>
      </c>
      <c r="BB55" s="33">
        <v>0</v>
      </c>
      <c r="BC55" s="33">
        <v>0</v>
      </c>
      <c r="BD55" s="33">
        <v>0</v>
      </c>
      <c r="BE55" s="33">
        <v>0</v>
      </c>
      <c r="BF55" s="33">
        <v>0</v>
      </c>
      <c r="BG55" s="33">
        <v>0</v>
      </c>
      <c r="BH55" s="33">
        <v>0</v>
      </c>
      <c r="BI55" s="33">
        <v>0</v>
      </c>
      <c r="BJ55" s="33">
        <v>0</v>
      </c>
      <c r="BK55" s="33">
        <v>0</v>
      </c>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t="str">
        <f t="shared" si="0"/>
        <v>Michael Crabtree</v>
      </c>
      <c r="CT55" s="33">
        <v>53</v>
      </c>
      <c r="CU55" s="33" t="s">
        <v>1836</v>
      </c>
      <c r="CV55" s="33">
        <v>8</v>
      </c>
      <c r="CW55" s="33" t="s">
        <v>1847</v>
      </c>
      <c r="CX55" s="33">
        <v>11</v>
      </c>
      <c r="CY55" s="33"/>
      <c r="CZ55" s="33" t="str">
        <f t="shared" si="1"/>
        <v>Frank Gore</v>
      </c>
      <c r="DA55" s="33">
        <v>53</v>
      </c>
      <c r="DB55" s="33" t="s">
        <v>1775</v>
      </c>
      <c r="DC55" s="33">
        <v>8</v>
      </c>
      <c r="DD55" s="33" t="s">
        <v>1848</v>
      </c>
      <c r="DE55" s="33">
        <v>12</v>
      </c>
    </row>
    <row r="56" spans="1:109" ht="12.75" customHeight="1">
      <c r="A56" s="33">
        <v>52</v>
      </c>
      <c r="B56" s="33" t="s">
        <v>1849</v>
      </c>
      <c r="C56" s="33" t="s">
        <v>1072</v>
      </c>
      <c r="D56" s="33" t="s">
        <v>804</v>
      </c>
      <c r="E56" s="208">
        <v>41673</v>
      </c>
      <c r="F56" s="33">
        <v>17</v>
      </c>
      <c r="G56" s="33">
        <v>0</v>
      </c>
      <c r="H56" s="33">
        <v>0</v>
      </c>
      <c r="I56" s="33">
        <v>3</v>
      </c>
      <c r="J56" s="33">
        <v>-3</v>
      </c>
      <c r="K56" s="33">
        <v>0</v>
      </c>
      <c r="L56" s="33">
        <v>0</v>
      </c>
      <c r="M56" s="33">
        <v>0</v>
      </c>
      <c r="N56" s="33">
        <v>0</v>
      </c>
      <c r="O56" s="33">
        <v>0.6</v>
      </c>
      <c r="P56" s="33"/>
      <c r="Q56" s="33">
        <v>52</v>
      </c>
      <c r="R56" s="33" t="s">
        <v>1850</v>
      </c>
      <c r="S56" s="33" t="s">
        <v>1072</v>
      </c>
      <c r="T56" s="33" t="s">
        <v>804</v>
      </c>
      <c r="U56" s="33" t="s">
        <v>1439</v>
      </c>
      <c r="V56" s="33">
        <v>0</v>
      </c>
      <c r="W56" s="33">
        <v>0</v>
      </c>
      <c r="X56" s="33">
        <v>0</v>
      </c>
      <c r="Y56" s="33">
        <v>94</v>
      </c>
      <c r="Z56" s="33">
        <v>402</v>
      </c>
      <c r="AA56" s="33">
        <v>3</v>
      </c>
      <c r="AB56" s="33">
        <v>9</v>
      </c>
      <c r="AC56" s="33">
        <v>70</v>
      </c>
      <c r="AD56" s="33">
        <v>0</v>
      </c>
      <c r="AE56" s="33">
        <v>69.5</v>
      </c>
      <c r="AF56" s="33"/>
      <c r="AG56" s="33">
        <v>52</v>
      </c>
      <c r="AH56" s="33" t="s">
        <v>1851</v>
      </c>
      <c r="AI56" s="33" t="s">
        <v>1072</v>
      </c>
      <c r="AJ56" s="33" t="s">
        <v>804</v>
      </c>
      <c r="AK56" s="33" t="s">
        <v>1439</v>
      </c>
      <c r="AL56" s="33">
        <v>0</v>
      </c>
      <c r="AM56" s="33">
        <v>0</v>
      </c>
      <c r="AN56" s="33">
        <v>0</v>
      </c>
      <c r="AO56" s="33">
        <v>0</v>
      </c>
      <c r="AP56" s="33">
        <v>0</v>
      </c>
      <c r="AQ56" s="33">
        <v>0</v>
      </c>
      <c r="AR56" s="33">
        <v>60</v>
      </c>
      <c r="AS56" s="33">
        <v>666</v>
      </c>
      <c r="AT56" s="33">
        <v>4</v>
      </c>
      <c r="AU56" s="33">
        <v>120.5</v>
      </c>
      <c r="AV56" s="33"/>
      <c r="AW56" s="33">
        <v>52</v>
      </c>
      <c r="AX56" s="33" t="s">
        <v>1852</v>
      </c>
      <c r="AY56" s="33" t="s">
        <v>1072</v>
      </c>
      <c r="AZ56" s="33" t="s">
        <v>804</v>
      </c>
      <c r="BA56" s="33" t="s">
        <v>1439</v>
      </c>
      <c r="BB56" s="33">
        <v>0</v>
      </c>
      <c r="BC56" s="33">
        <v>0</v>
      </c>
      <c r="BD56" s="33">
        <v>0</v>
      </c>
      <c r="BE56" s="33">
        <v>0</v>
      </c>
      <c r="BF56" s="33">
        <v>0</v>
      </c>
      <c r="BG56" s="33">
        <v>0</v>
      </c>
      <c r="BH56" s="33">
        <v>0</v>
      </c>
      <c r="BI56" s="33">
        <v>0</v>
      </c>
      <c r="BJ56" s="33">
        <v>0</v>
      </c>
      <c r="BK56" s="33">
        <v>0</v>
      </c>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t="str">
        <f t="shared" si="0"/>
        <v>Ray Rice</v>
      </c>
      <c r="CT56" s="33">
        <v>54</v>
      </c>
      <c r="CU56" s="33" t="s">
        <v>1764</v>
      </c>
      <c r="CV56" s="33">
        <v>11</v>
      </c>
      <c r="CW56" s="33" t="s">
        <v>1848</v>
      </c>
      <c r="CX56" s="33">
        <v>10</v>
      </c>
      <c r="CY56" s="33"/>
      <c r="CZ56" s="33" t="str">
        <f t="shared" si="1"/>
        <v>DeSean Jackson</v>
      </c>
      <c r="DA56" s="33">
        <v>54</v>
      </c>
      <c r="DB56" s="33" t="s">
        <v>1790</v>
      </c>
      <c r="DC56" s="33">
        <v>10</v>
      </c>
      <c r="DD56" s="33" t="s">
        <v>1823</v>
      </c>
      <c r="DE56" s="33">
        <v>12</v>
      </c>
    </row>
    <row r="57" spans="1:109" ht="12.75" customHeight="1">
      <c r="A57" s="33">
        <v>53</v>
      </c>
      <c r="B57" s="33" t="s">
        <v>1853</v>
      </c>
      <c r="C57" s="33" t="s">
        <v>1072</v>
      </c>
      <c r="D57" s="33" t="s">
        <v>804</v>
      </c>
      <c r="E57" s="208">
        <v>41800</v>
      </c>
      <c r="F57" s="33">
        <v>67</v>
      </c>
      <c r="G57" s="33">
        <v>0</v>
      </c>
      <c r="H57" s="33">
        <v>0</v>
      </c>
      <c r="I57" s="33">
        <v>4</v>
      </c>
      <c r="J57" s="33">
        <v>9</v>
      </c>
      <c r="K57" s="33">
        <v>0</v>
      </c>
      <c r="L57" s="33">
        <v>0</v>
      </c>
      <c r="M57" s="33">
        <v>0</v>
      </c>
      <c r="N57" s="33">
        <v>0</v>
      </c>
      <c r="O57" s="33">
        <v>3.1</v>
      </c>
      <c r="P57" s="33"/>
      <c r="Q57" s="33">
        <v>53</v>
      </c>
      <c r="R57" s="33" t="s">
        <v>1854</v>
      </c>
      <c r="S57" s="33" t="s">
        <v>1072</v>
      </c>
      <c r="T57" s="33" t="s">
        <v>804</v>
      </c>
      <c r="U57" s="33" t="s">
        <v>1439</v>
      </c>
      <c r="V57" s="33">
        <v>0</v>
      </c>
      <c r="W57" s="33">
        <v>0</v>
      </c>
      <c r="X57" s="33">
        <v>0</v>
      </c>
      <c r="Y57" s="33">
        <v>89</v>
      </c>
      <c r="Z57" s="33">
        <v>362</v>
      </c>
      <c r="AA57" s="33">
        <v>4</v>
      </c>
      <c r="AB57" s="33">
        <v>12</v>
      </c>
      <c r="AC57" s="33">
        <v>71</v>
      </c>
      <c r="AD57" s="33">
        <v>0</v>
      </c>
      <c r="AE57" s="33">
        <v>72</v>
      </c>
      <c r="AF57" s="33"/>
      <c r="AG57" s="33">
        <v>53</v>
      </c>
      <c r="AH57" s="33" t="s">
        <v>1855</v>
      </c>
      <c r="AI57" s="33" t="s">
        <v>1072</v>
      </c>
      <c r="AJ57" s="33" t="s">
        <v>804</v>
      </c>
      <c r="AK57" s="33" t="s">
        <v>1439</v>
      </c>
      <c r="AL57" s="33">
        <v>0</v>
      </c>
      <c r="AM57" s="33">
        <v>0</v>
      </c>
      <c r="AN57" s="33">
        <v>0</v>
      </c>
      <c r="AO57" s="33">
        <v>0</v>
      </c>
      <c r="AP57" s="33">
        <v>0</v>
      </c>
      <c r="AQ57" s="33">
        <v>0</v>
      </c>
      <c r="AR57" s="33">
        <v>57</v>
      </c>
      <c r="AS57" s="33">
        <v>703</v>
      </c>
      <c r="AT57" s="33">
        <v>5</v>
      </c>
      <c r="AU57" s="33">
        <v>127.5</v>
      </c>
      <c r="AV57" s="33"/>
      <c r="AW57" s="33">
        <v>53</v>
      </c>
      <c r="AX57" s="33" t="s">
        <v>1856</v>
      </c>
      <c r="AY57" s="33" t="s">
        <v>1072</v>
      </c>
      <c r="AZ57" s="33" t="s">
        <v>804</v>
      </c>
      <c r="BA57" s="33" t="s">
        <v>1439</v>
      </c>
      <c r="BB57" s="33">
        <v>0</v>
      </c>
      <c r="BC57" s="33">
        <v>0</v>
      </c>
      <c r="BD57" s="33">
        <v>0</v>
      </c>
      <c r="BE57" s="33">
        <v>0</v>
      </c>
      <c r="BF57" s="33">
        <v>0</v>
      </c>
      <c r="BG57" s="33">
        <v>0</v>
      </c>
      <c r="BH57" s="33">
        <v>0</v>
      </c>
      <c r="BI57" s="33">
        <v>0</v>
      </c>
      <c r="BJ57" s="33">
        <v>0</v>
      </c>
      <c r="BK57" s="33">
        <v>0</v>
      </c>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t="str">
        <f t="shared" si="0"/>
        <v>Rashad Jennings</v>
      </c>
      <c r="CT57" s="33">
        <v>55</v>
      </c>
      <c r="CU57" s="33" t="s">
        <v>1857</v>
      </c>
      <c r="CV57" s="33">
        <v>8</v>
      </c>
      <c r="CW57" s="33" t="s">
        <v>1858</v>
      </c>
      <c r="CX57" s="33">
        <v>10</v>
      </c>
      <c r="CY57" s="33"/>
      <c r="CZ57" s="33" t="str">
        <f t="shared" si="1"/>
        <v>Chris Johnson</v>
      </c>
      <c r="DA57" s="33">
        <v>55</v>
      </c>
      <c r="DB57" s="33" t="s">
        <v>1859</v>
      </c>
      <c r="DC57" s="33">
        <v>11</v>
      </c>
      <c r="DD57" s="33" t="s">
        <v>1858</v>
      </c>
      <c r="DE57" s="33">
        <v>11</v>
      </c>
    </row>
    <row r="58" spans="1:109" ht="12.75" customHeight="1">
      <c r="A58" s="33">
        <v>54</v>
      </c>
      <c r="B58" s="33" t="s">
        <v>1860</v>
      </c>
      <c r="C58" s="33" t="s">
        <v>1072</v>
      </c>
      <c r="D58" s="33" t="s">
        <v>804</v>
      </c>
      <c r="E58" s="208">
        <v>41834</v>
      </c>
      <c r="F58" s="33">
        <v>101</v>
      </c>
      <c r="G58" s="33">
        <v>0</v>
      </c>
      <c r="H58" s="33">
        <v>1</v>
      </c>
      <c r="I58" s="33">
        <v>2</v>
      </c>
      <c r="J58" s="33">
        <v>-1</v>
      </c>
      <c r="K58" s="33">
        <v>0</v>
      </c>
      <c r="L58" s="33">
        <v>0</v>
      </c>
      <c r="M58" s="33">
        <v>0</v>
      </c>
      <c r="N58" s="33">
        <v>0</v>
      </c>
      <c r="O58" s="33">
        <v>2</v>
      </c>
      <c r="P58" s="33"/>
      <c r="Q58" s="33">
        <v>54</v>
      </c>
      <c r="R58" s="33" t="s">
        <v>1861</v>
      </c>
      <c r="S58" s="33" t="s">
        <v>1072</v>
      </c>
      <c r="T58" s="33" t="s">
        <v>804</v>
      </c>
      <c r="U58" s="33" t="s">
        <v>1439</v>
      </c>
      <c r="V58" s="33">
        <v>0</v>
      </c>
      <c r="W58" s="33">
        <v>0</v>
      </c>
      <c r="X58" s="33">
        <v>0</v>
      </c>
      <c r="Y58" s="33">
        <v>127</v>
      </c>
      <c r="Z58" s="33">
        <v>511</v>
      </c>
      <c r="AA58" s="33">
        <v>2</v>
      </c>
      <c r="AB58" s="33">
        <v>20</v>
      </c>
      <c r="AC58" s="33">
        <v>115</v>
      </c>
      <c r="AD58" s="33">
        <v>0</v>
      </c>
      <c r="AE58" s="33">
        <v>82.5</v>
      </c>
      <c r="AF58" s="33"/>
      <c r="AG58" s="33">
        <v>54</v>
      </c>
      <c r="AH58" s="33" t="s">
        <v>1862</v>
      </c>
      <c r="AI58" s="33" t="s">
        <v>1072</v>
      </c>
      <c r="AJ58" s="33" t="s">
        <v>804</v>
      </c>
      <c r="AK58" s="33" t="s">
        <v>1439</v>
      </c>
      <c r="AL58" s="33">
        <v>0</v>
      </c>
      <c r="AM58" s="33">
        <v>0</v>
      </c>
      <c r="AN58" s="33">
        <v>0</v>
      </c>
      <c r="AO58" s="33">
        <v>0</v>
      </c>
      <c r="AP58" s="33">
        <v>0</v>
      </c>
      <c r="AQ58" s="33">
        <v>0</v>
      </c>
      <c r="AR58" s="33">
        <v>48</v>
      </c>
      <c r="AS58" s="33">
        <v>590</v>
      </c>
      <c r="AT58" s="33">
        <v>4</v>
      </c>
      <c r="AU58" s="33">
        <v>106</v>
      </c>
      <c r="AV58" s="33"/>
      <c r="AW58" s="33">
        <v>54</v>
      </c>
      <c r="AX58" s="33" t="s">
        <v>1863</v>
      </c>
      <c r="AY58" s="33" t="s">
        <v>1072</v>
      </c>
      <c r="AZ58" s="33" t="s">
        <v>804</v>
      </c>
      <c r="BA58" s="33" t="s">
        <v>1439</v>
      </c>
      <c r="BB58" s="33">
        <v>0</v>
      </c>
      <c r="BC58" s="33">
        <v>0</v>
      </c>
      <c r="BD58" s="33">
        <v>0</v>
      </c>
      <c r="BE58" s="33">
        <v>0</v>
      </c>
      <c r="BF58" s="33">
        <v>0</v>
      </c>
      <c r="BG58" s="33">
        <v>0</v>
      </c>
      <c r="BH58" s="33">
        <v>0</v>
      </c>
      <c r="BI58" s="33">
        <v>0</v>
      </c>
      <c r="BJ58" s="33">
        <v>0</v>
      </c>
      <c r="BK58" s="33">
        <v>0</v>
      </c>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t="str">
        <f t="shared" si="0"/>
        <v>Torrey Smith</v>
      </c>
      <c r="CT58" s="33">
        <v>56</v>
      </c>
      <c r="CU58" s="33" t="s">
        <v>1864</v>
      </c>
      <c r="CV58" s="33">
        <v>11</v>
      </c>
      <c r="CW58" s="33" t="s">
        <v>1865</v>
      </c>
      <c r="CX58" s="33">
        <v>10</v>
      </c>
      <c r="CY58" s="33"/>
      <c r="CZ58" s="33" t="str">
        <f t="shared" si="1"/>
        <v>Nick Foles</v>
      </c>
      <c r="DA58" s="33">
        <v>56</v>
      </c>
      <c r="DB58" s="33" t="s">
        <v>1866</v>
      </c>
      <c r="DC58" s="33">
        <v>7</v>
      </c>
      <c r="DD58" s="33" t="s">
        <v>1867</v>
      </c>
      <c r="DE58" s="33">
        <v>11</v>
      </c>
    </row>
    <row r="59" spans="1:109" ht="12.75" customHeight="1">
      <c r="A59" s="33">
        <v>55</v>
      </c>
      <c r="B59" s="33" t="s">
        <v>1868</v>
      </c>
      <c r="C59" s="33" t="s">
        <v>1072</v>
      </c>
      <c r="D59" s="33" t="s">
        <v>804</v>
      </c>
      <c r="E59" s="208">
        <v>41768</v>
      </c>
      <c r="F59" s="33">
        <v>58</v>
      </c>
      <c r="G59" s="33">
        <v>0</v>
      </c>
      <c r="H59" s="33">
        <v>0</v>
      </c>
      <c r="I59" s="33">
        <v>2</v>
      </c>
      <c r="J59" s="33">
        <v>0</v>
      </c>
      <c r="K59" s="33">
        <v>0</v>
      </c>
      <c r="L59" s="33">
        <v>0</v>
      </c>
      <c r="M59" s="33">
        <v>0</v>
      </c>
      <c r="N59" s="33">
        <v>0</v>
      </c>
      <c r="O59" s="33">
        <v>2.2000000000000002</v>
      </c>
      <c r="P59" s="33"/>
      <c r="Q59" s="33">
        <v>55</v>
      </c>
      <c r="R59" s="33" t="s">
        <v>1869</v>
      </c>
      <c r="S59" s="33" t="s">
        <v>1072</v>
      </c>
      <c r="T59" s="33" t="s">
        <v>804</v>
      </c>
      <c r="U59" s="33" t="s">
        <v>1439</v>
      </c>
      <c r="V59" s="33">
        <v>0</v>
      </c>
      <c r="W59" s="33">
        <v>0</v>
      </c>
      <c r="X59" s="33">
        <v>0</v>
      </c>
      <c r="Y59" s="33">
        <v>53</v>
      </c>
      <c r="Z59" s="33">
        <v>216</v>
      </c>
      <c r="AA59" s="33">
        <v>2</v>
      </c>
      <c r="AB59" s="33">
        <v>52</v>
      </c>
      <c r="AC59" s="33">
        <v>395</v>
      </c>
      <c r="AD59" s="33">
        <v>3</v>
      </c>
      <c r="AE59" s="33">
        <v>115</v>
      </c>
      <c r="AF59" s="33"/>
      <c r="AG59" s="33">
        <v>55</v>
      </c>
      <c r="AH59" s="33" t="s">
        <v>1870</v>
      </c>
      <c r="AI59" s="33" t="s">
        <v>1072</v>
      </c>
      <c r="AJ59" s="33" t="s">
        <v>804</v>
      </c>
      <c r="AK59" s="33" t="s">
        <v>1439</v>
      </c>
      <c r="AL59" s="33">
        <v>0</v>
      </c>
      <c r="AM59" s="33">
        <v>0</v>
      </c>
      <c r="AN59" s="33">
        <v>0</v>
      </c>
      <c r="AO59" s="33">
        <v>6</v>
      </c>
      <c r="AP59" s="33">
        <v>25</v>
      </c>
      <c r="AQ59" s="33">
        <v>0</v>
      </c>
      <c r="AR59" s="33">
        <v>62</v>
      </c>
      <c r="AS59" s="33">
        <v>645</v>
      </c>
      <c r="AT59" s="33">
        <v>3</v>
      </c>
      <c r="AU59" s="33">
        <v>116</v>
      </c>
      <c r="AV59" s="33"/>
      <c r="AW59" s="33">
        <v>55</v>
      </c>
      <c r="AX59" s="33" t="s">
        <v>1871</v>
      </c>
      <c r="AY59" s="33" t="s">
        <v>1072</v>
      </c>
      <c r="AZ59" s="33" t="s">
        <v>804</v>
      </c>
      <c r="BA59" s="33" t="s">
        <v>1439</v>
      </c>
      <c r="BB59" s="33">
        <v>0</v>
      </c>
      <c r="BC59" s="33">
        <v>0</v>
      </c>
      <c r="BD59" s="33">
        <v>0</v>
      </c>
      <c r="BE59" s="33">
        <v>0</v>
      </c>
      <c r="BF59" s="33">
        <v>0</v>
      </c>
      <c r="BG59" s="33">
        <v>0</v>
      </c>
      <c r="BH59" s="33">
        <v>0</v>
      </c>
      <c r="BI59" s="33">
        <v>0</v>
      </c>
      <c r="BJ59" s="33">
        <v>0</v>
      </c>
      <c r="BK59" s="33">
        <v>0</v>
      </c>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t="str">
        <f t="shared" si="0"/>
        <v>Chris Johnson</v>
      </c>
      <c r="CT59" s="33">
        <v>57</v>
      </c>
      <c r="CU59" s="33" t="s">
        <v>1859</v>
      </c>
      <c r="CV59" s="33">
        <v>11</v>
      </c>
      <c r="CW59" s="33" t="s">
        <v>1872</v>
      </c>
      <c r="CX59" s="33">
        <v>10</v>
      </c>
      <c r="CY59" s="33"/>
      <c r="CZ59" s="33" t="str">
        <f t="shared" si="1"/>
        <v>Wes Welker</v>
      </c>
      <c r="DA59" s="33">
        <v>57</v>
      </c>
      <c r="DB59" s="33" t="s">
        <v>1806</v>
      </c>
      <c r="DC59" s="33">
        <v>4</v>
      </c>
      <c r="DD59" s="33" t="s">
        <v>1847</v>
      </c>
      <c r="DE59" s="33">
        <v>11</v>
      </c>
    </row>
    <row r="60" spans="1:109" ht="12.75" customHeight="1">
      <c r="A60" s="33">
        <v>56</v>
      </c>
      <c r="B60" s="33" t="s">
        <v>1873</v>
      </c>
      <c r="C60" s="33" t="s">
        <v>1072</v>
      </c>
      <c r="D60" s="33" t="s">
        <v>804</v>
      </c>
      <c r="E60" s="208">
        <v>41673</v>
      </c>
      <c r="F60" s="33">
        <v>14</v>
      </c>
      <c r="G60" s="33">
        <v>0</v>
      </c>
      <c r="H60" s="33">
        <v>0</v>
      </c>
      <c r="I60" s="33">
        <v>2</v>
      </c>
      <c r="J60" s="33">
        <v>-3</v>
      </c>
      <c r="K60" s="33">
        <v>0</v>
      </c>
      <c r="L60" s="33">
        <v>0</v>
      </c>
      <c r="M60" s="33">
        <v>0</v>
      </c>
      <c r="N60" s="33">
        <v>0</v>
      </c>
      <c r="O60" s="33">
        <v>0.4</v>
      </c>
      <c r="P60" s="33"/>
      <c r="Q60" s="33">
        <v>56</v>
      </c>
      <c r="R60" s="33" t="s">
        <v>1874</v>
      </c>
      <c r="S60" s="33" t="s">
        <v>1072</v>
      </c>
      <c r="T60" s="33" t="s">
        <v>804</v>
      </c>
      <c r="U60" s="33" t="s">
        <v>1439</v>
      </c>
      <c r="V60" s="33">
        <v>0</v>
      </c>
      <c r="W60" s="33">
        <v>0</v>
      </c>
      <c r="X60" s="33">
        <v>0</v>
      </c>
      <c r="Y60" s="33">
        <v>95</v>
      </c>
      <c r="Z60" s="33">
        <v>415</v>
      </c>
      <c r="AA60" s="33">
        <v>3</v>
      </c>
      <c r="AB60" s="33">
        <v>7</v>
      </c>
      <c r="AC60" s="33">
        <v>45</v>
      </c>
      <c r="AD60" s="33">
        <v>0</v>
      </c>
      <c r="AE60" s="33">
        <v>65.5</v>
      </c>
      <c r="AF60" s="33"/>
      <c r="AG60" s="33">
        <v>56</v>
      </c>
      <c r="AH60" s="33" t="s">
        <v>1875</v>
      </c>
      <c r="AI60" s="33" t="s">
        <v>1072</v>
      </c>
      <c r="AJ60" s="33" t="s">
        <v>804</v>
      </c>
      <c r="AK60" s="33" t="s">
        <v>1439</v>
      </c>
      <c r="AL60" s="33">
        <v>0</v>
      </c>
      <c r="AM60" s="33">
        <v>0</v>
      </c>
      <c r="AN60" s="33">
        <v>0</v>
      </c>
      <c r="AO60" s="33">
        <v>2</v>
      </c>
      <c r="AP60" s="33">
        <v>12</v>
      </c>
      <c r="AQ60" s="33">
        <v>0</v>
      </c>
      <c r="AR60" s="33">
        <v>42</v>
      </c>
      <c r="AS60" s="33">
        <v>609</v>
      </c>
      <c r="AT60" s="33">
        <v>4</v>
      </c>
      <c r="AU60" s="33">
        <v>106.5</v>
      </c>
      <c r="AV60" s="33"/>
      <c r="AW60" s="33">
        <v>56</v>
      </c>
      <c r="AX60" s="33" t="s">
        <v>1876</v>
      </c>
      <c r="AY60" s="33" t="s">
        <v>1072</v>
      </c>
      <c r="AZ60" s="33" t="s">
        <v>804</v>
      </c>
      <c r="BA60" s="33" t="s">
        <v>1439</v>
      </c>
      <c r="BB60" s="33">
        <v>0</v>
      </c>
      <c r="BC60" s="33">
        <v>0</v>
      </c>
      <c r="BD60" s="33">
        <v>0</v>
      </c>
      <c r="BE60" s="33">
        <v>0</v>
      </c>
      <c r="BF60" s="33">
        <v>0</v>
      </c>
      <c r="BG60" s="33">
        <v>0</v>
      </c>
      <c r="BH60" s="33">
        <v>0</v>
      </c>
      <c r="BI60" s="33">
        <v>0</v>
      </c>
      <c r="BJ60" s="33">
        <v>0</v>
      </c>
      <c r="BK60" s="33">
        <v>0</v>
      </c>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t="str">
        <f t="shared" si="0"/>
        <v>Steven Jackson</v>
      </c>
      <c r="CT60" s="33">
        <v>58</v>
      </c>
      <c r="CU60" s="33" t="s">
        <v>1877</v>
      </c>
      <c r="CV60" s="33">
        <v>9</v>
      </c>
      <c r="CW60" s="33" t="s">
        <v>1878</v>
      </c>
      <c r="CX60" s="33">
        <v>9</v>
      </c>
      <c r="CY60" s="33"/>
      <c r="CZ60" s="33" t="str">
        <f t="shared" si="1"/>
        <v>Joique Bell</v>
      </c>
      <c r="DA60" s="33">
        <v>58</v>
      </c>
      <c r="DB60" s="33" t="s">
        <v>1879</v>
      </c>
      <c r="DC60" s="33">
        <v>9</v>
      </c>
      <c r="DD60" s="33" t="s">
        <v>1872</v>
      </c>
      <c r="DE60" s="33">
        <v>10</v>
      </c>
    </row>
    <row r="61" spans="1:109" ht="12.75" customHeight="1">
      <c r="A61" s="33">
        <v>57</v>
      </c>
      <c r="B61" s="33" t="s">
        <v>1880</v>
      </c>
      <c r="C61" s="33" t="s">
        <v>1072</v>
      </c>
      <c r="D61" s="33" t="s">
        <v>804</v>
      </c>
      <c r="E61" s="33" t="s">
        <v>1439</v>
      </c>
      <c r="F61" s="33">
        <v>0</v>
      </c>
      <c r="G61" s="33">
        <v>0</v>
      </c>
      <c r="H61" s="33">
        <v>0</v>
      </c>
      <c r="I61" s="33">
        <v>0</v>
      </c>
      <c r="J61" s="33">
        <v>0</v>
      </c>
      <c r="K61" s="33">
        <v>0</v>
      </c>
      <c r="L61" s="33">
        <v>0</v>
      </c>
      <c r="M61" s="33">
        <v>0</v>
      </c>
      <c r="N61" s="33">
        <v>0</v>
      </c>
      <c r="O61" s="33">
        <v>0</v>
      </c>
      <c r="P61" s="33"/>
      <c r="Q61" s="33">
        <v>57</v>
      </c>
      <c r="R61" s="33" t="s">
        <v>1881</v>
      </c>
      <c r="S61" s="33" t="s">
        <v>1072</v>
      </c>
      <c r="T61" s="33" t="s">
        <v>804</v>
      </c>
      <c r="U61" s="33" t="s">
        <v>1439</v>
      </c>
      <c r="V61" s="33">
        <v>0</v>
      </c>
      <c r="W61" s="33">
        <v>0</v>
      </c>
      <c r="X61" s="33">
        <v>0</v>
      </c>
      <c r="Y61" s="33">
        <v>76</v>
      </c>
      <c r="Z61" s="33">
        <v>302</v>
      </c>
      <c r="AA61" s="33">
        <v>1</v>
      </c>
      <c r="AB61" s="33">
        <v>20</v>
      </c>
      <c r="AC61" s="33">
        <v>154</v>
      </c>
      <c r="AD61" s="33">
        <v>1</v>
      </c>
      <c r="AE61" s="33">
        <v>67</v>
      </c>
      <c r="AF61" s="33"/>
      <c r="AG61" s="33">
        <v>57</v>
      </c>
      <c r="AH61" s="33" t="s">
        <v>1882</v>
      </c>
      <c r="AI61" s="33" t="s">
        <v>1072</v>
      </c>
      <c r="AJ61" s="33" t="s">
        <v>804</v>
      </c>
      <c r="AK61" s="33" t="s">
        <v>1439</v>
      </c>
      <c r="AL61" s="33">
        <v>0</v>
      </c>
      <c r="AM61" s="33">
        <v>0</v>
      </c>
      <c r="AN61" s="33">
        <v>0</v>
      </c>
      <c r="AO61" s="33">
        <v>2</v>
      </c>
      <c r="AP61" s="33">
        <v>14</v>
      </c>
      <c r="AQ61" s="33">
        <v>0</v>
      </c>
      <c r="AR61" s="33">
        <v>52</v>
      </c>
      <c r="AS61" s="33">
        <v>646</v>
      </c>
      <c r="AT61" s="33">
        <v>3</v>
      </c>
      <c r="AU61" s="33">
        <v>109.5</v>
      </c>
      <c r="AV61" s="33"/>
      <c r="AW61" s="33">
        <v>57</v>
      </c>
      <c r="AX61" s="33" t="s">
        <v>1883</v>
      </c>
      <c r="AY61" s="33" t="s">
        <v>1072</v>
      </c>
      <c r="AZ61" s="33" t="s">
        <v>804</v>
      </c>
      <c r="BA61" s="33" t="s">
        <v>1439</v>
      </c>
      <c r="BB61" s="33">
        <v>0</v>
      </c>
      <c r="BC61" s="33">
        <v>0</v>
      </c>
      <c r="BD61" s="33">
        <v>0</v>
      </c>
      <c r="BE61" s="33">
        <v>0</v>
      </c>
      <c r="BF61" s="33">
        <v>0</v>
      </c>
      <c r="BG61" s="33">
        <v>0</v>
      </c>
      <c r="BH61" s="33">
        <v>0</v>
      </c>
      <c r="BI61" s="33">
        <v>0</v>
      </c>
      <c r="BJ61" s="33">
        <v>0</v>
      </c>
      <c r="BK61" s="33">
        <v>0</v>
      </c>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t="str">
        <f t="shared" si="0"/>
        <v>Michael Floyd</v>
      </c>
      <c r="CT61" s="33">
        <v>59</v>
      </c>
      <c r="CU61" s="33" t="s">
        <v>1884</v>
      </c>
      <c r="CV61" s="33">
        <v>4</v>
      </c>
      <c r="CW61" s="33" t="s">
        <v>1885</v>
      </c>
      <c r="CX61" s="33">
        <v>9</v>
      </c>
      <c r="CY61" s="33"/>
      <c r="CZ61" s="33" t="str">
        <f t="shared" si="1"/>
        <v>Reggie Wayne</v>
      </c>
      <c r="DA61" s="33">
        <v>59</v>
      </c>
      <c r="DB61" s="33" t="s">
        <v>1886</v>
      </c>
      <c r="DC61" s="33">
        <v>10</v>
      </c>
      <c r="DD61" s="33" t="s">
        <v>1865</v>
      </c>
      <c r="DE61" s="33">
        <v>10</v>
      </c>
    </row>
    <row r="62" spans="1:109" ht="12.75" customHeight="1">
      <c r="A62" s="33">
        <v>58</v>
      </c>
      <c r="B62" s="33" t="s">
        <v>1887</v>
      </c>
      <c r="C62" s="33" t="s">
        <v>1072</v>
      </c>
      <c r="D62" s="33" t="s">
        <v>804</v>
      </c>
      <c r="E62" s="208">
        <v>41703</v>
      </c>
      <c r="F62" s="33">
        <v>17</v>
      </c>
      <c r="G62" s="33">
        <v>0</v>
      </c>
      <c r="H62" s="33">
        <v>0</v>
      </c>
      <c r="I62" s="33">
        <v>10</v>
      </c>
      <c r="J62" s="33">
        <v>65</v>
      </c>
      <c r="K62" s="33">
        <v>0</v>
      </c>
      <c r="L62" s="33">
        <v>0</v>
      </c>
      <c r="M62" s="33">
        <v>0</v>
      </c>
      <c r="N62" s="33">
        <v>0</v>
      </c>
      <c r="O62" s="33">
        <v>7.1</v>
      </c>
      <c r="P62" s="33"/>
      <c r="Q62" s="33">
        <v>58</v>
      </c>
      <c r="R62" s="33" t="s">
        <v>1888</v>
      </c>
      <c r="S62" s="33" t="s">
        <v>1072</v>
      </c>
      <c r="T62" s="33" t="s">
        <v>804</v>
      </c>
      <c r="U62" s="33" t="s">
        <v>1439</v>
      </c>
      <c r="V62" s="33">
        <v>0</v>
      </c>
      <c r="W62" s="33">
        <v>0</v>
      </c>
      <c r="X62" s="33">
        <v>0</v>
      </c>
      <c r="Y62" s="33">
        <v>58</v>
      </c>
      <c r="Z62" s="33">
        <v>276</v>
      </c>
      <c r="AA62" s="33">
        <v>2</v>
      </c>
      <c r="AB62" s="33">
        <v>23</v>
      </c>
      <c r="AC62" s="33">
        <v>176</v>
      </c>
      <c r="AD62" s="33">
        <v>0</v>
      </c>
      <c r="AE62" s="33">
        <v>67.5</v>
      </c>
      <c r="AF62" s="33"/>
      <c r="AG62" s="33">
        <v>58</v>
      </c>
      <c r="AH62" s="33" t="s">
        <v>1889</v>
      </c>
      <c r="AI62" s="33" t="s">
        <v>1072</v>
      </c>
      <c r="AJ62" s="33" t="s">
        <v>804</v>
      </c>
      <c r="AK62" s="33" t="s">
        <v>1439</v>
      </c>
      <c r="AL62" s="33">
        <v>0</v>
      </c>
      <c r="AM62" s="33">
        <v>0</v>
      </c>
      <c r="AN62" s="33">
        <v>0</v>
      </c>
      <c r="AO62" s="33">
        <v>43</v>
      </c>
      <c r="AP62" s="33">
        <v>177</v>
      </c>
      <c r="AQ62" s="33">
        <v>1</v>
      </c>
      <c r="AR62" s="33">
        <v>53</v>
      </c>
      <c r="AS62" s="33">
        <v>476</v>
      </c>
      <c r="AT62" s="33">
        <v>2</v>
      </c>
      <c r="AU62" s="33">
        <v>107.5</v>
      </c>
      <c r="AV62" s="33"/>
      <c r="AW62" s="33">
        <v>58</v>
      </c>
      <c r="AX62" s="33" t="s">
        <v>1890</v>
      </c>
      <c r="AY62" s="33" t="s">
        <v>1072</v>
      </c>
      <c r="AZ62" s="33" t="s">
        <v>804</v>
      </c>
      <c r="BA62" s="33" t="s">
        <v>1439</v>
      </c>
      <c r="BB62" s="33">
        <v>0</v>
      </c>
      <c r="BC62" s="33">
        <v>0</v>
      </c>
      <c r="BD62" s="33">
        <v>0</v>
      </c>
      <c r="BE62" s="33">
        <v>0</v>
      </c>
      <c r="BF62" s="33">
        <v>0</v>
      </c>
      <c r="BG62" s="33">
        <v>0</v>
      </c>
      <c r="BH62" s="33">
        <v>0</v>
      </c>
      <c r="BI62" s="33">
        <v>0</v>
      </c>
      <c r="BJ62" s="33">
        <v>0</v>
      </c>
      <c r="BK62" s="33">
        <v>0</v>
      </c>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t="str">
        <f t="shared" si="0"/>
        <v>Joique Bell</v>
      </c>
      <c r="CT62" s="33">
        <v>60</v>
      </c>
      <c r="CU62" s="33" t="s">
        <v>1879</v>
      </c>
      <c r="CV62" s="33">
        <v>9</v>
      </c>
      <c r="CW62" s="33" t="s">
        <v>1891</v>
      </c>
      <c r="CX62" s="33">
        <v>9</v>
      </c>
      <c r="CY62" s="33"/>
      <c r="CZ62" s="33" t="str">
        <f t="shared" si="1"/>
        <v>Toby Gerhart</v>
      </c>
      <c r="DA62" s="33">
        <v>60</v>
      </c>
      <c r="DB62" s="33" t="s">
        <v>1841</v>
      </c>
      <c r="DC62" s="33">
        <v>11</v>
      </c>
      <c r="DD62" s="33" t="s">
        <v>1878</v>
      </c>
      <c r="DE62" s="33">
        <v>10</v>
      </c>
    </row>
    <row r="63" spans="1:109" ht="12.75" customHeight="1">
      <c r="A63" s="33">
        <v>59</v>
      </c>
      <c r="B63" s="33" t="s">
        <v>1892</v>
      </c>
      <c r="C63" s="33" t="s">
        <v>1072</v>
      </c>
      <c r="D63" s="33" t="s">
        <v>804</v>
      </c>
      <c r="E63" s="33" t="s">
        <v>1439</v>
      </c>
      <c r="F63" s="33">
        <v>0</v>
      </c>
      <c r="G63" s="33">
        <v>0</v>
      </c>
      <c r="H63" s="33">
        <v>0</v>
      </c>
      <c r="I63" s="33">
        <v>0</v>
      </c>
      <c r="J63" s="33">
        <v>0</v>
      </c>
      <c r="K63" s="33">
        <v>0</v>
      </c>
      <c r="L63" s="33">
        <v>0</v>
      </c>
      <c r="M63" s="33">
        <v>0</v>
      </c>
      <c r="N63" s="33">
        <v>0</v>
      </c>
      <c r="O63" s="33">
        <v>0</v>
      </c>
      <c r="P63" s="33"/>
      <c r="Q63" s="33">
        <v>59</v>
      </c>
      <c r="R63" s="33" t="s">
        <v>1893</v>
      </c>
      <c r="S63" s="33" t="s">
        <v>1072</v>
      </c>
      <c r="T63" s="33" t="s">
        <v>804</v>
      </c>
      <c r="U63" s="33" t="s">
        <v>1439</v>
      </c>
      <c r="V63" s="33">
        <v>0</v>
      </c>
      <c r="W63" s="33">
        <v>0</v>
      </c>
      <c r="X63" s="33">
        <v>0</v>
      </c>
      <c r="Y63" s="33">
        <v>60</v>
      </c>
      <c r="Z63" s="33">
        <v>250</v>
      </c>
      <c r="AA63" s="33">
        <v>3</v>
      </c>
      <c r="AB63" s="33">
        <v>13</v>
      </c>
      <c r="AC63" s="33">
        <v>79</v>
      </c>
      <c r="AD63" s="33">
        <v>0</v>
      </c>
      <c r="AE63" s="33">
        <v>57</v>
      </c>
      <c r="AF63" s="33"/>
      <c r="AG63" s="33">
        <v>59</v>
      </c>
      <c r="AH63" s="33" t="s">
        <v>1894</v>
      </c>
      <c r="AI63" s="33" t="s">
        <v>1072</v>
      </c>
      <c r="AJ63" s="33" t="s">
        <v>804</v>
      </c>
      <c r="AK63" s="33" t="s">
        <v>1439</v>
      </c>
      <c r="AL63" s="33">
        <v>0</v>
      </c>
      <c r="AM63" s="33">
        <v>0</v>
      </c>
      <c r="AN63" s="33">
        <v>0</v>
      </c>
      <c r="AO63" s="33">
        <v>3</v>
      </c>
      <c r="AP63" s="33">
        <v>24</v>
      </c>
      <c r="AQ63" s="33">
        <v>0</v>
      </c>
      <c r="AR63" s="33">
        <v>34</v>
      </c>
      <c r="AS63" s="33">
        <v>563</v>
      </c>
      <c r="AT63" s="33">
        <v>4</v>
      </c>
      <c r="AU63" s="33">
        <v>99</v>
      </c>
      <c r="AV63" s="33"/>
      <c r="AW63" s="33">
        <v>59</v>
      </c>
      <c r="AX63" s="33" t="s">
        <v>1895</v>
      </c>
      <c r="AY63" s="33" t="s">
        <v>1072</v>
      </c>
      <c r="AZ63" s="33" t="s">
        <v>804</v>
      </c>
      <c r="BA63" s="33" t="s">
        <v>1439</v>
      </c>
      <c r="BB63" s="33">
        <v>0</v>
      </c>
      <c r="BC63" s="33">
        <v>0</v>
      </c>
      <c r="BD63" s="33">
        <v>0</v>
      </c>
      <c r="BE63" s="33">
        <v>0</v>
      </c>
      <c r="BF63" s="33">
        <v>0</v>
      </c>
      <c r="BG63" s="33">
        <v>0</v>
      </c>
      <c r="BH63" s="33">
        <v>0</v>
      </c>
      <c r="BI63" s="33">
        <v>0</v>
      </c>
      <c r="BJ63" s="33">
        <v>0</v>
      </c>
      <c r="BK63" s="33">
        <v>0</v>
      </c>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t="str">
        <f t="shared" si="0"/>
        <v>Cordarrelle Patterson</v>
      </c>
      <c r="CT63" s="33">
        <v>61</v>
      </c>
      <c r="CU63" s="33" t="s">
        <v>1896</v>
      </c>
      <c r="CV63" s="33">
        <v>10</v>
      </c>
      <c r="CW63" s="33" t="s">
        <v>1897</v>
      </c>
      <c r="CX63" s="33">
        <v>8</v>
      </c>
      <c r="CY63" s="33"/>
      <c r="CZ63" s="33" t="str">
        <f t="shared" si="1"/>
        <v>Percy Harvin</v>
      </c>
      <c r="DA63" s="33">
        <v>61</v>
      </c>
      <c r="DB63" s="33" t="s">
        <v>1822</v>
      </c>
      <c r="DC63" s="33">
        <v>4</v>
      </c>
      <c r="DD63" s="33" t="s">
        <v>1885</v>
      </c>
      <c r="DE63" s="33">
        <v>9</v>
      </c>
    </row>
    <row r="64" spans="1:109" ht="12.75" customHeight="1">
      <c r="A64" s="33">
        <v>60</v>
      </c>
      <c r="B64" s="33" t="s">
        <v>1898</v>
      </c>
      <c r="C64" s="33" t="s">
        <v>1072</v>
      </c>
      <c r="D64" s="33" t="s">
        <v>804</v>
      </c>
      <c r="E64" s="33" t="s">
        <v>1439</v>
      </c>
      <c r="F64" s="33">
        <v>0</v>
      </c>
      <c r="G64" s="33">
        <v>0</v>
      </c>
      <c r="H64" s="33">
        <v>0</v>
      </c>
      <c r="I64" s="33">
        <v>0</v>
      </c>
      <c r="J64" s="33">
        <v>0</v>
      </c>
      <c r="K64" s="33">
        <v>0</v>
      </c>
      <c r="L64" s="33">
        <v>0</v>
      </c>
      <c r="M64" s="33">
        <v>0</v>
      </c>
      <c r="N64" s="33">
        <v>0</v>
      </c>
      <c r="O64" s="33">
        <v>0</v>
      </c>
      <c r="P64" s="33"/>
      <c r="Q64" s="33">
        <v>60</v>
      </c>
      <c r="R64" s="33" t="s">
        <v>1899</v>
      </c>
      <c r="S64" s="33" t="s">
        <v>1072</v>
      </c>
      <c r="T64" s="33" t="s">
        <v>804</v>
      </c>
      <c r="U64" s="33" t="s">
        <v>1439</v>
      </c>
      <c r="V64" s="33">
        <v>0</v>
      </c>
      <c r="W64" s="33">
        <v>0</v>
      </c>
      <c r="X64" s="33">
        <v>0</v>
      </c>
      <c r="Y64" s="33">
        <v>92</v>
      </c>
      <c r="Z64" s="33">
        <v>330</v>
      </c>
      <c r="AA64" s="33">
        <v>2</v>
      </c>
      <c r="AB64" s="33">
        <v>29</v>
      </c>
      <c r="AC64" s="33">
        <v>224</v>
      </c>
      <c r="AD64" s="33">
        <v>1</v>
      </c>
      <c r="AE64" s="33">
        <v>87.5</v>
      </c>
      <c r="AF64" s="33"/>
      <c r="AG64" s="33">
        <v>60</v>
      </c>
      <c r="AH64" s="33" t="s">
        <v>1900</v>
      </c>
      <c r="AI64" s="33" t="s">
        <v>1072</v>
      </c>
      <c r="AJ64" s="33" t="s">
        <v>804</v>
      </c>
      <c r="AK64" s="33" t="s">
        <v>1439</v>
      </c>
      <c r="AL64" s="33">
        <v>0</v>
      </c>
      <c r="AM64" s="33">
        <v>0</v>
      </c>
      <c r="AN64" s="33">
        <v>0</v>
      </c>
      <c r="AO64" s="33">
        <v>0</v>
      </c>
      <c r="AP64" s="33">
        <v>0</v>
      </c>
      <c r="AQ64" s="33">
        <v>0</v>
      </c>
      <c r="AR64" s="33">
        <v>43</v>
      </c>
      <c r="AS64" s="33">
        <v>671</v>
      </c>
      <c r="AT64" s="33">
        <v>3</v>
      </c>
      <c r="AU64" s="33">
        <v>106.5</v>
      </c>
      <c r="AV64" s="33"/>
      <c r="AW64" s="33">
        <v>60</v>
      </c>
      <c r="AX64" s="33" t="s">
        <v>1901</v>
      </c>
      <c r="AY64" s="33" t="s">
        <v>1072</v>
      </c>
      <c r="AZ64" s="33" t="s">
        <v>804</v>
      </c>
      <c r="BA64" s="33" t="s">
        <v>1439</v>
      </c>
      <c r="BB64" s="33">
        <v>0</v>
      </c>
      <c r="BC64" s="33">
        <v>0</v>
      </c>
      <c r="BD64" s="33">
        <v>0</v>
      </c>
      <c r="BE64" s="33">
        <v>0</v>
      </c>
      <c r="BF64" s="33">
        <v>0</v>
      </c>
      <c r="BG64" s="33">
        <v>0</v>
      </c>
      <c r="BH64" s="33">
        <v>0</v>
      </c>
      <c r="BI64" s="33">
        <v>0</v>
      </c>
      <c r="BJ64" s="33">
        <v>0</v>
      </c>
      <c r="BK64" s="33">
        <v>0</v>
      </c>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t="str">
        <f t="shared" si="0"/>
        <v>Robert Griffin III</v>
      </c>
      <c r="CT64" s="33">
        <v>62</v>
      </c>
      <c r="CU64" s="33" t="s">
        <v>1808</v>
      </c>
      <c r="CV64" s="33">
        <v>10</v>
      </c>
      <c r="CW64" s="33" t="s">
        <v>1809</v>
      </c>
      <c r="CX64" s="33">
        <v>8</v>
      </c>
      <c r="CY64" s="33"/>
      <c r="CZ64" s="33" t="str">
        <f t="shared" si="1"/>
        <v>Colin Kaepernick</v>
      </c>
      <c r="DA64" s="33">
        <v>62</v>
      </c>
      <c r="DB64" s="33" t="s">
        <v>1902</v>
      </c>
      <c r="DC64" s="33">
        <v>8</v>
      </c>
      <c r="DD64" s="33" t="s">
        <v>1903</v>
      </c>
      <c r="DE64" s="33">
        <v>9</v>
      </c>
    </row>
    <row r="65" spans="1:109" ht="12.75" customHeight="1">
      <c r="A65" s="33">
        <v>61</v>
      </c>
      <c r="B65" s="33" t="s">
        <v>1904</v>
      </c>
      <c r="C65" s="33" t="s">
        <v>1072</v>
      </c>
      <c r="D65" s="33" t="s">
        <v>804</v>
      </c>
      <c r="E65" s="33" t="s">
        <v>1439</v>
      </c>
      <c r="F65" s="33">
        <v>0</v>
      </c>
      <c r="G65" s="33">
        <v>0</v>
      </c>
      <c r="H65" s="33">
        <v>0</v>
      </c>
      <c r="I65" s="33">
        <v>0</v>
      </c>
      <c r="J65" s="33">
        <v>0</v>
      </c>
      <c r="K65" s="33">
        <v>0</v>
      </c>
      <c r="L65" s="33">
        <v>0</v>
      </c>
      <c r="M65" s="33">
        <v>0</v>
      </c>
      <c r="N65" s="33">
        <v>0</v>
      </c>
      <c r="O65" s="33">
        <v>0</v>
      </c>
      <c r="P65" s="33"/>
      <c r="Q65" s="33">
        <v>61</v>
      </c>
      <c r="R65" s="33" t="s">
        <v>1905</v>
      </c>
      <c r="S65" s="33" t="s">
        <v>1072</v>
      </c>
      <c r="T65" s="33" t="s">
        <v>804</v>
      </c>
      <c r="U65" s="33" t="s">
        <v>1439</v>
      </c>
      <c r="V65" s="33">
        <v>0</v>
      </c>
      <c r="W65" s="33">
        <v>0</v>
      </c>
      <c r="X65" s="33">
        <v>0</v>
      </c>
      <c r="Y65" s="33">
        <v>89</v>
      </c>
      <c r="Z65" s="33">
        <v>403</v>
      </c>
      <c r="AA65" s="33">
        <v>1</v>
      </c>
      <c r="AB65" s="33">
        <v>13</v>
      </c>
      <c r="AC65" s="33">
        <v>106</v>
      </c>
      <c r="AD65" s="33">
        <v>1</v>
      </c>
      <c r="AE65" s="33">
        <v>68</v>
      </c>
      <c r="AF65" s="33"/>
      <c r="AG65" s="33">
        <v>61</v>
      </c>
      <c r="AH65" s="33" t="s">
        <v>1906</v>
      </c>
      <c r="AI65" s="33" t="s">
        <v>1072</v>
      </c>
      <c r="AJ65" s="33" t="s">
        <v>804</v>
      </c>
      <c r="AK65" s="33" t="s">
        <v>1439</v>
      </c>
      <c r="AL65" s="33">
        <v>0</v>
      </c>
      <c r="AM65" s="33">
        <v>0</v>
      </c>
      <c r="AN65" s="33">
        <v>0</v>
      </c>
      <c r="AO65" s="33">
        <v>2</v>
      </c>
      <c r="AP65" s="33">
        <v>17</v>
      </c>
      <c r="AQ65" s="33">
        <v>0</v>
      </c>
      <c r="AR65" s="33">
        <v>44</v>
      </c>
      <c r="AS65" s="33">
        <v>617</v>
      </c>
      <c r="AT65" s="33">
        <v>3</v>
      </c>
      <c r="AU65" s="33">
        <v>102</v>
      </c>
      <c r="AV65" s="33"/>
      <c r="AW65" s="33">
        <v>61</v>
      </c>
      <c r="AX65" s="33" t="s">
        <v>1907</v>
      </c>
      <c r="AY65" s="33" t="s">
        <v>1072</v>
      </c>
      <c r="AZ65" s="33" t="s">
        <v>804</v>
      </c>
      <c r="BA65" s="33" t="s">
        <v>1439</v>
      </c>
      <c r="BB65" s="33">
        <v>0</v>
      </c>
      <c r="BC65" s="33">
        <v>0</v>
      </c>
      <c r="BD65" s="33">
        <v>0</v>
      </c>
      <c r="BE65" s="33">
        <v>0</v>
      </c>
      <c r="BF65" s="33">
        <v>0</v>
      </c>
      <c r="BG65" s="33">
        <v>0</v>
      </c>
      <c r="BH65" s="33">
        <v>0</v>
      </c>
      <c r="BI65" s="33">
        <v>0</v>
      </c>
      <c r="BJ65" s="33">
        <v>0</v>
      </c>
      <c r="BK65" s="33">
        <v>0</v>
      </c>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t="str">
        <f t="shared" si="0"/>
        <v>Nick Foles</v>
      </c>
      <c r="CT65" s="33">
        <v>63</v>
      </c>
      <c r="CU65" s="33" t="s">
        <v>1866</v>
      </c>
      <c r="CV65" s="33">
        <v>7</v>
      </c>
      <c r="CW65" s="33" t="s">
        <v>1867</v>
      </c>
      <c r="CX65" s="33">
        <v>8</v>
      </c>
      <c r="CY65" s="33"/>
      <c r="CZ65" s="33" t="str">
        <f t="shared" si="1"/>
        <v>Cordarrelle Patterson</v>
      </c>
      <c r="DA65" s="33">
        <v>63</v>
      </c>
      <c r="DB65" s="33" t="s">
        <v>1896</v>
      </c>
      <c r="DC65" s="33">
        <v>10</v>
      </c>
      <c r="DD65" s="33" t="s">
        <v>1897</v>
      </c>
      <c r="DE65" s="33">
        <v>9</v>
      </c>
    </row>
    <row r="66" spans="1:109" ht="12.75" customHeight="1">
      <c r="A66" s="33">
        <v>62</v>
      </c>
      <c r="B66" s="33" t="s">
        <v>1908</v>
      </c>
      <c r="C66" s="33" t="s">
        <v>1072</v>
      </c>
      <c r="D66" s="33" t="s">
        <v>804</v>
      </c>
      <c r="E66" s="33" t="s">
        <v>1439</v>
      </c>
      <c r="F66" s="33">
        <v>0</v>
      </c>
      <c r="G66" s="33">
        <v>0</v>
      </c>
      <c r="H66" s="33">
        <v>0</v>
      </c>
      <c r="I66" s="33">
        <v>0</v>
      </c>
      <c r="J66" s="33">
        <v>0</v>
      </c>
      <c r="K66" s="33">
        <v>0</v>
      </c>
      <c r="L66" s="33">
        <v>0</v>
      </c>
      <c r="M66" s="33">
        <v>0</v>
      </c>
      <c r="N66" s="33">
        <v>0</v>
      </c>
      <c r="O66" s="33">
        <v>0</v>
      </c>
      <c r="P66" s="33"/>
      <c r="Q66" s="33">
        <v>62</v>
      </c>
      <c r="R66" s="33" t="s">
        <v>1909</v>
      </c>
      <c r="S66" s="33" t="s">
        <v>1072</v>
      </c>
      <c r="T66" s="33" t="s">
        <v>804</v>
      </c>
      <c r="U66" s="33" t="s">
        <v>1439</v>
      </c>
      <c r="V66" s="33">
        <v>0</v>
      </c>
      <c r="W66" s="33">
        <v>0</v>
      </c>
      <c r="X66" s="33">
        <v>0</v>
      </c>
      <c r="Y66" s="33">
        <v>67</v>
      </c>
      <c r="Z66" s="33">
        <v>265</v>
      </c>
      <c r="AA66" s="33">
        <v>2</v>
      </c>
      <c r="AB66" s="33">
        <v>18</v>
      </c>
      <c r="AC66" s="33">
        <v>149</v>
      </c>
      <c r="AD66" s="33">
        <v>1</v>
      </c>
      <c r="AE66" s="33">
        <v>67</v>
      </c>
      <c r="AF66" s="33"/>
      <c r="AG66" s="33">
        <v>62</v>
      </c>
      <c r="AH66" s="33" t="s">
        <v>1910</v>
      </c>
      <c r="AI66" s="33" t="s">
        <v>1072</v>
      </c>
      <c r="AJ66" s="33" t="s">
        <v>804</v>
      </c>
      <c r="AK66" s="33" t="s">
        <v>1439</v>
      </c>
      <c r="AL66" s="33">
        <v>0</v>
      </c>
      <c r="AM66" s="33">
        <v>0</v>
      </c>
      <c r="AN66" s="33">
        <v>0</v>
      </c>
      <c r="AO66" s="33">
        <v>2</v>
      </c>
      <c r="AP66" s="33">
        <v>17</v>
      </c>
      <c r="AQ66" s="33">
        <v>0</v>
      </c>
      <c r="AR66" s="33">
        <v>43</v>
      </c>
      <c r="AS66" s="33">
        <v>597</v>
      </c>
      <c r="AT66" s="33">
        <v>4</v>
      </c>
      <c r="AU66" s="33">
        <v>105.5</v>
      </c>
      <c r="AV66" s="33"/>
      <c r="AW66" s="33">
        <v>62</v>
      </c>
      <c r="AX66" s="33" t="s">
        <v>1911</v>
      </c>
      <c r="AY66" s="33" t="s">
        <v>1072</v>
      </c>
      <c r="AZ66" s="33" t="s">
        <v>804</v>
      </c>
      <c r="BA66" s="33" t="s">
        <v>1439</v>
      </c>
      <c r="BB66" s="33">
        <v>0</v>
      </c>
      <c r="BC66" s="33">
        <v>0</v>
      </c>
      <c r="BD66" s="33">
        <v>0</v>
      </c>
      <c r="BE66" s="33">
        <v>0</v>
      </c>
      <c r="BF66" s="33">
        <v>0</v>
      </c>
      <c r="BG66" s="33">
        <v>0</v>
      </c>
      <c r="BH66" s="33">
        <v>0</v>
      </c>
      <c r="BI66" s="33">
        <v>0</v>
      </c>
      <c r="BJ66" s="33">
        <v>0</v>
      </c>
      <c r="BK66" s="33">
        <v>0</v>
      </c>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t="str">
        <f t="shared" si="0"/>
        <v>Julian Edelman</v>
      </c>
      <c r="CT66" s="33">
        <v>64</v>
      </c>
      <c r="CU66" s="33" t="s">
        <v>1842</v>
      </c>
      <c r="CV66" s="33">
        <v>10</v>
      </c>
      <c r="CW66" s="33" t="s">
        <v>1912</v>
      </c>
      <c r="CX66" s="33">
        <v>7</v>
      </c>
      <c r="CY66" s="33"/>
      <c r="CZ66" s="33" t="str">
        <f t="shared" si="1"/>
        <v>Golden Tate</v>
      </c>
      <c r="DA66" s="33">
        <v>64</v>
      </c>
      <c r="DB66" s="33" t="s">
        <v>1913</v>
      </c>
      <c r="DC66" s="33">
        <v>9</v>
      </c>
      <c r="DD66" s="33" t="s">
        <v>1912</v>
      </c>
      <c r="DE66" s="33">
        <v>8</v>
      </c>
    </row>
    <row r="67" spans="1:109" ht="12.75" customHeight="1">
      <c r="A67" s="33">
        <v>63</v>
      </c>
      <c r="B67" s="33" t="s">
        <v>1914</v>
      </c>
      <c r="C67" s="33" t="s">
        <v>1072</v>
      </c>
      <c r="D67" s="33" t="s">
        <v>804</v>
      </c>
      <c r="E67" s="33" t="s">
        <v>1915</v>
      </c>
      <c r="F67" s="33">
        <v>380</v>
      </c>
      <c r="G67" s="33">
        <v>2</v>
      </c>
      <c r="H67" s="33">
        <v>3</v>
      </c>
      <c r="I67" s="33">
        <v>5</v>
      </c>
      <c r="J67" s="33">
        <v>18</v>
      </c>
      <c r="K67" s="33">
        <v>0</v>
      </c>
      <c r="L67" s="33">
        <v>0</v>
      </c>
      <c r="M67" s="33">
        <v>0</v>
      </c>
      <c r="N67" s="33">
        <v>0</v>
      </c>
      <c r="O67" s="33">
        <v>21.7</v>
      </c>
      <c r="P67" s="33"/>
      <c r="Q67" s="33">
        <v>63</v>
      </c>
      <c r="R67" s="33" t="s">
        <v>1916</v>
      </c>
      <c r="S67" s="33" t="s">
        <v>1072</v>
      </c>
      <c r="T67" s="33" t="s">
        <v>804</v>
      </c>
      <c r="U67" s="33" t="s">
        <v>1439</v>
      </c>
      <c r="V67" s="33">
        <v>0</v>
      </c>
      <c r="W67" s="33">
        <v>0</v>
      </c>
      <c r="X67" s="33">
        <v>0</v>
      </c>
      <c r="Y67" s="33">
        <v>62</v>
      </c>
      <c r="Z67" s="33">
        <v>250</v>
      </c>
      <c r="AA67" s="33">
        <v>2</v>
      </c>
      <c r="AB67" s="33">
        <v>2</v>
      </c>
      <c r="AC67" s="33">
        <v>14</v>
      </c>
      <c r="AD67" s="33">
        <v>0</v>
      </c>
      <c r="AE67" s="33">
        <v>39</v>
      </c>
      <c r="AF67" s="33"/>
      <c r="AG67" s="33">
        <v>63</v>
      </c>
      <c r="AH67" s="33" t="s">
        <v>1917</v>
      </c>
      <c r="AI67" s="33" t="s">
        <v>1072</v>
      </c>
      <c r="AJ67" s="33" t="s">
        <v>804</v>
      </c>
      <c r="AK67" s="33" t="s">
        <v>1439</v>
      </c>
      <c r="AL67" s="33">
        <v>0</v>
      </c>
      <c r="AM67" s="33">
        <v>0</v>
      </c>
      <c r="AN67" s="33">
        <v>0</v>
      </c>
      <c r="AO67" s="33">
        <v>3</v>
      </c>
      <c r="AP67" s="33">
        <v>15</v>
      </c>
      <c r="AQ67" s="33">
        <v>0</v>
      </c>
      <c r="AR67" s="33">
        <v>37</v>
      </c>
      <c r="AS67" s="33">
        <v>586</v>
      </c>
      <c r="AT67" s="33">
        <v>4</v>
      </c>
      <c r="AU67" s="33">
        <v>101.5</v>
      </c>
      <c r="AV67" s="33"/>
      <c r="AW67" s="33">
        <v>63</v>
      </c>
      <c r="AX67" s="33" t="s">
        <v>1918</v>
      </c>
      <c r="AY67" s="33" t="s">
        <v>1072</v>
      </c>
      <c r="AZ67" s="33" t="s">
        <v>804</v>
      </c>
      <c r="BA67" s="33" t="s">
        <v>1439</v>
      </c>
      <c r="BB67" s="33">
        <v>0</v>
      </c>
      <c r="BC67" s="33">
        <v>0</v>
      </c>
      <c r="BD67" s="33">
        <v>0</v>
      </c>
      <c r="BE67" s="33">
        <v>0</v>
      </c>
      <c r="BF67" s="33">
        <v>0</v>
      </c>
      <c r="BG67" s="33">
        <v>0</v>
      </c>
      <c r="BH67" s="33">
        <v>0</v>
      </c>
      <c r="BI67" s="33">
        <v>0</v>
      </c>
      <c r="BJ67" s="33">
        <v>0</v>
      </c>
      <c r="BK67" s="33">
        <v>0</v>
      </c>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t="str">
        <f t="shared" ref="CS67:CS130" si="2">IF(ISERROR(FIND("D/ST",CU67)),IF(ISERROR(FIND("*",CU67)),LEFT(CU67,(FIND(",",CU67)-1)),LEFT(CU67,(FIND("*",CU67)-1))),LEFT(CU67,(FIND("D/ST",CU67)-2)))</f>
        <v>Jeremy Maclin</v>
      </c>
      <c r="CT67" s="33">
        <v>65</v>
      </c>
      <c r="CU67" s="33" t="s">
        <v>1919</v>
      </c>
      <c r="CV67" s="33">
        <v>7</v>
      </c>
      <c r="CW67" s="33" t="s">
        <v>1920</v>
      </c>
      <c r="CX67" s="33">
        <v>7</v>
      </c>
      <c r="CY67" s="33"/>
      <c r="CZ67" s="33" t="str">
        <f t="shared" ref="CZ67:CZ130" si="3">IF(ISERROR(FIND("D/ST",DB67)),IF(ISERROR(FIND("*",DB67)),LEFT(DB67,(FIND(",",DB67)-1)),LEFT(DB67,(FIND("*",DB67)-1))),LEFT(DB67,(FIND("D/ST",DB67)-2)))</f>
        <v>Rashad Jennings</v>
      </c>
      <c r="DA67" s="33">
        <v>65</v>
      </c>
      <c r="DB67" s="33" t="s">
        <v>1857</v>
      </c>
      <c r="DC67" s="33">
        <v>8</v>
      </c>
      <c r="DD67" s="33" t="s">
        <v>1891</v>
      </c>
      <c r="DE67" s="33">
        <v>8</v>
      </c>
    </row>
    <row r="68" spans="1:109" ht="12.75" customHeight="1">
      <c r="A68" s="33">
        <v>64</v>
      </c>
      <c r="B68" s="33" t="s">
        <v>1921</v>
      </c>
      <c r="C68" s="33" t="s">
        <v>1072</v>
      </c>
      <c r="D68" s="33" t="s">
        <v>804</v>
      </c>
      <c r="E68" s="33" t="s">
        <v>1439</v>
      </c>
      <c r="F68" s="33">
        <v>0</v>
      </c>
      <c r="G68" s="33">
        <v>0</v>
      </c>
      <c r="H68" s="33">
        <v>0</v>
      </c>
      <c r="I68" s="33">
        <v>0</v>
      </c>
      <c r="J68" s="33">
        <v>0</v>
      </c>
      <c r="K68" s="33">
        <v>0</v>
      </c>
      <c r="L68" s="33">
        <v>0</v>
      </c>
      <c r="M68" s="33">
        <v>0</v>
      </c>
      <c r="N68" s="33">
        <v>0</v>
      </c>
      <c r="O68" s="33">
        <v>0</v>
      </c>
      <c r="P68" s="33"/>
      <c r="Q68" s="33">
        <v>64</v>
      </c>
      <c r="R68" s="33" t="s">
        <v>1922</v>
      </c>
      <c r="S68" s="33" t="s">
        <v>1072</v>
      </c>
      <c r="T68" s="33" t="s">
        <v>804</v>
      </c>
      <c r="U68" s="33" t="s">
        <v>1439</v>
      </c>
      <c r="V68" s="33">
        <v>0</v>
      </c>
      <c r="W68" s="33">
        <v>0</v>
      </c>
      <c r="X68" s="33">
        <v>0</v>
      </c>
      <c r="Y68" s="33">
        <v>47</v>
      </c>
      <c r="Z68" s="33">
        <v>208</v>
      </c>
      <c r="AA68" s="33">
        <v>1</v>
      </c>
      <c r="AB68" s="33">
        <v>11</v>
      </c>
      <c r="AC68" s="33">
        <v>70</v>
      </c>
      <c r="AD68" s="33">
        <v>0</v>
      </c>
      <c r="AE68" s="33">
        <v>39</v>
      </c>
      <c r="AF68" s="33"/>
      <c r="AG68" s="33">
        <v>64</v>
      </c>
      <c r="AH68" s="33" t="s">
        <v>1923</v>
      </c>
      <c r="AI68" s="33" t="s">
        <v>1072</v>
      </c>
      <c r="AJ68" s="33" t="s">
        <v>804</v>
      </c>
      <c r="AK68" s="33" t="s">
        <v>1439</v>
      </c>
      <c r="AL68" s="33">
        <v>0</v>
      </c>
      <c r="AM68" s="33">
        <v>0</v>
      </c>
      <c r="AN68" s="33">
        <v>0</v>
      </c>
      <c r="AO68" s="33">
        <v>0</v>
      </c>
      <c r="AP68" s="33">
        <v>0</v>
      </c>
      <c r="AQ68" s="33">
        <v>0</v>
      </c>
      <c r="AR68" s="33">
        <v>59</v>
      </c>
      <c r="AS68" s="33">
        <v>786</v>
      </c>
      <c r="AT68" s="33">
        <v>2</v>
      </c>
      <c r="AU68" s="33">
        <v>119</v>
      </c>
      <c r="AV68" s="33"/>
      <c r="AW68" s="33">
        <v>64</v>
      </c>
      <c r="AX68" s="33" t="s">
        <v>1924</v>
      </c>
      <c r="AY68" s="33" t="s">
        <v>1072</v>
      </c>
      <c r="AZ68" s="33" t="s">
        <v>804</v>
      </c>
      <c r="BA68" s="33" t="s">
        <v>1439</v>
      </c>
      <c r="BB68" s="33">
        <v>0</v>
      </c>
      <c r="BC68" s="33">
        <v>0</v>
      </c>
      <c r="BD68" s="33">
        <v>0</v>
      </c>
      <c r="BE68" s="33">
        <v>0</v>
      </c>
      <c r="BF68" s="33">
        <v>0</v>
      </c>
      <c r="BG68" s="33">
        <v>0</v>
      </c>
      <c r="BH68" s="33">
        <v>0</v>
      </c>
      <c r="BI68" s="33">
        <v>0</v>
      </c>
      <c r="BJ68" s="33">
        <v>0</v>
      </c>
      <c r="BK68" s="33">
        <v>0</v>
      </c>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t="str">
        <f t="shared" si="2"/>
        <v>Shane Vereen</v>
      </c>
      <c r="CT68" s="33">
        <v>66</v>
      </c>
      <c r="CU68" s="33" t="s">
        <v>1815</v>
      </c>
      <c r="CV68" s="33">
        <v>10</v>
      </c>
      <c r="CW68" s="33" t="s">
        <v>1925</v>
      </c>
      <c r="CX68" s="33">
        <v>7</v>
      </c>
      <c r="CY68" s="33"/>
      <c r="CZ68" s="33" t="str">
        <f t="shared" si="3"/>
        <v>Russell Wilson</v>
      </c>
      <c r="DA68" s="33">
        <v>66</v>
      </c>
      <c r="DB68" s="33" t="s">
        <v>1926</v>
      </c>
      <c r="DC68" s="33">
        <v>4</v>
      </c>
      <c r="DD68" s="33" t="s">
        <v>1927</v>
      </c>
      <c r="DE68" s="33">
        <v>7</v>
      </c>
    </row>
    <row r="69" spans="1:109" ht="12.75" customHeight="1">
      <c r="A69" s="33">
        <v>65</v>
      </c>
      <c r="B69" s="33" t="s">
        <v>1928</v>
      </c>
      <c r="C69" s="33" t="s">
        <v>1072</v>
      </c>
      <c r="D69" s="33" t="s">
        <v>804</v>
      </c>
      <c r="E69" s="33" t="s">
        <v>1439</v>
      </c>
      <c r="F69" s="33">
        <v>0</v>
      </c>
      <c r="G69" s="33">
        <v>0</v>
      </c>
      <c r="H69" s="33">
        <v>0</v>
      </c>
      <c r="I69" s="33">
        <v>0</v>
      </c>
      <c r="J69" s="33">
        <v>0</v>
      </c>
      <c r="K69" s="33">
        <v>0</v>
      </c>
      <c r="L69" s="33">
        <v>0</v>
      </c>
      <c r="M69" s="33">
        <v>0</v>
      </c>
      <c r="N69" s="33">
        <v>0</v>
      </c>
      <c r="O69" s="33">
        <v>0</v>
      </c>
      <c r="P69" s="33"/>
      <c r="Q69" s="33">
        <v>65</v>
      </c>
      <c r="R69" s="33" t="s">
        <v>1929</v>
      </c>
      <c r="S69" s="33" t="s">
        <v>1072</v>
      </c>
      <c r="T69" s="33" t="s">
        <v>804</v>
      </c>
      <c r="U69" s="33" t="s">
        <v>1439</v>
      </c>
      <c r="V69" s="33">
        <v>0</v>
      </c>
      <c r="W69" s="33">
        <v>0</v>
      </c>
      <c r="X69" s="33">
        <v>0</v>
      </c>
      <c r="Y69" s="33">
        <v>80</v>
      </c>
      <c r="Z69" s="33">
        <v>328</v>
      </c>
      <c r="AA69" s="33">
        <v>2</v>
      </c>
      <c r="AB69" s="33">
        <v>7</v>
      </c>
      <c r="AC69" s="33">
        <v>43</v>
      </c>
      <c r="AD69" s="33">
        <v>0</v>
      </c>
      <c r="AE69" s="33">
        <v>51</v>
      </c>
      <c r="AF69" s="33"/>
      <c r="AG69" s="33">
        <v>65</v>
      </c>
      <c r="AH69" s="33" t="s">
        <v>1930</v>
      </c>
      <c r="AI69" s="33" t="s">
        <v>1072</v>
      </c>
      <c r="AJ69" s="33" t="s">
        <v>804</v>
      </c>
      <c r="AK69" s="33" t="s">
        <v>1439</v>
      </c>
      <c r="AL69" s="33">
        <v>0</v>
      </c>
      <c r="AM69" s="33">
        <v>0</v>
      </c>
      <c r="AN69" s="33">
        <v>0</v>
      </c>
      <c r="AO69" s="33">
        <v>0</v>
      </c>
      <c r="AP69" s="33">
        <v>0</v>
      </c>
      <c r="AQ69" s="33">
        <v>0</v>
      </c>
      <c r="AR69" s="33">
        <v>43</v>
      </c>
      <c r="AS69" s="33">
        <v>612</v>
      </c>
      <c r="AT69" s="33">
        <v>5</v>
      </c>
      <c r="AU69" s="33">
        <v>111.5</v>
      </c>
      <c r="AV69" s="33"/>
      <c r="AW69" s="33">
        <v>65</v>
      </c>
      <c r="AX69" s="33" t="s">
        <v>1931</v>
      </c>
      <c r="AY69" s="33" t="s">
        <v>1072</v>
      </c>
      <c r="AZ69" s="33" t="s">
        <v>804</v>
      </c>
      <c r="BA69" s="33" t="s">
        <v>1439</v>
      </c>
      <c r="BB69" s="33">
        <v>0</v>
      </c>
      <c r="BC69" s="33">
        <v>0</v>
      </c>
      <c r="BD69" s="33">
        <v>0</v>
      </c>
      <c r="BE69" s="33">
        <v>0</v>
      </c>
      <c r="BF69" s="33">
        <v>0</v>
      </c>
      <c r="BG69" s="33">
        <v>0</v>
      </c>
      <c r="BH69" s="33">
        <v>0</v>
      </c>
      <c r="BI69" s="33">
        <v>0</v>
      </c>
      <c r="BJ69" s="33">
        <v>0</v>
      </c>
      <c r="BK69" s="33">
        <v>0</v>
      </c>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t="str">
        <f t="shared" si="2"/>
        <v>T.Y. Hilton</v>
      </c>
      <c r="CT69" s="33">
        <v>67</v>
      </c>
      <c r="CU69" s="33" t="s">
        <v>1932</v>
      </c>
      <c r="CV69" s="33">
        <v>10</v>
      </c>
      <c r="CW69" s="33" t="s">
        <v>1933</v>
      </c>
      <c r="CX69" s="33">
        <v>7</v>
      </c>
      <c r="CY69" s="33"/>
      <c r="CZ69" s="33" t="str">
        <f t="shared" si="3"/>
        <v>T.Y. Hilton</v>
      </c>
      <c r="DA69" s="33">
        <v>67</v>
      </c>
      <c r="DB69" s="33" t="s">
        <v>1932</v>
      </c>
      <c r="DC69" s="33">
        <v>10</v>
      </c>
      <c r="DD69" s="33" t="s">
        <v>1920</v>
      </c>
      <c r="DE69" s="33">
        <v>7</v>
      </c>
    </row>
    <row r="70" spans="1:109" ht="12.75" customHeight="1">
      <c r="A70" s="33">
        <v>66</v>
      </c>
      <c r="B70" s="33" t="s">
        <v>1934</v>
      </c>
      <c r="C70" s="33" t="s">
        <v>1072</v>
      </c>
      <c r="D70" s="33" t="s">
        <v>804</v>
      </c>
      <c r="E70" s="208">
        <v>41704</v>
      </c>
      <c r="F70" s="33">
        <v>28</v>
      </c>
      <c r="G70" s="33">
        <v>0</v>
      </c>
      <c r="H70" s="33">
        <v>0</v>
      </c>
      <c r="I70" s="33">
        <v>3</v>
      </c>
      <c r="J70" s="33">
        <v>-2</v>
      </c>
      <c r="K70" s="33">
        <v>0</v>
      </c>
      <c r="L70" s="33">
        <v>0</v>
      </c>
      <c r="M70" s="33">
        <v>0</v>
      </c>
      <c r="N70" s="33">
        <v>0</v>
      </c>
      <c r="O70" s="33">
        <v>1</v>
      </c>
      <c r="P70" s="33"/>
      <c r="Q70" s="33">
        <v>66</v>
      </c>
      <c r="R70" s="33" t="s">
        <v>1889</v>
      </c>
      <c r="S70" s="33" t="s">
        <v>1072</v>
      </c>
      <c r="T70" s="33" t="s">
        <v>804</v>
      </c>
      <c r="U70" s="33" t="s">
        <v>1439</v>
      </c>
      <c r="V70" s="33">
        <v>0</v>
      </c>
      <c r="W70" s="33">
        <v>0</v>
      </c>
      <c r="X70" s="33">
        <v>0</v>
      </c>
      <c r="Y70" s="33">
        <v>43</v>
      </c>
      <c r="Z70" s="33">
        <v>177</v>
      </c>
      <c r="AA70" s="33">
        <v>1</v>
      </c>
      <c r="AB70" s="33">
        <v>53</v>
      </c>
      <c r="AC70" s="33">
        <v>476</v>
      </c>
      <c r="AD70" s="33">
        <v>2</v>
      </c>
      <c r="AE70" s="33">
        <v>107.5</v>
      </c>
      <c r="AF70" s="33"/>
      <c r="AG70" s="33">
        <v>66</v>
      </c>
      <c r="AH70" s="33" t="s">
        <v>1935</v>
      </c>
      <c r="AI70" s="33" t="s">
        <v>1072</v>
      </c>
      <c r="AJ70" s="33" t="s">
        <v>804</v>
      </c>
      <c r="AK70" s="33" t="s">
        <v>1439</v>
      </c>
      <c r="AL70" s="33">
        <v>0</v>
      </c>
      <c r="AM70" s="33">
        <v>0</v>
      </c>
      <c r="AN70" s="33">
        <v>0</v>
      </c>
      <c r="AO70" s="33">
        <v>0</v>
      </c>
      <c r="AP70" s="33">
        <v>0</v>
      </c>
      <c r="AQ70" s="33">
        <v>0</v>
      </c>
      <c r="AR70" s="33">
        <v>59</v>
      </c>
      <c r="AS70" s="33">
        <v>699</v>
      </c>
      <c r="AT70" s="33">
        <v>3</v>
      </c>
      <c r="AU70" s="33">
        <v>117</v>
      </c>
      <c r="AV70" s="33"/>
      <c r="AW70" s="33">
        <v>66</v>
      </c>
      <c r="AX70" s="33" t="s">
        <v>1936</v>
      </c>
      <c r="AY70" s="33" t="s">
        <v>1072</v>
      </c>
      <c r="AZ70" s="33" t="s">
        <v>804</v>
      </c>
      <c r="BA70" s="33" t="s">
        <v>1439</v>
      </c>
      <c r="BB70" s="33">
        <v>0</v>
      </c>
      <c r="BC70" s="33">
        <v>0</v>
      </c>
      <c r="BD70" s="33">
        <v>0</v>
      </c>
      <c r="BE70" s="33">
        <v>0</v>
      </c>
      <c r="BF70" s="33">
        <v>0</v>
      </c>
      <c r="BG70" s="33">
        <v>0</v>
      </c>
      <c r="BH70" s="33">
        <v>0</v>
      </c>
      <c r="BI70" s="33">
        <v>0</v>
      </c>
      <c r="BJ70" s="33">
        <v>0</v>
      </c>
      <c r="BK70" s="33">
        <v>0</v>
      </c>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t="str">
        <f t="shared" si="2"/>
        <v>Stevan Ridley</v>
      </c>
      <c r="CT70" s="33">
        <v>68</v>
      </c>
      <c r="CU70" s="33" t="s">
        <v>1937</v>
      </c>
      <c r="CV70" s="33">
        <v>10</v>
      </c>
      <c r="CW70" s="33" t="s">
        <v>1938</v>
      </c>
      <c r="CX70" s="33">
        <v>7</v>
      </c>
      <c r="CY70" s="33"/>
      <c r="CZ70" s="33" t="str">
        <f t="shared" si="3"/>
        <v>Jordan Cameron</v>
      </c>
      <c r="DA70" s="33">
        <v>68</v>
      </c>
      <c r="DB70" s="33" t="s">
        <v>1939</v>
      </c>
      <c r="DC70" s="33">
        <v>4</v>
      </c>
      <c r="DD70" s="33" t="s">
        <v>587</v>
      </c>
      <c r="DE70" s="33">
        <v>6</v>
      </c>
    </row>
    <row r="71" spans="1:109" ht="12.75" customHeight="1">
      <c r="A71" s="33">
        <v>67</v>
      </c>
      <c r="B71" s="33" t="s">
        <v>1940</v>
      </c>
      <c r="C71" s="33" t="s">
        <v>1072</v>
      </c>
      <c r="D71" s="33" t="s">
        <v>804</v>
      </c>
      <c r="E71" s="33" t="s">
        <v>1439</v>
      </c>
      <c r="F71" s="33">
        <v>0</v>
      </c>
      <c r="G71" s="33">
        <v>0</v>
      </c>
      <c r="H71" s="33">
        <v>0</v>
      </c>
      <c r="I71" s="33">
        <v>0</v>
      </c>
      <c r="J71" s="33">
        <v>0</v>
      </c>
      <c r="K71" s="33">
        <v>0</v>
      </c>
      <c r="L71" s="33">
        <v>0</v>
      </c>
      <c r="M71" s="33">
        <v>0</v>
      </c>
      <c r="N71" s="33">
        <v>0</v>
      </c>
      <c r="O71" s="33">
        <v>0</v>
      </c>
      <c r="P71" s="33"/>
      <c r="Q71" s="33">
        <v>67</v>
      </c>
      <c r="R71" s="33" t="s">
        <v>1941</v>
      </c>
      <c r="S71" s="33" t="s">
        <v>1072</v>
      </c>
      <c r="T71" s="33" t="s">
        <v>804</v>
      </c>
      <c r="U71" s="33" t="s">
        <v>1439</v>
      </c>
      <c r="V71" s="33">
        <v>0</v>
      </c>
      <c r="W71" s="33">
        <v>0</v>
      </c>
      <c r="X71" s="33">
        <v>0</v>
      </c>
      <c r="Y71" s="33">
        <v>50</v>
      </c>
      <c r="Z71" s="33">
        <v>218</v>
      </c>
      <c r="AA71" s="33">
        <v>2</v>
      </c>
      <c r="AB71" s="33">
        <v>15</v>
      </c>
      <c r="AC71" s="33">
        <v>88</v>
      </c>
      <c r="AD71" s="33">
        <v>1</v>
      </c>
      <c r="AE71" s="33">
        <v>55.5</v>
      </c>
      <c r="AF71" s="33"/>
      <c r="AG71" s="33">
        <v>67</v>
      </c>
      <c r="AH71" s="33" t="s">
        <v>1942</v>
      </c>
      <c r="AI71" s="33" t="s">
        <v>1072</v>
      </c>
      <c r="AJ71" s="33" t="s">
        <v>804</v>
      </c>
      <c r="AK71" s="33" t="s">
        <v>1439</v>
      </c>
      <c r="AL71" s="33">
        <v>0</v>
      </c>
      <c r="AM71" s="33">
        <v>0</v>
      </c>
      <c r="AN71" s="33">
        <v>0</v>
      </c>
      <c r="AO71" s="33">
        <v>0</v>
      </c>
      <c r="AP71" s="33">
        <v>0</v>
      </c>
      <c r="AQ71" s="33">
        <v>0</v>
      </c>
      <c r="AR71" s="33">
        <v>47</v>
      </c>
      <c r="AS71" s="33">
        <v>691</v>
      </c>
      <c r="AT71" s="33">
        <v>4</v>
      </c>
      <c r="AU71" s="33">
        <v>114.5</v>
      </c>
      <c r="AV71" s="33"/>
      <c r="AW71" s="33">
        <v>67</v>
      </c>
      <c r="AX71" s="33" t="s">
        <v>1943</v>
      </c>
      <c r="AY71" s="33" t="s">
        <v>1072</v>
      </c>
      <c r="AZ71" s="33" t="s">
        <v>804</v>
      </c>
      <c r="BA71" s="33" t="s">
        <v>1439</v>
      </c>
      <c r="BB71" s="33">
        <v>0</v>
      </c>
      <c r="BC71" s="33">
        <v>0</v>
      </c>
      <c r="BD71" s="33">
        <v>0</v>
      </c>
      <c r="BE71" s="33">
        <v>0</v>
      </c>
      <c r="BF71" s="33">
        <v>0</v>
      </c>
      <c r="BG71" s="33">
        <v>0</v>
      </c>
      <c r="BH71" s="33">
        <v>0</v>
      </c>
      <c r="BI71" s="33">
        <v>0</v>
      </c>
      <c r="BJ71" s="33">
        <v>0</v>
      </c>
      <c r="BK71" s="33">
        <v>0</v>
      </c>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t="str">
        <f t="shared" si="2"/>
        <v>Reggie Wayne</v>
      </c>
      <c r="CT71" s="33">
        <v>69</v>
      </c>
      <c r="CU71" s="33" t="s">
        <v>1886</v>
      </c>
      <c r="CV71" s="33">
        <v>10</v>
      </c>
      <c r="CW71" s="33" t="s">
        <v>1944</v>
      </c>
      <c r="CX71" s="33">
        <v>7</v>
      </c>
      <c r="CY71" s="33"/>
      <c r="CZ71" s="33" t="str">
        <f t="shared" si="3"/>
        <v>Michael Floyd</v>
      </c>
      <c r="DA71" s="33">
        <v>69</v>
      </c>
      <c r="DB71" s="33" t="s">
        <v>1884</v>
      </c>
      <c r="DC71" s="33">
        <v>4</v>
      </c>
      <c r="DD71" s="33" t="s">
        <v>1933</v>
      </c>
      <c r="DE71" s="33">
        <v>6</v>
      </c>
    </row>
    <row r="72" spans="1:109" ht="12.75" customHeight="1">
      <c r="A72" s="33">
        <v>68</v>
      </c>
      <c r="B72" s="33" t="s">
        <v>1945</v>
      </c>
      <c r="C72" s="33" t="s">
        <v>1072</v>
      </c>
      <c r="D72" s="33" t="s">
        <v>804</v>
      </c>
      <c r="E72" s="33" t="s">
        <v>1439</v>
      </c>
      <c r="F72" s="33">
        <v>0</v>
      </c>
      <c r="G72" s="33">
        <v>0</v>
      </c>
      <c r="H72" s="33">
        <v>0</v>
      </c>
      <c r="I72" s="33">
        <v>0</v>
      </c>
      <c r="J72" s="33">
        <v>0</v>
      </c>
      <c r="K72" s="33">
        <v>0</v>
      </c>
      <c r="L72" s="33">
        <v>0</v>
      </c>
      <c r="M72" s="33">
        <v>0</v>
      </c>
      <c r="N72" s="33">
        <v>0</v>
      </c>
      <c r="O72" s="33">
        <v>0</v>
      </c>
      <c r="P72" s="33"/>
      <c r="Q72" s="33">
        <v>68</v>
      </c>
      <c r="R72" s="33" t="s">
        <v>1946</v>
      </c>
      <c r="S72" s="33" t="s">
        <v>1072</v>
      </c>
      <c r="T72" s="33" t="s">
        <v>804</v>
      </c>
      <c r="U72" s="33" t="s">
        <v>1439</v>
      </c>
      <c r="V72" s="33">
        <v>0</v>
      </c>
      <c r="W72" s="33">
        <v>0</v>
      </c>
      <c r="X72" s="33">
        <v>0</v>
      </c>
      <c r="Y72" s="33">
        <v>82</v>
      </c>
      <c r="Z72" s="33">
        <v>334</v>
      </c>
      <c r="AA72" s="33">
        <v>2</v>
      </c>
      <c r="AB72" s="33">
        <v>8</v>
      </c>
      <c r="AC72" s="33">
        <v>59</v>
      </c>
      <c r="AD72" s="33">
        <v>0</v>
      </c>
      <c r="AE72" s="33">
        <v>53.5</v>
      </c>
      <c r="AF72" s="33"/>
      <c r="AG72" s="33">
        <v>68</v>
      </c>
      <c r="AH72" s="33" t="s">
        <v>1947</v>
      </c>
      <c r="AI72" s="33" t="s">
        <v>1072</v>
      </c>
      <c r="AJ72" s="33" t="s">
        <v>804</v>
      </c>
      <c r="AK72" s="33" t="s">
        <v>1439</v>
      </c>
      <c r="AL72" s="33">
        <v>0</v>
      </c>
      <c r="AM72" s="33">
        <v>0</v>
      </c>
      <c r="AN72" s="33">
        <v>0</v>
      </c>
      <c r="AO72" s="33">
        <v>2</v>
      </c>
      <c r="AP72" s="33">
        <v>11</v>
      </c>
      <c r="AQ72" s="33">
        <v>0</v>
      </c>
      <c r="AR72" s="33">
        <v>22</v>
      </c>
      <c r="AS72" s="33">
        <v>383</v>
      </c>
      <c r="AT72" s="33">
        <v>3</v>
      </c>
      <c r="AU72" s="33">
        <v>68</v>
      </c>
      <c r="AV72" s="33"/>
      <c r="AW72" s="33">
        <v>68</v>
      </c>
      <c r="AX72" s="33" t="s">
        <v>1948</v>
      </c>
      <c r="AY72" s="33" t="s">
        <v>1072</v>
      </c>
      <c r="AZ72" s="33" t="s">
        <v>804</v>
      </c>
      <c r="BA72" s="33" t="s">
        <v>1439</v>
      </c>
      <c r="BB72" s="33">
        <v>0</v>
      </c>
      <c r="BC72" s="33">
        <v>0</v>
      </c>
      <c r="BD72" s="33">
        <v>0</v>
      </c>
      <c r="BE72" s="33">
        <v>0</v>
      </c>
      <c r="BF72" s="33">
        <v>0</v>
      </c>
      <c r="BG72" s="33">
        <v>0</v>
      </c>
      <c r="BH72" s="33">
        <v>0</v>
      </c>
      <c r="BI72" s="33">
        <v>0</v>
      </c>
      <c r="BJ72" s="33">
        <v>0</v>
      </c>
      <c r="BK72" s="33">
        <v>0</v>
      </c>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t="str">
        <f t="shared" si="2"/>
        <v>Marques Colston</v>
      </c>
      <c r="CT72" s="33">
        <v>70</v>
      </c>
      <c r="CU72" s="33" t="s">
        <v>1949</v>
      </c>
      <c r="CV72" s="33">
        <v>6</v>
      </c>
      <c r="CW72" s="33" t="s">
        <v>1950</v>
      </c>
      <c r="CX72" s="33">
        <v>6</v>
      </c>
      <c r="CY72" s="33"/>
      <c r="CZ72" s="33" t="str">
        <f t="shared" si="3"/>
        <v>Torrey Smith</v>
      </c>
      <c r="DA72" s="33">
        <v>70</v>
      </c>
      <c r="DB72" s="33" t="s">
        <v>1864</v>
      </c>
      <c r="DC72" s="33">
        <v>11</v>
      </c>
      <c r="DD72" s="33" t="s">
        <v>1944</v>
      </c>
      <c r="DE72" s="33">
        <v>6</v>
      </c>
    </row>
    <row r="73" spans="1:109" ht="12.75" customHeight="1">
      <c r="A73" s="33">
        <v>69</v>
      </c>
      <c r="B73" s="33" t="s">
        <v>1951</v>
      </c>
      <c r="C73" s="33" t="s">
        <v>1072</v>
      </c>
      <c r="D73" s="33" t="s">
        <v>804</v>
      </c>
      <c r="E73" s="33" t="s">
        <v>1439</v>
      </c>
      <c r="F73" s="33">
        <v>0</v>
      </c>
      <c r="G73" s="33">
        <v>0</v>
      </c>
      <c r="H73" s="33">
        <v>0</v>
      </c>
      <c r="I73" s="33">
        <v>0</v>
      </c>
      <c r="J73" s="33">
        <v>0</v>
      </c>
      <c r="K73" s="33">
        <v>0</v>
      </c>
      <c r="L73" s="33">
        <v>0</v>
      </c>
      <c r="M73" s="33">
        <v>0</v>
      </c>
      <c r="N73" s="33">
        <v>0</v>
      </c>
      <c r="O73" s="33">
        <v>0</v>
      </c>
      <c r="P73" s="33"/>
      <c r="Q73" s="33">
        <v>69</v>
      </c>
      <c r="R73" s="33" t="s">
        <v>1952</v>
      </c>
      <c r="S73" s="33" t="s">
        <v>1072</v>
      </c>
      <c r="T73" s="33" t="s">
        <v>804</v>
      </c>
      <c r="U73" s="33" t="s">
        <v>1439</v>
      </c>
      <c r="V73" s="33">
        <v>0</v>
      </c>
      <c r="W73" s="33">
        <v>0</v>
      </c>
      <c r="X73" s="33">
        <v>0</v>
      </c>
      <c r="Y73" s="33">
        <v>47</v>
      </c>
      <c r="Z73" s="33">
        <v>216</v>
      </c>
      <c r="AA73" s="33">
        <v>1</v>
      </c>
      <c r="AB73" s="33">
        <v>42</v>
      </c>
      <c r="AC73" s="33">
        <v>398</v>
      </c>
      <c r="AD73" s="33">
        <v>0</v>
      </c>
      <c r="AE73" s="33">
        <v>87</v>
      </c>
      <c r="AF73" s="33"/>
      <c r="AG73" s="33">
        <v>69</v>
      </c>
      <c r="AH73" s="33" t="s">
        <v>1953</v>
      </c>
      <c r="AI73" s="33" t="s">
        <v>1072</v>
      </c>
      <c r="AJ73" s="33" t="s">
        <v>804</v>
      </c>
      <c r="AK73" s="33" t="s">
        <v>1439</v>
      </c>
      <c r="AL73" s="33">
        <v>0</v>
      </c>
      <c r="AM73" s="33">
        <v>0</v>
      </c>
      <c r="AN73" s="33">
        <v>0</v>
      </c>
      <c r="AO73" s="33">
        <v>0</v>
      </c>
      <c r="AP73" s="33">
        <v>0</v>
      </c>
      <c r="AQ73" s="33">
        <v>0</v>
      </c>
      <c r="AR73" s="33">
        <v>51</v>
      </c>
      <c r="AS73" s="33">
        <v>704</v>
      </c>
      <c r="AT73" s="33">
        <v>3</v>
      </c>
      <c r="AU73" s="33">
        <v>113.5</v>
      </c>
      <c r="AV73" s="33"/>
      <c r="AW73" s="33">
        <v>69</v>
      </c>
      <c r="AX73" s="33" t="s">
        <v>1954</v>
      </c>
      <c r="AY73" s="33" t="s">
        <v>1072</v>
      </c>
      <c r="AZ73" s="33" t="s">
        <v>804</v>
      </c>
      <c r="BA73" s="33" t="s">
        <v>1439</v>
      </c>
      <c r="BB73" s="33">
        <v>0</v>
      </c>
      <c r="BC73" s="33">
        <v>0</v>
      </c>
      <c r="BD73" s="33">
        <v>0</v>
      </c>
      <c r="BE73" s="33">
        <v>0</v>
      </c>
      <c r="BF73" s="33">
        <v>0</v>
      </c>
      <c r="BG73" s="33">
        <v>0</v>
      </c>
      <c r="BH73" s="33">
        <v>0</v>
      </c>
      <c r="BI73" s="33">
        <v>0</v>
      </c>
      <c r="BJ73" s="33">
        <v>0</v>
      </c>
      <c r="BK73" s="33">
        <v>0</v>
      </c>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t="str">
        <f t="shared" si="2"/>
        <v>Colin Kaepernick</v>
      </c>
      <c r="CT73" s="33">
        <v>71</v>
      </c>
      <c r="CU73" s="33" t="s">
        <v>1902</v>
      </c>
      <c r="CV73" s="33">
        <v>8</v>
      </c>
      <c r="CW73" s="33" t="s">
        <v>1903</v>
      </c>
      <c r="CX73" s="33">
        <v>6</v>
      </c>
      <c r="CY73" s="33"/>
      <c r="CZ73" s="33" t="str">
        <f t="shared" si="3"/>
        <v>Steven Jackson</v>
      </c>
      <c r="DA73" s="33">
        <v>71</v>
      </c>
      <c r="DB73" s="33" t="s">
        <v>1877</v>
      </c>
      <c r="DC73" s="33">
        <v>9</v>
      </c>
      <c r="DD73" s="33" t="s">
        <v>1925</v>
      </c>
      <c r="DE73" s="33">
        <v>6</v>
      </c>
    </row>
    <row r="74" spans="1:109" ht="12.75" customHeight="1">
      <c r="A74" s="33">
        <v>70</v>
      </c>
      <c r="B74" s="33" t="s">
        <v>1955</v>
      </c>
      <c r="C74" s="33" t="s">
        <v>1072</v>
      </c>
      <c r="D74" s="33" t="s">
        <v>804</v>
      </c>
      <c r="E74" s="33" t="s">
        <v>1439</v>
      </c>
      <c r="F74" s="33">
        <v>0</v>
      </c>
      <c r="G74" s="33">
        <v>0</v>
      </c>
      <c r="H74" s="33">
        <v>0</v>
      </c>
      <c r="I74" s="33">
        <v>0</v>
      </c>
      <c r="J74" s="33">
        <v>0</v>
      </c>
      <c r="K74" s="33">
        <v>0</v>
      </c>
      <c r="L74" s="33">
        <v>0</v>
      </c>
      <c r="M74" s="33">
        <v>0</v>
      </c>
      <c r="N74" s="33">
        <v>0</v>
      </c>
      <c r="O74" s="33">
        <v>0</v>
      </c>
      <c r="P74" s="33"/>
      <c r="Q74" s="33">
        <v>70</v>
      </c>
      <c r="R74" s="33" t="s">
        <v>1956</v>
      </c>
      <c r="S74" s="33" t="s">
        <v>1072</v>
      </c>
      <c r="T74" s="33" t="s">
        <v>804</v>
      </c>
      <c r="U74" s="33" t="s">
        <v>1439</v>
      </c>
      <c r="V74" s="33">
        <v>0</v>
      </c>
      <c r="W74" s="33">
        <v>0</v>
      </c>
      <c r="X74" s="33">
        <v>0</v>
      </c>
      <c r="Y74" s="33">
        <v>38</v>
      </c>
      <c r="Z74" s="33">
        <v>131</v>
      </c>
      <c r="AA74" s="33">
        <v>1</v>
      </c>
      <c r="AB74" s="33">
        <v>7</v>
      </c>
      <c r="AC74" s="33">
        <v>45</v>
      </c>
      <c r="AD74" s="33">
        <v>0</v>
      </c>
      <c r="AE74" s="33">
        <v>27</v>
      </c>
      <c r="AF74" s="33"/>
      <c r="AG74" s="33">
        <v>70</v>
      </c>
      <c r="AH74" s="33" t="s">
        <v>1957</v>
      </c>
      <c r="AI74" s="33" t="s">
        <v>1072</v>
      </c>
      <c r="AJ74" s="33" t="s">
        <v>804</v>
      </c>
      <c r="AK74" s="33" t="s">
        <v>1439</v>
      </c>
      <c r="AL74" s="33">
        <v>0</v>
      </c>
      <c r="AM74" s="33">
        <v>0</v>
      </c>
      <c r="AN74" s="33">
        <v>0</v>
      </c>
      <c r="AO74" s="33">
        <v>3</v>
      </c>
      <c r="AP74" s="33">
        <v>17</v>
      </c>
      <c r="AQ74" s="33">
        <v>0</v>
      </c>
      <c r="AR74" s="33">
        <v>40</v>
      </c>
      <c r="AS74" s="33">
        <v>545</v>
      </c>
      <c r="AT74" s="33">
        <v>4</v>
      </c>
      <c r="AU74" s="33">
        <v>100</v>
      </c>
      <c r="AV74" s="33"/>
      <c r="AW74" s="33">
        <v>70</v>
      </c>
      <c r="AX74" s="33" t="s">
        <v>1958</v>
      </c>
      <c r="AY74" s="33" t="s">
        <v>1072</v>
      </c>
      <c r="AZ74" s="33" t="s">
        <v>804</v>
      </c>
      <c r="BA74" s="33" t="s">
        <v>1439</v>
      </c>
      <c r="BB74" s="33">
        <v>0</v>
      </c>
      <c r="BC74" s="33">
        <v>0</v>
      </c>
      <c r="BD74" s="33">
        <v>0</v>
      </c>
      <c r="BE74" s="33">
        <v>0</v>
      </c>
      <c r="BF74" s="33">
        <v>0</v>
      </c>
      <c r="BG74" s="33">
        <v>0</v>
      </c>
      <c r="BH74" s="33">
        <v>0</v>
      </c>
      <c r="BI74" s="33">
        <v>0</v>
      </c>
      <c r="BJ74" s="33">
        <v>0</v>
      </c>
      <c r="BK74" s="33">
        <v>0</v>
      </c>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t="str">
        <f t="shared" si="2"/>
        <v>Bishop Sankey</v>
      </c>
      <c r="CT74" s="33">
        <v>72</v>
      </c>
      <c r="CU74" s="33" t="s">
        <v>1959</v>
      </c>
      <c r="CV74" s="33">
        <v>9</v>
      </c>
      <c r="CW74" s="33" t="s">
        <v>1960</v>
      </c>
      <c r="CX74" s="33">
        <v>6</v>
      </c>
      <c r="CY74" s="33"/>
      <c r="CZ74" s="33" t="str">
        <f t="shared" si="3"/>
        <v>Matt Ryan</v>
      </c>
      <c r="DA74" s="33">
        <v>72</v>
      </c>
      <c r="DB74" s="33" t="s">
        <v>1961</v>
      </c>
      <c r="DC74" s="33">
        <v>9</v>
      </c>
      <c r="DD74" s="33" t="s">
        <v>1962</v>
      </c>
      <c r="DE74" s="33">
        <v>5</v>
      </c>
    </row>
    <row r="75" spans="1:109" ht="12.75" customHeight="1">
      <c r="A75" s="33">
        <v>71</v>
      </c>
      <c r="B75" s="33" t="s">
        <v>1963</v>
      </c>
      <c r="C75" s="33" t="s">
        <v>1072</v>
      </c>
      <c r="D75" s="33" t="s">
        <v>804</v>
      </c>
      <c r="E75" s="33" t="s">
        <v>1439</v>
      </c>
      <c r="F75" s="33">
        <v>0</v>
      </c>
      <c r="G75" s="33">
        <v>0</v>
      </c>
      <c r="H75" s="33">
        <v>0</v>
      </c>
      <c r="I75" s="33">
        <v>0</v>
      </c>
      <c r="J75" s="33">
        <v>0</v>
      </c>
      <c r="K75" s="33">
        <v>0</v>
      </c>
      <c r="L75" s="33">
        <v>0</v>
      </c>
      <c r="M75" s="33">
        <v>0</v>
      </c>
      <c r="N75" s="33">
        <v>0</v>
      </c>
      <c r="O75" s="33">
        <v>0</v>
      </c>
      <c r="P75" s="33"/>
      <c r="Q75" s="33">
        <v>71</v>
      </c>
      <c r="R75" s="33" t="s">
        <v>1964</v>
      </c>
      <c r="S75" s="33" t="s">
        <v>1072</v>
      </c>
      <c r="T75" s="33" t="s">
        <v>804</v>
      </c>
      <c r="U75" s="33" t="s">
        <v>1439</v>
      </c>
      <c r="V75" s="33">
        <v>0</v>
      </c>
      <c r="W75" s="33">
        <v>0</v>
      </c>
      <c r="X75" s="33">
        <v>0</v>
      </c>
      <c r="Y75" s="33">
        <v>74</v>
      </c>
      <c r="Z75" s="33">
        <v>273</v>
      </c>
      <c r="AA75" s="33">
        <v>4</v>
      </c>
      <c r="AB75" s="33">
        <v>29</v>
      </c>
      <c r="AC75" s="33">
        <v>167</v>
      </c>
      <c r="AD75" s="33">
        <v>1</v>
      </c>
      <c r="AE75" s="33">
        <v>88</v>
      </c>
      <c r="AF75" s="33"/>
      <c r="AG75" s="33">
        <v>71</v>
      </c>
      <c r="AH75" s="33" t="s">
        <v>1965</v>
      </c>
      <c r="AI75" s="33" t="s">
        <v>1072</v>
      </c>
      <c r="AJ75" s="33" t="s">
        <v>804</v>
      </c>
      <c r="AK75" s="33" t="s">
        <v>1439</v>
      </c>
      <c r="AL75" s="33">
        <v>0</v>
      </c>
      <c r="AM75" s="33">
        <v>0</v>
      </c>
      <c r="AN75" s="33">
        <v>0</v>
      </c>
      <c r="AO75" s="33">
        <v>0</v>
      </c>
      <c r="AP75" s="33">
        <v>0</v>
      </c>
      <c r="AQ75" s="33">
        <v>0</v>
      </c>
      <c r="AR75" s="33">
        <v>37</v>
      </c>
      <c r="AS75" s="33">
        <v>525</v>
      </c>
      <c r="AT75" s="33">
        <v>4</v>
      </c>
      <c r="AU75" s="33">
        <v>94</v>
      </c>
      <c r="AV75" s="33"/>
      <c r="AW75" s="33">
        <v>71</v>
      </c>
      <c r="AX75" s="33" t="s">
        <v>1966</v>
      </c>
      <c r="AY75" s="33" t="s">
        <v>1072</v>
      </c>
      <c r="AZ75" s="33" t="s">
        <v>804</v>
      </c>
      <c r="BA75" s="33" t="s">
        <v>1439</v>
      </c>
      <c r="BB75" s="33">
        <v>0</v>
      </c>
      <c r="BC75" s="33">
        <v>0</v>
      </c>
      <c r="BD75" s="33">
        <v>0</v>
      </c>
      <c r="BE75" s="33">
        <v>0</v>
      </c>
      <c r="BF75" s="33">
        <v>0</v>
      </c>
      <c r="BG75" s="33">
        <v>0</v>
      </c>
      <c r="BH75" s="33">
        <v>0</v>
      </c>
      <c r="BI75" s="33">
        <v>0</v>
      </c>
      <c r="BJ75" s="33">
        <v>0</v>
      </c>
      <c r="BK75" s="33">
        <v>0</v>
      </c>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t="str">
        <f t="shared" si="2"/>
        <v>Emmanuel Sanders</v>
      </c>
      <c r="CT75" s="33">
        <v>73</v>
      </c>
      <c r="CU75" s="33" t="s">
        <v>1967</v>
      </c>
      <c r="CV75" s="33">
        <v>4</v>
      </c>
      <c r="CW75" s="33" t="s">
        <v>1968</v>
      </c>
      <c r="CX75" s="33">
        <v>6</v>
      </c>
      <c r="CY75" s="33"/>
      <c r="CZ75" s="33" t="str">
        <f t="shared" si="3"/>
        <v>Kendall Wright</v>
      </c>
      <c r="DA75" s="33">
        <v>73</v>
      </c>
      <c r="DB75" s="33" t="s">
        <v>1969</v>
      </c>
      <c r="DC75" s="33">
        <v>9</v>
      </c>
      <c r="DD75" s="33" t="s">
        <v>1950</v>
      </c>
      <c r="DE75" s="33">
        <v>5</v>
      </c>
    </row>
    <row r="76" spans="1:109" ht="12.75" customHeight="1">
      <c r="A76" s="33">
        <v>72</v>
      </c>
      <c r="B76" s="33" t="s">
        <v>1970</v>
      </c>
      <c r="C76" s="33" t="s">
        <v>1072</v>
      </c>
      <c r="D76" s="33" t="s">
        <v>804</v>
      </c>
      <c r="E76" s="33" t="s">
        <v>1439</v>
      </c>
      <c r="F76" s="33">
        <v>0</v>
      </c>
      <c r="G76" s="33">
        <v>0</v>
      </c>
      <c r="H76" s="33">
        <v>0</v>
      </c>
      <c r="I76" s="33">
        <v>0</v>
      </c>
      <c r="J76" s="33">
        <v>0</v>
      </c>
      <c r="K76" s="33">
        <v>0</v>
      </c>
      <c r="L76" s="33">
        <v>0</v>
      </c>
      <c r="M76" s="33">
        <v>0</v>
      </c>
      <c r="N76" s="33">
        <v>0</v>
      </c>
      <c r="O76" s="33">
        <v>0</v>
      </c>
      <c r="P76" s="33"/>
      <c r="Q76" s="33">
        <v>72</v>
      </c>
      <c r="R76" s="33" t="s">
        <v>1971</v>
      </c>
      <c r="S76" s="33" t="s">
        <v>1072</v>
      </c>
      <c r="T76" s="33" t="s">
        <v>804</v>
      </c>
      <c r="U76" s="33" t="s">
        <v>1439</v>
      </c>
      <c r="V76" s="33">
        <v>0</v>
      </c>
      <c r="W76" s="33">
        <v>0</v>
      </c>
      <c r="X76" s="33">
        <v>0</v>
      </c>
      <c r="Y76" s="33">
        <v>54</v>
      </c>
      <c r="Z76" s="33">
        <v>250</v>
      </c>
      <c r="AA76" s="33">
        <v>2</v>
      </c>
      <c r="AB76" s="33">
        <v>15</v>
      </c>
      <c r="AC76" s="33">
        <v>76</v>
      </c>
      <c r="AD76" s="33">
        <v>0</v>
      </c>
      <c r="AE76" s="33">
        <v>52</v>
      </c>
      <c r="AF76" s="33"/>
      <c r="AG76" s="33">
        <v>72</v>
      </c>
      <c r="AH76" s="33" t="s">
        <v>1972</v>
      </c>
      <c r="AI76" s="33" t="s">
        <v>1072</v>
      </c>
      <c r="AJ76" s="33" t="s">
        <v>804</v>
      </c>
      <c r="AK76" s="33" t="s">
        <v>1439</v>
      </c>
      <c r="AL76" s="33">
        <v>0</v>
      </c>
      <c r="AM76" s="33">
        <v>0</v>
      </c>
      <c r="AN76" s="33">
        <v>0</v>
      </c>
      <c r="AO76" s="33">
        <v>0</v>
      </c>
      <c r="AP76" s="33">
        <v>0</v>
      </c>
      <c r="AQ76" s="33">
        <v>0</v>
      </c>
      <c r="AR76" s="33">
        <v>46</v>
      </c>
      <c r="AS76" s="33">
        <v>572</v>
      </c>
      <c r="AT76" s="33">
        <v>3</v>
      </c>
      <c r="AU76" s="33">
        <v>97</v>
      </c>
      <c r="AV76" s="33"/>
      <c r="AW76" s="33">
        <v>72</v>
      </c>
      <c r="AX76" s="33" t="s">
        <v>1973</v>
      </c>
      <c r="AY76" s="33" t="s">
        <v>1072</v>
      </c>
      <c r="AZ76" s="33" t="s">
        <v>804</v>
      </c>
      <c r="BA76" s="33" t="s">
        <v>1439</v>
      </c>
      <c r="BB76" s="33">
        <v>0</v>
      </c>
      <c r="BC76" s="33">
        <v>0</v>
      </c>
      <c r="BD76" s="33">
        <v>0</v>
      </c>
      <c r="BE76" s="33">
        <v>0</v>
      </c>
      <c r="BF76" s="33">
        <v>0</v>
      </c>
      <c r="BG76" s="33">
        <v>0</v>
      </c>
      <c r="BH76" s="33">
        <v>0</v>
      </c>
      <c r="BI76" s="33">
        <v>0</v>
      </c>
      <c r="BJ76" s="33">
        <v>0</v>
      </c>
      <c r="BK76" s="33">
        <v>0</v>
      </c>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t="str">
        <f t="shared" si="2"/>
        <v>Golden Tate</v>
      </c>
      <c r="CT76" s="33">
        <v>74</v>
      </c>
      <c r="CU76" s="33" t="s">
        <v>1913</v>
      </c>
      <c r="CV76" s="33">
        <v>9</v>
      </c>
      <c r="CW76" s="33" t="s">
        <v>1974</v>
      </c>
      <c r="CX76" s="33">
        <v>5</v>
      </c>
      <c r="CY76" s="33"/>
      <c r="CZ76" s="33" t="str">
        <f t="shared" si="3"/>
        <v>Emmanuel Sanders</v>
      </c>
      <c r="DA76" s="33">
        <v>74</v>
      </c>
      <c r="DB76" s="33" t="s">
        <v>1967</v>
      </c>
      <c r="DC76" s="33">
        <v>4</v>
      </c>
      <c r="DD76" s="33" t="s">
        <v>1968</v>
      </c>
      <c r="DE76" s="33">
        <v>5</v>
      </c>
    </row>
    <row r="77" spans="1:109" ht="12.75" customHeight="1">
      <c r="A77" s="33">
        <v>73</v>
      </c>
      <c r="B77" s="33" t="s">
        <v>1975</v>
      </c>
      <c r="C77" s="33" t="s">
        <v>1072</v>
      </c>
      <c r="D77" s="33" t="s">
        <v>804</v>
      </c>
      <c r="E77" s="33" t="s">
        <v>1439</v>
      </c>
      <c r="F77" s="33">
        <v>0</v>
      </c>
      <c r="G77" s="33">
        <v>0</v>
      </c>
      <c r="H77" s="33">
        <v>0</v>
      </c>
      <c r="I77" s="33">
        <v>0</v>
      </c>
      <c r="J77" s="33">
        <v>0</v>
      </c>
      <c r="K77" s="33">
        <v>0</v>
      </c>
      <c r="L77" s="33">
        <v>0</v>
      </c>
      <c r="M77" s="33">
        <v>0</v>
      </c>
      <c r="N77" s="33">
        <v>0</v>
      </c>
      <c r="O77" s="33">
        <v>0</v>
      </c>
      <c r="P77" s="33"/>
      <c r="Q77" s="33">
        <v>73</v>
      </c>
      <c r="R77" s="33" t="s">
        <v>1976</v>
      </c>
      <c r="S77" s="33" t="s">
        <v>1072</v>
      </c>
      <c r="T77" s="33" t="s">
        <v>804</v>
      </c>
      <c r="U77" s="33" t="s">
        <v>1439</v>
      </c>
      <c r="V77" s="33">
        <v>0</v>
      </c>
      <c r="W77" s="33">
        <v>0</v>
      </c>
      <c r="X77" s="33">
        <v>0</v>
      </c>
      <c r="Y77" s="33">
        <v>80</v>
      </c>
      <c r="Z77" s="33">
        <v>296</v>
      </c>
      <c r="AA77" s="33">
        <v>1</v>
      </c>
      <c r="AB77" s="33">
        <v>9</v>
      </c>
      <c r="AC77" s="33">
        <v>59</v>
      </c>
      <c r="AD77" s="33">
        <v>0</v>
      </c>
      <c r="AE77" s="33">
        <v>45.5</v>
      </c>
      <c r="AF77" s="33"/>
      <c r="AG77" s="33">
        <v>73</v>
      </c>
      <c r="AH77" s="33" t="s">
        <v>1977</v>
      </c>
      <c r="AI77" s="33" t="s">
        <v>1072</v>
      </c>
      <c r="AJ77" s="33" t="s">
        <v>804</v>
      </c>
      <c r="AK77" s="33" t="s">
        <v>1439</v>
      </c>
      <c r="AL77" s="33">
        <v>0</v>
      </c>
      <c r="AM77" s="33">
        <v>0</v>
      </c>
      <c r="AN77" s="33">
        <v>0</v>
      </c>
      <c r="AO77" s="33">
        <v>2</v>
      </c>
      <c r="AP77" s="33">
        <v>11</v>
      </c>
      <c r="AQ77" s="33">
        <v>0</v>
      </c>
      <c r="AR77" s="33">
        <v>40</v>
      </c>
      <c r="AS77" s="33">
        <v>545</v>
      </c>
      <c r="AT77" s="33">
        <v>3</v>
      </c>
      <c r="AU77" s="33">
        <v>93.5</v>
      </c>
      <c r="AV77" s="33"/>
      <c r="AW77" s="33">
        <v>73</v>
      </c>
      <c r="AX77" s="33" t="s">
        <v>1978</v>
      </c>
      <c r="AY77" s="33" t="s">
        <v>1072</v>
      </c>
      <c r="AZ77" s="33" t="s">
        <v>804</v>
      </c>
      <c r="BA77" s="33" t="s">
        <v>1439</v>
      </c>
      <c r="BB77" s="33">
        <v>0</v>
      </c>
      <c r="BC77" s="33">
        <v>0</v>
      </c>
      <c r="BD77" s="33">
        <v>0</v>
      </c>
      <c r="BE77" s="33">
        <v>0</v>
      </c>
      <c r="BF77" s="33">
        <v>0</v>
      </c>
      <c r="BG77" s="33">
        <v>0</v>
      </c>
      <c r="BH77" s="33">
        <v>0</v>
      </c>
      <c r="BI77" s="33">
        <v>0</v>
      </c>
      <c r="BJ77" s="33">
        <v>0</v>
      </c>
      <c r="BK77" s="33">
        <v>0</v>
      </c>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t="str">
        <f t="shared" si="2"/>
        <v>Jason Witten</v>
      </c>
      <c r="CT77" s="33">
        <v>75</v>
      </c>
      <c r="CU77" s="33" t="s">
        <v>1979</v>
      </c>
      <c r="CV77" s="33">
        <v>11</v>
      </c>
      <c r="CW77" s="33" t="s">
        <v>587</v>
      </c>
      <c r="CX77" s="33">
        <v>5</v>
      </c>
      <c r="CY77" s="33"/>
      <c r="CZ77" s="33" t="str">
        <f t="shared" si="3"/>
        <v>Marques Colston</v>
      </c>
      <c r="DA77" s="33">
        <v>75</v>
      </c>
      <c r="DB77" s="33" t="s">
        <v>1949</v>
      </c>
      <c r="DC77" s="33">
        <v>6</v>
      </c>
      <c r="DD77" s="33" t="s">
        <v>1974</v>
      </c>
      <c r="DE77" s="33">
        <v>5</v>
      </c>
    </row>
    <row r="78" spans="1:109" ht="12.75" customHeight="1">
      <c r="A78" s="33">
        <v>74</v>
      </c>
      <c r="B78" s="33" t="s">
        <v>1980</v>
      </c>
      <c r="C78" s="33" t="s">
        <v>1072</v>
      </c>
      <c r="D78" s="33" t="s">
        <v>804</v>
      </c>
      <c r="E78" s="33" t="s">
        <v>1439</v>
      </c>
      <c r="F78" s="33">
        <v>0</v>
      </c>
      <c r="G78" s="33">
        <v>0</v>
      </c>
      <c r="H78" s="33">
        <v>0</v>
      </c>
      <c r="I78" s="33">
        <v>0</v>
      </c>
      <c r="J78" s="33">
        <v>0</v>
      </c>
      <c r="K78" s="33">
        <v>0</v>
      </c>
      <c r="L78" s="33">
        <v>0</v>
      </c>
      <c r="M78" s="33">
        <v>0</v>
      </c>
      <c r="N78" s="33">
        <v>0</v>
      </c>
      <c r="O78" s="33">
        <v>0</v>
      </c>
      <c r="P78" s="33"/>
      <c r="Q78" s="33">
        <v>74</v>
      </c>
      <c r="R78" s="33" t="s">
        <v>1981</v>
      </c>
      <c r="S78" s="33" t="s">
        <v>1072</v>
      </c>
      <c r="T78" s="33" t="s">
        <v>804</v>
      </c>
      <c r="U78" s="33" t="s">
        <v>1439</v>
      </c>
      <c r="V78" s="33">
        <v>0</v>
      </c>
      <c r="W78" s="33">
        <v>0</v>
      </c>
      <c r="X78" s="33">
        <v>0</v>
      </c>
      <c r="Y78" s="33">
        <v>84</v>
      </c>
      <c r="Z78" s="33">
        <v>317</v>
      </c>
      <c r="AA78" s="33">
        <v>0</v>
      </c>
      <c r="AB78" s="33">
        <v>9</v>
      </c>
      <c r="AC78" s="33">
        <v>58</v>
      </c>
      <c r="AD78" s="33">
        <v>0</v>
      </c>
      <c r="AE78" s="33">
        <v>41.5</v>
      </c>
      <c r="AF78" s="33"/>
      <c r="AG78" s="33">
        <v>74</v>
      </c>
      <c r="AH78" s="33" t="s">
        <v>1982</v>
      </c>
      <c r="AI78" s="33" t="s">
        <v>1072</v>
      </c>
      <c r="AJ78" s="33" t="s">
        <v>804</v>
      </c>
      <c r="AK78" s="33" t="s">
        <v>1439</v>
      </c>
      <c r="AL78" s="33">
        <v>0</v>
      </c>
      <c r="AM78" s="33">
        <v>0</v>
      </c>
      <c r="AN78" s="33">
        <v>0</v>
      </c>
      <c r="AO78" s="33">
        <v>0</v>
      </c>
      <c r="AP78" s="33">
        <v>0</v>
      </c>
      <c r="AQ78" s="33">
        <v>0</v>
      </c>
      <c r="AR78" s="33">
        <v>36</v>
      </c>
      <c r="AS78" s="33">
        <v>513</v>
      </c>
      <c r="AT78" s="33">
        <v>3</v>
      </c>
      <c r="AU78" s="33">
        <v>86</v>
      </c>
      <c r="AV78" s="33"/>
      <c r="AW78" s="33">
        <v>74</v>
      </c>
      <c r="AX78" s="33" t="s">
        <v>1983</v>
      </c>
      <c r="AY78" s="33" t="s">
        <v>1072</v>
      </c>
      <c r="AZ78" s="33" t="s">
        <v>804</v>
      </c>
      <c r="BA78" s="33" t="s">
        <v>1439</v>
      </c>
      <c r="BB78" s="33">
        <v>0</v>
      </c>
      <c r="BC78" s="33">
        <v>0</v>
      </c>
      <c r="BD78" s="33">
        <v>0</v>
      </c>
      <c r="BE78" s="33">
        <v>0</v>
      </c>
      <c r="BF78" s="33">
        <v>0</v>
      </c>
      <c r="BG78" s="33">
        <v>0</v>
      </c>
      <c r="BH78" s="33">
        <v>0</v>
      </c>
      <c r="BI78" s="33">
        <v>0</v>
      </c>
      <c r="BJ78" s="33">
        <v>0</v>
      </c>
      <c r="BK78" s="33">
        <v>0</v>
      </c>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t="str">
        <f t="shared" si="2"/>
        <v>Kendall Wright</v>
      </c>
      <c r="CT78" s="33">
        <v>76</v>
      </c>
      <c r="CU78" s="33" t="s">
        <v>1969</v>
      </c>
      <c r="CV78" s="33">
        <v>9</v>
      </c>
      <c r="CW78" s="33" t="s">
        <v>1984</v>
      </c>
      <c r="CX78" s="33">
        <v>5</v>
      </c>
      <c r="CY78" s="33"/>
      <c r="CZ78" s="33" t="str">
        <f t="shared" si="3"/>
        <v>Tom Brady</v>
      </c>
      <c r="DA78" s="33">
        <v>76</v>
      </c>
      <c r="DB78" s="33" t="s">
        <v>1985</v>
      </c>
      <c r="DC78" s="33">
        <v>10</v>
      </c>
      <c r="DD78" s="33" t="s">
        <v>1986</v>
      </c>
      <c r="DE78" s="33">
        <v>5</v>
      </c>
    </row>
    <row r="79" spans="1:109" ht="12.75" customHeight="1">
      <c r="A79" s="33">
        <v>75</v>
      </c>
      <c r="B79" s="33" t="s">
        <v>1987</v>
      </c>
      <c r="C79" s="33" t="s">
        <v>1072</v>
      </c>
      <c r="D79" s="33" t="s">
        <v>804</v>
      </c>
      <c r="E79" s="33" t="s">
        <v>1439</v>
      </c>
      <c r="F79" s="33">
        <v>0</v>
      </c>
      <c r="G79" s="33">
        <v>0</v>
      </c>
      <c r="H79" s="33">
        <v>0</v>
      </c>
      <c r="I79" s="33">
        <v>0</v>
      </c>
      <c r="J79" s="33">
        <v>0</v>
      </c>
      <c r="K79" s="33">
        <v>0</v>
      </c>
      <c r="L79" s="33">
        <v>0</v>
      </c>
      <c r="M79" s="33">
        <v>0</v>
      </c>
      <c r="N79" s="33">
        <v>0</v>
      </c>
      <c r="O79" s="33">
        <v>0</v>
      </c>
      <c r="P79" s="33"/>
      <c r="Q79" s="33">
        <v>75</v>
      </c>
      <c r="R79" s="33" t="s">
        <v>1988</v>
      </c>
      <c r="S79" s="33" t="s">
        <v>1072</v>
      </c>
      <c r="T79" s="33" t="s">
        <v>804</v>
      </c>
      <c r="U79" s="33" t="s">
        <v>1439</v>
      </c>
      <c r="V79" s="33">
        <v>0</v>
      </c>
      <c r="W79" s="33">
        <v>0</v>
      </c>
      <c r="X79" s="33">
        <v>0</v>
      </c>
      <c r="Y79" s="33">
        <v>65</v>
      </c>
      <c r="Z79" s="33">
        <v>211</v>
      </c>
      <c r="AA79" s="33">
        <v>2</v>
      </c>
      <c r="AB79" s="33">
        <v>11</v>
      </c>
      <c r="AC79" s="33">
        <v>70</v>
      </c>
      <c r="AD79" s="33">
        <v>0</v>
      </c>
      <c r="AE79" s="33">
        <v>45.5</v>
      </c>
      <c r="AF79" s="33"/>
      <c r="AG79" s="33">
        <v>75</v>
      </c>
      <c r="AH79" s="33" t="s">
        <v>1989</v>
      </c>
      <c r="AI79" s="33" t="s">
        <v>1072</v>
      </c>
      <c r="AJ79" s="33" t="s">
        <v>804</v>
      </c>
      <c r="AK79" s="33" t="s">
        <v>1439</v>
      </c>
      <c r="AL79" s="33">
        <v>0</v>
      </c>
      <c r="AM79" s="33">
        <v>0</v>
      </c>
      <c r="AN79" s="33">
        <v>0</v>
      </c>
      <c r="AO79" s="33">
        <v>0</v>
      </c>
      <c r="AP79" s="33">
        <v>0</v>
      </c>
      <c r="AQ79" s="33">
        <v>0</v>
      </c>
      <c r="AR79" s="33">
        <v>35</v>
      </c>
      <c r="AS79" s="33">
        <v>463</v>
      </c>
      <c r="AT79" s="33">
        <v>2</v>
      </c>
      <c r="AU79" s="33">
        <v>75.5</v>
      </c>
      <c r="AV79" s="33"/>
      <c r="AW79" s="33">
        <v>75</v>
      </c>
      <c r="AX79" s="33" t="s">
        <v>1990</v>
      </c>
      <c r="AY79" s="33" t="s">
        <v>1072</v>
      </c>
      <c r="AZ79" s="33" t="s">
        <v>804</v>
      </c>
      <c r="BA79" s="33" t="s">
        <v>1439</v>
      </c>
      <c r="BB79" s="33">
        <v>0</v>
      </c>
      <c r="BC79" s="33">
        <v>0</v>
      </c>
      <c r="BD79" s="33">
        <v>0</v>
      </c>
      <c r="BE79" s="33">
        <v>0</v>
      </c>
      <c r="BF79" s="33">
        <v>0</v>
      </c>
      <c r="BG79" s="33">
        <v>0</v>
      </c>
      <c r="BH79" s="33">
        <v>0</v>
      </c>
      <c r="BI79" s="33">
        <v>0</v>
      </c>
      <c r="BJ79" s="33">
        <v>0</v>
      </c>
      <c r="BK79" s="33">
        <v>0</v>
      </c>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t="str">
        <f t="shared" si="2"/>
        <v>Pierre Thomas</v>
      </c>
      <c r="CT79" s="33">
        <v>77</v>
      </c>
      <c r="CU79" s="33" t="s">
        <v>1991</v>
      </c>
      <c r="CV79" s="33">
        <v>6</v>
      </c>
      <c r="CW79" s="33" t="s">
        <v>1992</v>
      </c>
      <c r="CX79" s="33">
        <v>5</v>
      </c>
      <c r="CY79" s="33"/>
      <c r="CZ79" s="33" t="str">
        <f t="shared" si="3"/>
        <v>Pierre Thomas</v>
      </c>
      <c r="DA79" s="33">
        <v>77</v>
      </c>
      <c r="DB79" s="33" t="s">
        <v>1991</v>
      </c>
      <c r="DC79" s="33">
        <v>6</v>
      </c>
      <c r="DD79" s="33" t="s">
        <v>1938</v>
      </c>
      <c r="DE79" s="33">
        <v>4</v>
      </c>
    </row>
    <row r="80" spans="1:109" ht="12.75" customHeight="1">
      <c r="A80" s="33">
        <v>76</v>
      </c>
      <c r="B80" s="33" t="s">
        <v>1993</v>
      </c>
      <c r="C80" s="33" t="s">
        <v>1072</v>
      </c>
      <c r="D80" s="33" t="s">
        <v>804</v>
      </c>
      <c r="E80" s="33" t="s">
        <v>1439</v>
      </c>
      <c r="F80" s="33">
        <v>0</v>
      </c>
      <c r="G80" s="33">
        <v>0</v>
      </c>
      <c r="H80" s="33">
        <v>0</v>
      </c>
      <c r="I80" s="33">
        <v>0</v>
      </c>
      <c r="J80" s="33">
        <v>0</v>
      </c>
      <c r="K80" s="33">
        <v>0</v>
      </c>
      <c r="L80" s="33">
        <v>0</v>
      </c>
      <c r="M80" s="33">
        <v>0</v>
      </c>
      <c r="N80" s="33">
        <v>0</v>
      </c>
      <c r="O80" s="33">
        <v>0</v>
      </c>
      <c r="P80" s="33"/>
      <c r="Q80" s="33">
        <v>76</v>
      </c>
      <c r="R80" s="33" t="s">
        <v>1994</v>
      </c>
      <c r="S80" s="33" t="s">
        <v>1072</v>
      </c>
      <c r="T80" s="33" t="s">
        <v>804</v>
      </c>
      <c r="U80" s="33" t="s">
        <v>1439</v>
      </c>
      <c r="V80" s="33">
        <v>0</v>
      </c>
      <c r="W80" s="33">
        <v>0</v>
      </c>
      <c r="X80" s="33">
        <v>0</v>
      </c>
      <c r="Y80" s="33">
        <v>37</v>
      </c>
      <c r="Z80" s="33">
        <v>145</v>
      </c>
      <c r="AA80" s="33">
        <v>0</v>
      </c>
      <c r="AB80" s="33">
        <v>38</v>
      </c>
      <c r="AC80" s="33">
        <v>287</v>
      </c>
      <c r="AD80" s="33">
        <v>1</v>
      </c>
      <c r="AE80" s="33">
        <v>67</v>
      </c>
      <c r="AF80" s="33"/>
      <c r="AG80" s="33">
        <v>76</v>
      </c>
      <c r="AH80" s="33" t="s">
        <v>1995</v>
      </c>
      <c r="AI80" s="33" t="s">
        <v>1072</v>
      </c>
      <c r="AJ80" s="33" t="s">
        <v>804</v>
      </c>
      <c r="AK80" s="33" t="s">
        <v>1439</v>
      </c>
      <c r="AL80" s="33">
        <v>0</v>
      </c>
      <c r="AM80" s="33">
        <v>0</v>
      </c>
      <c r="AN80" s="33">
        <v>0</v>
      </c>
      <c r="AO80" s="33">
        <v>0</v>
      </c>
      <c r="AP80" s="33">
        <v>0</v>
      </c>
      <c r="AQ80" s="33">
        <v>0</v>
      </c>
      <c r="AR80" s="33">
        <v>56</v>
      </c>
      <c r="AS80" s="33">
        <v>657</v>
      </c>
      <c r="AT80" s="33">
        <v>2</v>
      </c>
      <c r="AU80" s="33">
        <v>104.5</v>
      </c>
      <c r="AV80" s="33"/>
      <c r="AW80" s="33">
        <v>76</v>
      </c>
      <c r="AX80" s="33" t="s">
        <v>1996</v>
      </c>
      <c r="AY80" s="33" t="s">
        <v>1072</v>
      </c>
      <c r="AZ80" s="33" t="s">
        <v>804</v>
      </c>
      <c r="BA80" s="33" t="s">
        <v>1439</v>
      </c>
      <c r="BB80" s="33">
        <v>0</v>
      </c>
      <c r="BC80" s="33">
        <v>0</v>
      </c>
      <c r="BD80" s="33">
        <v>0</v>
      </c>
      <c r="BE80" s="33">
        <v>0</v>
      </c>
      <c r="BF80" s="33">
        <v>0</v>
      </c>
      <c r="BG80" s="33">
        <v>0</v>
      </c>
      <c r="BH80" s="33">
        <v>0</v>
      </c>
      <c r="BI80" s="33">
        <v>0</v>
      </c>
      <c r="BJ80" s="33">
        <v>0</v>
      </c>
      <c r="BK80" s="33">
        <v>0</v>
      </c>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t="str">
        <f t="shared" si="2"/>
        <v>Sammy Watkins</v>
      </c>
      <c r="CT80" s="33">
        <v>78</v>
      </c>
      <c r="CU80" s="33" t="s">
        <v>1997</v>
      </c>
      <c r="CV80" s="33">
        <v>9</v>
      </c>
      <c r="CW80" s="33" t="s">
        <v>1998</v>
      </c>
      <c r="CX80" s="33">
        <v>5</v>
      </c>
      <c r="CY80" s="33"/>
      <c r="CZ80" s="33" t="str">
        <f t="shared" si="3"/>
        <v>Jason Witten</v>
      </c>
      <c r="DA80" s="33">
        <v>78</v>
      </c>
      <c r="DB80" s="33" t="s">
        <v>1979</v>
      </c>
      <c r="DC80" s="33">
        <v>11</v>
      </c>
      <c r="DD80" s="33" t="s">
        <v>1999</v>
      </c>
      <c r="DE80" s="33">
        <v>4</v>
      </c>
    </row>
    <row r="81" spans="1:109" ht="12.75" customHeight="1">
      <c r="A81" s="33">
        <v>77</v>
      </c>
      <c r="B81" s="33" t="s">
        <v>2000</v>
      </c>
      <c r="C81" s="33" t="s">
        <v>1072</v>
      </c>
      <c r="D81" s="33" t="s">
        <v>804</v>
      </c>
      <c r="E81" s="33" t="s">
        <v>1439</v>
      </c>
      <c r="F81" s="33">
        <v>0</v>
      </c>
      <c r="G81" s="33">
        <v>0</v>
      </c>
      <c r="H81" s="33">
        <v>0</v>
      </c>
      <c r="I81" s="33">
        <v>0</v>
      </c>
      <c r="J81" s="33">
        <v>0</v>
      </c>
      <c r="K81" s="33">
        <v>0</v>
      </c>
      <c r="L81" s="33">
        <v>0</v>
      </c>
      <c r="M81" s="33">
        <v>0</v>
      </c>
      <c r="N81" s="33">
        <v>0</v>
      </c>
      <c r="O81" s="33">
        <v>0</v>
      </c>
      <c r="P81" s="33"/>
      <c r="Q81" s="33">
        <v>77</v>
      </c>
      <c r="R81" s="33" t="s">
        <v>2001</v>
      </c>
      <c r="S81" s="33" t="s">
        <v>1072</v>
      </c>
      <c r="T81" s="33" t="s">
        <v>804</v>
      </c>
      <c r="U81" s="33" t="s">
        <v>1439</v>
      </c>
      <c r="V81" s="33">
        <v>0</v>
      </c>
      <c r="W81" s="33">
        <v>0</v>
      </c>
      <c r="X81" s="33">
        <v>0</v>
      </c>
      <c r="Y81" s="33">
        <v>24</v>
      </c>
      <c r="Z81" s="33">
        <v>108</v>
      </c>
      <c r="AA81" s="33">
        <v>1</v>
      </c>
      <c r="AB81" s="33">
        <v>19</v>
      </c>
      <c r="AC81" s="33">
        <v>123</v>
      </c>
      <c r="AD81" s="33">
        <v>1</v>
      </c>
      <c r="AE81" s="33">
        <v>44</v>
      </c>
      <c r="AF81" s="33"/>
      <c r="AG81" s="33">
        <v>77</v>
      </c>
      <c r="AH81" s="33" t="s">
        <v>2002</v>
      </c>
      <c r="AI81" s="33" t="s">
        <v>1072</v>
      </c>
      <c r="AJ81" s="33" t="s">
        <v>804</v>
      </c>
      <c r="AK81" s="33" t="s">
        <v>1439</v>
      </c>
      <c r="AL81" s="33">
        <v>0</v>
      </c>
      <c r="AM81" s="33">
        <v>0</v>
      </c>
      <c r="AN81" s="33">
        <v>0</v>
      </c>
      <c r="AO81" s="33">
        <v>0</v>
      </c>
      <c r="AP81" s="33">
        <v>0</v>
      </c>
      <c r="AQ81" s="33">
        <v>0</v>
      </c>
      <c r="AR81" s="33">
        <v>39</v>
      </c>
      <c r="AS81" s="33">
        <v>628</v>
      </c>
      <c r="AT81" s="33">
        <v>4</v>
      </c>
      <c r="AU81" s="33">
        <v>106</v>
      </c>
      <c r="AV81" s="33"/>
      <c r="AW81" s="33">
        <v>77</v>
      </c>
      <c r="AX81" s="33" t="s">
        <v>2003</v>
      </c>
      <c r="AY81" s="33" t="s">
        <v>1072</v>
      </c>
      <c r="AZ81" s="33" t="s">
        <v>804</v>
      </c>
      <c r="BA81" s="33" t="s">
        <v>1439</v>
      </c>
      <c r="BB81" s="33">
        <v>0</v>
      </c>
      <c r="BC81" s="33">
        <v>0</v>
      </c>
      <c r="BD81" s="33">
        <v>0</v>
      </c>
      <c r="BE81" s="33">
        <v>0</v>
      </c>
      <c r="BF81" s="33">
        <v>0</v>
      </c>
      <c r="BG81" s="33">
        <v>0</v>
      </c>
      <c r="BH81" s="33">
        <v>0</v>
      </c>
      <c r="BI81" s="33">
        <v>0</v>
      </c>
      <c r="BJ81" s="33">
        <v>0</v>
      </c>
      <c r="BK81" s="33">
        <v>0</v>
      </c>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t="str">
        <f t="shared" si="2"/>
        <v>Mike Wallace</v>
      </c>
      <c r="CT81" s="33">
        <v>79</v>
      </c>
      <c r="CU81" s="33" t="s">
        <v>2004</v>
      </c>
      <c r="CV81" s="33">
        <v>5</v>
      </c>
      <c r="CW81" s="33" t="s">
        <v>2005</v>
      </c>
      <c r="CX81" s="33">
        <v>4</v>
      </c>
      <c r="CY81" s="33"/>
      <c r="CZ81" s="33" t="str">
        <f t="shared" si="3"/>
        <v>Mike Wallace</v>
      </c>
      <c r="DA81" s="33">
        <v>79</v>
      </c>
      <c r="DB81" s="33" t="s">
        <v>2004</v>
      </c>
      <c r="DC81" s="33">
        <v>5</v>
      </c>
      <c r="DD81" s="33" t="s">
        <v>1984</v>
      </c>
      <c r="DE81" s="33">
        <v>4</v>
      </c>
    </row>
    <row r="82" spans="1:109" ht="12.75" customHeight="1">
      <c r="A82" s="33">
        <v>78</v>
      </c>
      <c r="B82" s="33" t="s">
        <v>2006</v>
      </c>
      <c r="C82" s="33" t="s">
        <v>1072</v>
      </c>
      <c r="D82" s="33" t="s">
        <v>804</v>
      </c>
      <c r="E82" s="33" t="s">
        <v>2007</v>
      </c>
      <c r="F82" s="33">
        <v>150</v>
      </c>
      <c r="G82" s="33">
        <v>1</v>
      </c>
      <c r="H82" s="33">
        <v>2</v>
      </c>
      <c r="I82" s="33">
        <v>2</v>
      </c>
      <c r="J82" s="33">
        <v>2</v>
      </c>
      <c r="K82" s="33">
        <v>0</v>
      </c>
      <c r="L82" s="33">
        <v>0</v>
      </c>
      <c r="M82" s="33">
        <v>0</v>
      </c>
      <c r="N82" s="33">
        <v>0</v>
      </c>
      <c r="O82" s="33">
        <v>7</v>
      </c>
      <c r="P82" s="33"/>
      <c r="Q82" s="33">
        <v>78</v>
      </c>
      <c r="R82" s="33" t="s">
        <v>2008</v>
      </c>
      <c r="S82" s="33" t="s">
        <v>1072</v>
      </c>
      <c r="T82" s="33" t="s">
        <v>804</v>
      </c>
      <c r="U82" s="33" t="s">
        <v>1439</v>
      </c>
      <c r="V82" s="33">
        <v>0</v>
      </c>
      <c r="W82" s="33">
        <v>0</v>
      </c>
      <c r="X82" s="33">
        <v>0</v>
      </c>
      <c r="Y82" s="33">
        <v>57</v>
      </c>
      <c r="Z82" s="33">
        <v>276</v>
      </c>
      <c r="AA82" s="33">
        <v>2</v>
      </c>
      <c r="AB82" s="33">
        <v>6</v>
      </c>
      <c r="AC82" s="33">
        <v>50</v>
      </c>
      <c r="AD82" s="33">
        <v>0</v>
      </c>
      <c r="AE82" s="33">
        <v>47.5</v>
      </c>
      <c r="AF82" s="33"/>
      <c r="AG82" s="33">
        <v>78</v>
      </c>
      <c r="AH82" s="33" t="s">
        <v>2009</v>
      </c>
      <c r="AI82" s="33" t="s">
        <v>1072</v>
      </c>
      <c r="AJ82" s="33" t="s">
        <v>804</v>
      </c>
      <c r="AK82" s="33" t="s">
        <v>1439</v>
      </c>
      <c r="AL82" s="33">
        <v>0</v>
      </c>
      <c r="AM82" s="33">
        <v>0</v>
      </c>
      <c r="AN82" s="33">
        <v>0</v>
      </c>
      <c r="AO82" s="33">
        <v>0</v>
      </c>
      <c r="AP82" s="33">
        <v>0</v>
      </c>
      <c r="AQ82" s="33">
        <v>0</v>
      </c>
      <c r="AR82" s="33">
        <v>39</v>
      </c>
      <c r="AS82" s="33">
        <v>538</v>
      </c>
      <c r="AT82" s="33">
        <v>3</v>
      </c>
      <c r="AU82" s="33">
        <v>91</v>
      </c>
      <c r="AV82" s="33"/>
      <c r="AW82" s="33">
        <v>78</v>
      </c>
      <c r="AX82" s="33" t="s">
        <v>2010</v>
      </c>
      <c r="AY82" s="33" t="s">
        <v>1072</v>
      </c>
      <c r="AZ82" s="33" t="s">
        <v>804</v>
      </c>
      <c r="BA82" s="33" t="s">
        <v>1439</v>
      </c>
      <c r="BB82" s="33">
        <v>0</v>
      </c>
      <c r="BC82" s="33">
        <v>0</v>
      </c>
      <c r="BD82" s="33">
        <v>0</v>
      </c>
      <c r="BE82" s="33">
        <v>0</v>
      </c>
      <c r="BF82" s="33">
        <v>0</v>
      </c>
      <c r="BG82" s="33">
        <v>0</v>
      </c>
      <c r="BH82" s="33">
        <v>0</v>
      </c>
      <c r="BI82" s="33">
        <v>0</v>
      </c>
      <c r="BJ82" s="33">
        <v>0</v>
      </c>
      <c r="BK82" s="33">
        <v>0</v>
      </c>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t="str">
        <f t="shared" si="2"/>
        <v>Maurice Jones-Drew</v>
      </c>
      <c r="CT82" s="33">
        <v>80</v>
      </c>
      <c r="CU82" s="33" t="s">
        <v>2011</v>
      </c>
      <c r="CV82" s="33">
        <v>5</v>
      </c>
      <c r="CW82" s="33" t="s">
        <v>2012</v>
      </c>
      <c r="CX82" s="33">
        <v>4</v>
      </c>
      <c r="CY82" s="33"/>
      <c r="CZ82" s="33" t="str">
        <f t="shared" si="3"/>
        <v>Jeremy Maclin</v>
      </c>
      <c r="DA82" s="33">
        <v>80</v>
      </c>
      <c r="DB82" s="33" t="s">
        <v>1919</v>
      </c>
      <c r="DC82" s="33">
        <v>7</v>
      </c>
      <c r="DD82" s="33" t="s">
        <v>1998</v>
      </c>
      <c r="DE82" s="33">
        <v>4</v>
      </c>
    </row>
    <row r="83" spans="1:109" ht="12.75" customHeight="1">
      <c r="A83" s="33">
        <v>79</v>
      </c>
      <c r="B83" s="33" t="s">
        <v>2013</v>
      </c>
      <c r="C83" s="33" t="s">
        <v>1072</v>
      </c>
      <c r="D83" s="33" t="s">
        <v>804</v>
      </c>
      <c r="E83" s="33" t="s">
        <v>1439</v>
      </c>
      <c r="F83" s="33">
        <v>0</v>
      </c>
      <c r="G83" s="33">
        <v>0</v>
      </c>
      <c r="H83" s="33">
        <v>0</v>
      </c>
      <c r="I83" s="33">
        <v>0</v>
      </c>
      <c r="J83" s="33">
        <v>0</v>
      </c>
      <c r="K83" s="33">
        <v>0</v>
      </c>
      <c r="L83" s="33">
        <v>0</v>
      </c>
      <c r="M83" s="33">
        <v>0</v>
      </c>
      <c r="N83" s="33">
        <v>0</v>
      </c>
      <c r="O83" s="33">
        <v>0</v>
      </c>
      <c r="P83" s="33"/>
      <c r="Q83" s="33">
        <v>79</v>
      </c>
      <c r="R83" s="33" t="s">
        <v>2014</v>
      </c>
      <c r="S83" s="33" t="s">
        <v>1072</v>
      </c>
      <c r="T83" s="33" t="s">
        <v>804</v>
      </c>
      <c r="U83" s="33" t="s">
        <v>1439</v>
      </c>
      <c r="V83" s="33">
        <v>0</v>
      </c>
      <c r="W83" s="33">
        <v>0</v>
      </c>
      <c r="X83" s="33">
        <v>0</v>
      </c>
      <c r="Y83" s="33">
        <v>52</v>
      </c>
      <c r="Z83" s="33">
        <v>187</v>
      </c>
      <c r="AA83" s="33">
        <v>1</v>
      </c>
      <c r="AB83" s="33">
        <v>9</v>
      </c>
      <c r="AC83" s="33">
        <v>62</v>
      </c>
      <c r="AD83" s="33">
        <v>0</v>
      </c>
      <c r="AE83" s="33">
        <v>34</v>
      </c>
      <c r="AF83" s="33"/>
      <c r="AG83" s="33">
        <v>79</v>
      </c>
      <c r="AH83" s="33" t="s">
        <v>2015</v>
      </c>
      <c r="AI83" s="33" t="s">
        <v>1072</v>
      </c>
      <c r="AJ83" s="33" t="s">
        <v>804</v>
      </c>
      <c r="AK83" s="33" t="s">
        <v>1439</v>
      </c>
      <c r="AL83" s="33">
        <v>0</v>
      </c>
      <c r="AM83" s="33">
        <v>0</v>
      </c>
      <c r="AN83" s="33">
        <v>0</v>
      </c>
      <c r="AO83" s="33">
        <v>0</v>
      </c>
      <c r="AP83" s="33">
        <v>0</v>
      </c>
      <c r="AQ83" s="33">
        <v>0</v>
      </c>
      <c r="AR83" s="33">
        <v>50</v>
      </c>
      <c r="AS83" s="33">
        <v>602</v>
      </c>
      <c r="AT83" s="33">
        <v>2</v>
      </c>
      <c r="AU83" s="33">
        <v>96</v>
      </c>
      <c r="AV83" s="33"/>
      <c r="AW83" s="33">
        <v>79</v>
      </c>
      <c r="AX83" s="33" t="s">
        <v>2016</v>
      </c>
      <c r="AY83" s="33" t="s">
        <v>1072</v>
      </c>
      <c r="AZ83" s="33" t="s">
        <v>804</v>
      </c>
      <c r="BA83" s="33" t="s">
        <v>1439</v>
      </c>
      <c r="BB83" s="33">
        <v>0</v>
      </c>
      <c r="BC83" s="33">
        <v>0</v>
      </c>
      <c r="BD83" s="33">
        <v>0</v>
      </c>
      <c r="BE83" s="33">
        <v>0</v>
      </c>
      <c r="BF83" s="33">
        <v>0</v>
      </c>
      <c r="BG83" s="33">
        <v>0</v>
      </c>
      <c r="BH83" s="33">
        <v>0</v>
      </c>
      <c r="BI83" s="33">
        <v>0</v>
      </c>
      <c r="BJ83" s="33">
        <v>0</v>
      </c>
      <c r="BK83" s="33">
        <v>0</v>
      </c>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t="str">
        <f t="shared" si="2"/>
        <v>Eric Decker</v>
      </c>
      <c r="CT83" s="33">
        <v>81</v>
      </c>
      <c r="CU83" s="33" t="s">
        <v>2017</v>
      </c>
      <c r="CV83" s="33">
        <v>11</v>
      </c>
      <c r="CW83" s="33" t="s">
        <v>2018</v>
      </c>
      <c r="CX83" s="33">
        <v>4</v>
      </c>
      <c r="CY83" s="33"/>
      <c r="CZ83" s="33" t="str">
        <f t="shared" si="3"/>
        <v>Sammy Watkins</v>
      </c>
      <c r="DA83" s="33">
        <v>81</v>
      </c>
      <c r="DB83" s="33" t="s">
        <v>1997</v>
      </c>
      <c r="DC83" s="33">
        <v>9</v>
      </c>
      <c r="DD83" s="33" t="s">
        <v>2005</v>
      </c>
      <c r="DE83" s="33">
        <v>4</v>
      </c>
    </row>
    <row r="84" spans="1:109" ht="12.75" customHeight="1">
      <c r="A84" s="33">
        <v>80</v>
      </c>
      <c r="B84" s="33" t="s">
        <v>2019</v>
      </c>
      <c r="C84" s="33" t="s">
        <v>1072</v>
      </c>
      <c r="D84" s="33" t="s">
        <v>804</v>
      </c>
      <c r="E84" s="33" t="s">
        <v>1439</v>
      </c>
      <c r="F84" s="33">
        <v>0</v>
      </c>
      <c r="G84" s="33">
        <v>0</v>
      </c>
      <c r="H84" s="33">
        <v>0</v>
      </c>
      <c r="I84" s="33">
        <v>0</v>
      </c>
      <c r="J84" s="33">
        <v>0</v>
      </c>
      <c r="K84" s="33">
        <v>0</v>
      </c>
      <c r="L84" s="33">
        <v>0</v>
      </c>
      <c r="M84" s="33">
        <v>0</v>
      </c>
      <c r="N84" s="33">
        <v>0</v>
      </c>
      <c r="O84" s="33">
        <v>0</v>
      </c>
      <c r="P84" s="33"/>
      <c r="Q84" s="33">
        <v>80</v>
      </c>
      <c r="R84" s="33" t="s">
        <v>2020</v>
      </c>
      <c r="S84" s="33" t="s">
        <v>1072</v>
      </c>
      <c r="T84" s="33" t="s">
        <v>804</v>
      </c>
      <c r="U84" s="33" t="s">
        <v>1439</v>
      </c>
      <c r="V84" s="33">
        <v>0</v>
      </c>
      <c r="W84" s="33">
        <v>0</v>
      </c>
      <c r="X84" s="33">
        <v>0</v>
      </c>
      <c r="Y84" s="33">
        <v>44</v>
      </c>
      <c r="Z84" s="33">
        <v>198</v>
      </c>
      <c r="AA84" s="33">
        <v>1</v>
      </c>
      <c r="AB84" s="33">
        <v>13</v>
      </c>
      <c r="AC84" s="33">
        <v>101</v>
      </c>
      <c r="AD84" s="33">
        <v>1</v>
      </c>
      <c r="AE84" s="33">
        <v>47</v>
      </c>
      <c r="AF84" s="33"/>
      <c r="AG84" s="33">
        <v>80</v>
      </c>
      <c r="AH84" s="33" t="s">
        <v>2021</v>
      </c>
      <c r="AI84" s="33" t="s">
        <v>1072</v>
      </c>
      <c r="AJ84" s="33" t="s">
        <v>804</v>
      </c>
      <c r="AK84" s="33" t="s">
        <v>1439</v>
      </c>
      <c r="AL84" s="33">
        <v>0</v>
      </c>
      <c r="AM84" s="33">
        <v>0</v>
      </c>
      <c r="AN84" s="33">
        <v>0</v>
      </c>
      <c r="AO84" s="33">
        <v>0</v>
      </c>
      <c r="AP84" s="33">
        <v>0</v>
      </c>
      <c r="AQ84" s="33">
        <v>0</v>
      </c>
      <c r="AR84" s="33">
        <v>39</v>
      </c>
      <c r="AS84" s="33">
        <v>600</v>
      </c>
      <c r="AT84" s="33">
        <v>2</v>
      </c>
      <c r="AU84" s="33">
        <v>91.5</v>
      </c>
      <c r="AV84" s="33"/>
      <c r="AW84" s="33">
        <v>80</v>
      </c>
      <c r="AX84" s="33" t="s">
        <v>2022</v>
      </c>
      <c r="AY84" s="33" t="s">
        <v>1072</v>
      </c>
      <c r="AZ84" s="33" t="s">
        <v>804</v>
      </c>
      <c r="BA84" s="33" t="s">
        <v>1439</v>
      </c>
      <c r="BB84" s="33">
        <v>0</v>
      </c>
      <c r="BC84" s="33">
        <v>0</v>
      </c>
      <c r="BD84" s="33">
        <v>0</v>
      </c>
      <c r="BE84" s="33">
        <v>0</v>
      </c>
      <c r="BF84" s="33">
        <v>0</v>
      </c>
      <c r="BG84" s="33">
        <v>0</v>
      </c>
      <c r="BH84" s="33">
        <v>0</v>
      </c>
      <c r="BI84" s="33">
        <v>0</v>
      </c>
      <c r="BJ84" s="33">
        <v>0</v>
      </c>
      <c r="BK84" s="33">
        <v>0</v>
      </c>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t="str">
        <f t="shared" si="2"/>
        <v>Terrance Williams</v>
      </c>
      <c r="CT84" s="33">
        <v>82</v>
      </c>
      <c r="CU84" s="33" t="s">
        <v>2023</v>
      </c>
      <c r="CV84" s="33">
        <v>11</v>
      </c>
      <c r="CW84" s="33" t="s">
        <v>2024</v>
      </c>
      <c r="CX84" s="33">
        <v>4</v>
      </c>
      <c r="CY84" s="33"/>
      <c r="CZ84" s="33" t="str">
        <f t="shared" si="3"/>
        <v>Stevan Ridley</v>
      </c>
      <c r="DA84" s="33">
        <v>82</v>
      </c>
      <c r="DB84" s="33" t="s">
        <v>1937</v>
      </c>
      <c r="DC84" s="33">
        <v>10</v>
      </c>
      <c r="DD84" s="33" t="s">
        <v>1960</v>
      </c>
      <c r="DE84" s="33">
        <v>4</v>
      </c>
    </row>
    <row r="85" spans="1:109" ht="12.75" customHeight="1">
      <c r="A85" s="33"/>
      <c r="B85" s="33"/>
      <c r="C85" s="33"/>
      <c r="D85" s="33"/>
      <c r="E85" s="33"/>
      <c r="F85" s="33"/>
      <c r="G85" s="33"/>
      <c r="H85" s="33"/>
      <c r="I85" s="33"/>
      <c r="J85" s="33"/>
      <c r="K85" s="33"/>
      <c r="L85" s="33"/>
      <c r="M85" s="33"/>
      <c r="N85" s="33"/>
      <c r="O85" s="33"/>
      <c r="P85" s="33"/>
      <c r="Q85" s="33" t="s">
        <v>1419</v>
      </c>
      <c r="R85" s="33" t="s">
        <v>1420</v>
      </c>
      <c r="S85" s="33" t="s">
        <v>1421</v>
      </c>
      <c r="T85" s="33" t="s">
        <v>1422</v>
      </c>
      <c r="U85" s="33" t="s">
        <v>1423</v>
      </c>
      <c r="V85" s="33" t="s">
        <v>1424</v>
      </c>
      <c r="W85" s="33" t="s">
        <v>804</v>
      </c>
      <c r="X85" s="33" t="s">
        <v>804</v>
      </c>
      <c r="Y85" s="33" t="s">
        <v>804</v>
      </c>
      <c r="Z85" s="33" t="s">
        <v>804</v>
      </c>
      <c r="AA85" s="33" t="s">
        <v>804</v>
      </c>
      <c r="AB85" s="33" t="s">
        <v>804</v>
      </c>
      <c r="AC85" s="33" t="s">
        <v>804</v>
      </c>
      <c r="AD85" s="33" t="s">
        <v>804</v>
      </c>
      <c r="AE85" s="33" t="s">
        <v>804</v>
      </c>
      <c r="AF85" s="33"/>
      <c r="AG85" s="33" t="s">
        <v>1419</v>
      </c>
      <c r="AH85" s="33" t="s">
        <v>1420</v>
      </c>
      <c r="AI85" s="33" t="s">
        <v>1421</v>
      </c>
      <c r="AJ85" s="33" t="s">
        <v>1422</v>
      </c>
      <c r="AK85" s="33" t="s">
        <v>1423</v>
      </c>
      <c r="AL85" s="33" t="s">
        <v>1424</v>
      </c>
      <c r="AM85" s="33" t="s">
        <v>804</v>
      </c>
      <c r="AN85" s="33" t="s">
        <v>804</v>
      </c>
      <c r="AO85" s="33" t="s">
        <v>804</v>
      </c>
      <c r="AP85" s="33" t="s">
        <v>804</v>
      </c>
      <c r="AQ85" s="33" t="s">
        <v>804</v>
      </c>
      <c r="AR85" s="33" t="s">
        <v>804</v>
      </c>
      <c r="AS85" s="33" t="s">
        <v>804</v>
      </c>
      <c r="AT85" s="33" t="s">
        <v>804</v>
      </c>
      <c r="AU85" s="33" t="s">
        <v>804</v>
      </c>
      <c r="AV85" s="33"/>
      <c r="AW85" s="33" t="s">
        <v>1419</v>
      </c>
      <c r="AX85" s="33" t="s">
        <v>1420</v>
      </c>
      <c r="AY85" s="33" t="s">
        <v>1421</v>
      </c>
      <c r="AZ85" s="33" t="s">
        <v>1422</v>
      </c>
      <c r="BA85" s="33" t="s">
        <v>1423</v>
      </c>
      <c r="BB85" s="33" t="s">
        <v>1424</v>
      </c>
      <c r="BC85" s="33" t="s">
        <v>804</v>
      </c>
      <c r="BD85" s="33" t="s">
        <v>804</v>
      </c>
      <c r="BE85" s="33" t="s">
        <v>804</v>
      </c>
      <c r="BF85" s="33" t="s">
        <v>804</v>
      </c>
      <c r="BG85" s="33" t="s">
        <v>804</v>
      </c>
      <c r="BH85" s="33" t="s">
        <v>804</v>
      </c>
      <c r="BI85" s="33" t="s">
        <v>804</v>
      </c>
      <c r="BJ85" s="33" t="s">
        <v>804</v>
      </c>
      <c r="BK85" s="33" t="s">
        <v>804</v>
      </c>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t="str">
        <f t="shared" si="2"/>
        <v>Cecil Shorts</v>
      </c>
      <c r="CT85" s="33">
        <v>83</v>
      </c>
      <c r="CU85" s="33" t="s">
        <v>2025</v>
      </c>
      <c r="CV85" s="33">
        <v>11</v>
      </c>
      <c r="CW85" s="33" t="s">
        <v>2026</v>
      </c>
      <c r="CX85" s="33">
        <v>4</v>
      </c>
      <c r="CY85" s="33"/>
      <c r="CZ85" s="33" t="str">
        <f t="shared" si="3"/>
        <v>Eric Decker</v>
      </c>
      <c r="DA85" s="33">
        <v>83</v>
      </c>
      <c r="DB85" s="33" t="s">
        <v>2017</v>
      </c>
      <c r="DC85" s="33">
        <v>11</v>
      </c>
      <c r="DD85" s="33" t="s">
        <v>2018</v>
      </c>
      <c r="DE85" s="33">
        <v>4</v>
      </c>
    </row>
    <row r="86" spans="1:109" ht="12.75" customHeight="1">
      <c r="A86" s="33"/>
      <c r="B86" s="33"/>
      <c r="C86" s="33"/>
      <c r="D86" s="33"/>
      <c r="E86" s="33"/>
      <c r="F86" s="33"/>
      <c r="G86" s="33"/>
      <c r="H86" s="33"/>
      <c r="I86" s="33"/>
      <c r="J86" s="33"/>
      <c r="K86" s="33"/>
      <c r="L86" s="33"/>
      <c r="M86" s="33"/>
      <c r="N86" s="33"/>
      <c r="O86" s="33"/>
      <c r="P86" s="33"/>
      <c r="Q86" s="33" t="s">
        <v>1425</v>
      </c>
      <c r="R86" s="33" t="s">
        <v>1426</v>
      </c>
      <c r="S86" s="33" t="s">
        <v>1427</v>
      </c>
      <c r="T86" s="33" t="s">
        <v>1428</v>
      </c>
      <c r="U86" s="33" t="s">
        <v>1429</v>
      </c>
      <c r="V86" s="33" t="s">
        <v>1430</v>
      </c>
      <c r="W86" s="33" t="s">
        <v>785</v>
      </c>
      <c r="X86" s="33" t="s">
        <v>796</v>
      </c>
      <c r="Y86" s="33" t="s">
        <v>1431</v>
      </c>
      <c r="Z86" s="33" t="s">
        <v>1430</v>
      </c>
      <c r="AA86" s="33" t="s">
        <v>785</v>
      </c>
      <c r="AB86" s="33" t="s">
        <v>1432</v>
      </c>
      <c r="AC86" s="33" t="s">
        <v>1430</v>
      </c>
      <c r="AD86" s="33" t="s">
        <v>785</v>
      </c>
      <c r="AE86" s="33" t="s">
        <v>1433</v>
      </c>
      <c r="AF86" s="33"/>
      <c r="AG86" s="33" t="s">
        <v>1425</v>
      </c>
      <c r="AH86" s="33" t="s">
        <v>1426</v>
      </c>
      <c r="AI86" s="33" t="s">
        <v>1427</v>
      </c>
      <c r="AJ86" s="33" t="s">
        <v>1428</v>
      </c>
      <c r="AK86" s="33" t="s">
        <v>1429</v>
      </c>
      <c r="AL86" s="33" t="s">
        <v>1430</v>
      </c>
      <c r="AM86" s="33" t="s">
        <v>785</v>
      </c>
      <c r="AN86" s="33" t="s">
        <v>796</v>
      </c>
      <c r="AO86" s="33" t="s">
        <v>1431</v>
      </c>
      <c r="AP86" s="33" t="s">
        <v>1430</v>
      </c>
      <c r="AQ86" s="33" t="s">
        <v>785</v>
      </c>
      <c r="AR86" s="33" t="s">
        <v>1432</v>
      </c>
      <c r="AS86" s="33" t="s">
        <v>1430</v>
      </c>
      <c r="AT86" s="33" t="s">
        <v>785</v>
      </c>
      <c r="AU86" s="33" t="s">
        <v>1433</v>
      </c>
      <c r="AV86" s="33"/>
      <c r="AW86" s="33" t="s">
        <v>1425</v>
      </c>
      <c r="AX86" s="33" t="s">
        <v>1426</v>
      </c>
      <c r="AY86" s="33" t="s">
        <v>1427</v>
      </c>
      <c r="AZ86" s="33" t="s">
        <v>1428</v>
      </c>
      <c r="BA86" s="33" t="s">
        <v>1429</v>
      </c>
      <c r="BB86" s="33" t="s">
        <v>1430</v>
      </c>
      <c r="BC86" s="33" t="s">
        <v>785</v>
      </c>
      <c r="BD86" s="33" t="s">
        <v>796</v>
      </c>
      <c r="BE86" s="33" t="s">
        <v>1431</v>
      </c>
      <c r="BF86" s="33" t="s">
        <v>1430</v>
      </c>
      <c r="BG86" s="33" t="s">
        <v>785</v>
      </c>
      <c r="BH86" s="33" t="s">
        <v>1432</v>
      </c>
      <c r="BI86" s="33" t="s">
        <v>1430</v>
      </c>
      <c r="BJ86" s="33" t="s">
        <v>785</v>
      </c>
      <c r="BK86" s="33" t="s">
        <v>1433</v>
      </c>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t="str">
        <f t="shared" si="2"/>
        <v>Fred Jackson</v>
      </c>
      <c r="CT86" s="33">
        <v>84</v>
      </c>
      <c r="CU86" s="33" t="s">
        <v>2027</v>
      </c>
      <c r="CV86" s="33">
        <v>9</v>
      </c>
      <c r="CW86" s="33" t="s">
        <v>2028</v>
      </c>
      <c r="CX86" s="33">
        <v>4</v>
      </c>
      <c r="CY86" s="33"/>
      <c r="CZ86" s="33" t="str">
        <f t="shared" si="3"/>
        <v>Danny Woodhead</v>
      </c>
      <c r="DA86" s="33">
        <v>84</v>
      </c>
      <c r="DB86" s="33" t="s">
        <v>2029</v>
      </c>
      <c r="DC86" s="33">
        <v>10</v>
      </c>
      <c r="DD86" s="33" t="s">
        <v>1992</v>
      </c>
      <c r="DE86" s="33">
        <v>3</v>
      </c>
    </row>
    <row r="87" spans="1:109" ht="12.75" customHeight="1">
      <c r="A87" s="33"/>
      <c r="B87" s="33"/>
      <c r="C87" s="33"/>
      <c r="D87" s="33"/>
      <c r="E87" s="33"/>
      <c r="F87" s="33"/>
      <c r="G87" s="33"/>
      <c r="H87" s="33"/>
      <c r="I87" s="33"/>
      <c r="J87" s="33"/>
      <c r="K87" s="33"/>
      <c r="L87" s="33"/>
      <c r="M87" s="33"/>
      <c r="N87" s="33"/>
      <c r="O87" s="33"/>
      <c r="P87" s="33"/>
      <c r="Q87" s="33">
        <v>81</v>
      </c>
      <c r="R87" s="33" t="s">
        <v>2030</v>
      </c>
      <c r="S87" s="33" t="s">
        <v>1072</v>
      </c>
      <c r="T87" s="33" t="s">
        <v>804</v>
      </c>
      <c r="U87" s="33" t="s">
        <v>1439</v>
      </c>
      <c r="V87" s="33">
        <v>0</v>
      </c>
      <c r="W87" s="33">
        <v>0</v>
      </c>
      <c r="X87" s="33">
        <v>0</v>
      </c>
      <c r="Y87" s="33">
        <v>65</v>
      </c>
      <c r="Z87" s="33">
        <v>277</v>
      </c>
      <c r="AA87" s="33">
        <v>0</v>
      </c>
      <c r="AB87" s="33">
        <v>27</v>
      </c>
      <c r="AC87" s="33">
        <v>204</v>
      </c>
      <c r="AD87" s="33">
        <v>0</v>
      </c>
      <c r="AE87" s="33">
        <v>60</v>
      </c>
      <c r="AF87" s="33"/>
      <c r="AG87" s="33">
        <v>81</v>
      </c>
      <c r="AH87" s="33" t="s">
        <v>2031</v>
      </c>
      <c r="AI87" s="33" t="s">
        <v>1072</v>
      </c>
      <c r="AJ87" s="33" t="s">
        <v>804</v>
      </c>
      <c r="AK87" s="33" t="s">
        <v>1439</v>
      </c>
      <c r="AL87" s="33">
        <v>0</v>
      </c>
      <c r="AM87" s="33">
        <v>0</v>
      </c>
      <c r="AN87" s="33">
        <v>0</v>
      </c>
      <c r="AO87" s="33">
        <v>6</v>
      </c>
      <c r="AP87" s="33">
        <v>48</v>
      </c>
      <c r="AQ87" s="33">
        <v>0</v>
      </c>
      <c r="AR87" s="33">
        <v>41</v>
      </c>
      <c r="AS87" s="33">
        <v>483</v>
      </c>
      <c r="AT87" s="33">
        <v>4</v>
      </c>
      <c r="AU87" s="33">
        <v>97</v>
      </c>
      <c r="AV87" s="33"/>
      <c r="AW87" s="33">
        <v>81</v>
      </c>
      <c r="AX87" s="33" t="s">
        <v>2032</v>
      </c>
      <c r="AY87" s="33" t="s">
        <v>1072</v>
      </c>
      <c r="AZ87" s="33" t="s">
        <v>804</v>
      </c>
      <c r="BA87" s="33" t="s">
        <v>1439</v>
      </c>
      <c r="BB87" s="33">
        <v>0</v>
      </c>
      <c r="BC87" s="33">
        <v>0</v>
      </c>
      <c r="BD87" s="33">
        <v>0</v>
      </c>
      <c r="BE87" s="33">
        <v>0</v>
      </c>
      <c r="BF87" s="33">
        <v>0</v>
      </c>
      <c r="BG87" s="33">
        <v>0</v>
      </c>
      <c r="BH87" s="33">
        <v>0</v>
      </c>
      <c r="BI87" s="33">
        <v>0</v>
      </c>
      <c r="BJ87" s="33">
        <v>0</v>
      </c>
      <c r="BK87" s="33">
        <v>0</v>
      </c>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t="str">
        <f t="shared" si="2"/>
        <v>Darren Sproles</v>
      </c>
      <c r="CT87" s="33">
        <v>85</v>
      </c>
      <c r="CU87" s="33" t="s">
        <v>2033</v>
      </c>
      <c r="CV87" s="33">
        <v>7</v>
      </c>
      <c r="CW87" s="33" t="s">
        <v>2034</v>
      </c>
      <c r="CX87" s="33">
        <v>4</v>
      </c>
      <c r="CY87" s="33"/>
      <c r="CZ87" s="33" t="str">
        <f t="shared" si="3"/>
        <v>Terrance Williams</v>
      </c>
      <c r="DA87" s="33">
        <v>85</v>
      </c>
      <c r="DB87" s="33" t="s">
        <v>2023</v>
      </c>
      <c r="DC87" s="33">
        <v>11</v>
      </c>
      <c r="DD87" s="33" t="s">
        <v>2024</v>
      </c>
      <c r="DE87" s="33">
        <v>3</v>
      </c>
    </row>
    <row r="88" spans="1:109" ht="12.75" customHeight="1">
      <c r="A88" s="33"/>
      <c r="B88" s="33"/>
      <c r="C88" s="33"/>
      <c r="D88" s="33"/>
      <c r="E88" s="33"/>
      <c r="F88" s="33"/>
      <c r="G88" s="33"/>
      <c r="H88" s="33"/>
      <c r="I88" s="33"/>
      <c r="J88" s="33"/>
      <c r="K88" s="33"/>
      <c r="L88" s="33"/>
      <c r="M88" s="33"/>
      <c r="N88" s="33"/>
      <c r="O88" s="33"/>
      <c r="P88" s="33"/>
      <c r="Q88" s="33">
        <v>82</v>
      </c>
      <c r="R88" s="33" t="s">
        <v>2035</v>
      </c>
      <c r="S88" s="33" t="s">
        <v>1072</v>
      </c>
      <c r="T88" s="33" t="s">
        <v>804</v>
      </c>
      <c r="U88" s="33" t="s">
        <v>1439</v>
      </c>
      <c r="V88" s="33">
        <v>0</v>
      </c>
      <c r="W88" s="33">
        <v>0</v>
      </c>
      <c r="X88" s="33">
        <v>0</v>
      </c>
      <c r="Y88" s="33">
        <v>43</v>
      </c>
      <c r="Z88" s="33">
        <v>163</v>
      </c>
      <c r="AA88" s="33">
        <v>2</v>
      </c>
      <c r="AB88" s="33">
        <v>11</v>
      </c>
      <c r="AC88" s="33">
        <v>59</v>
      </c>
      <c r="AD88" s="33">
        <v>0</v>
      </c>
      <c r="AE88" s="33">
        <v>38</v>
      </c>
      <c r="AF88" s="33"/>
      <c r="AG88" s="33">
        <v>82</v>
      </c>
      <c r="AH88" s="33" t="s">
        <v>2036</v>
      </c>
      <c r="AI88" s="33" t="s">
        <v>1072</v>
      </c>
      <c r="AJ88" s="33" t="s">
        <v>804</v>
      </c>
      <c r="AK88" s="33" t="s">
        <v>1439</v>
      </c>
      <c r="AL88" s="33">
        <v>0</v>
      </c>
      <c r="AM88" s="33">
        <v>0</v>
      </c>
      <c r="AN88" s="33">
        <v>0</v>
      </c>
      <c r="AO88" s="33">
        <v>3</v>
      </c>
      <c r="AP88" s="33">
        <v>12</v>
      </c>
      <c r="AQ88" s="33">
        <v>0</v>
      </c>
      <c r="AR88" s="33">
        <v>43</v>
      </c>
      <c r="AS88" s="33">
        <v>632</v>
      </c>
      <c r="AT88" s="33">
        <v>3</v>
      </c>
      <c r="AU88" s="33">
        <v>103.5</v>
      </c>
      <c r="AV88" s="33"/>
      <c r="AW88" s="33">
        <v>82</v>
      </c>
      <c r="AX88" s="33" t="s">
        <v>2037</v>
      </c>
      <c r="AY88" s="33" t="s">
        <v>1072</v>
      </c>
      <c r="AZ88" s="33" t="s">
        <v>804</v>
      </c>
      <c r="BA88" s="33" t="s">
        <v>1754</v>
      </c>
      <c r="BB88" s="33" t="s">
        <v>1755</v>
      </c>
      <c r="BC88" s="33" t="s">
        <v>1755</v>
      </c>
      <c r="BD88" s="33" t="s">
        <v>1755</v>
      </c>
      <c r="BE88" s="33" t="s">
        <v>1755</v>
      </c>
      <c r="BF88" s="33" t="s">
        <v>1755</v>
      </c>
      <c r="BG88" s="33" t="s">
        <v>1755</v>
      </c>
      <c r="BH88" s="33" t="s">
        <v>1755</v>
      </c>
      <c r="BI88" s="33" t="s">
        <v>1755</v>
      </c>
      <c r="BJ88" s="33" t="s">
        <v>1755</v>
      </c>
      <c r="BK88" s="33" t="s">
        <v>1755</v>
      </c>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t="str">
        <f t="shared" si="2"/>
        <v>DeAngelo Williams</v>
      </c>
      <c r="CT88" s="33">
        <v>86</v>
      </c>
      <c r="CU88" s="33" t="s">
        <v>2038</v>
      </c>
      <c r="CV88" s="33">
        <v>12</v>
      </c>
      <c r="CW88" s="33" t="s">
        <v>2039</v>
      </c>
      <c r="CX88" s="33">
        <v>4</v>
      </c>
      <c r="CY88" s="33"/>
      <c r="CZ88" s="33" t="str">
        <f t="shared" si="3"/>
        <v>Anquan Boldin</v>
      </c>
      <c r="DA88" s="33">
        <v>86</v>
      </c>
      <c r="DB88" s="33" t="s">
        <v>2040</v>
      </c>
      <c r="DC88" s="33">
        <v>8</v>
      </c>
      <c r="DD88" s="33" t="s">
        <v>2026</v>
      </c>
      <c r="DE88" s="33">
        <v>3</v>
      </c>
    </row>
    <row r="89" spans="1:109" ht="12.75" customHeight="1">
      <c r="A89" s="33"/>
      <c r="B89" s="33"/>
      <c r="C89" s="33"/>
      <c r="D89" s="33"/>
      <c r="E89" s="33"/>
      <c r="F89" s="33"/>
      <c r="G89" s="33"/>
      <c r="H89" s="33"/>
      <c r="I89" s="33"/>
      <c r="J89" s="33"/>
      <c r="K89" s="33"/>
      <c r="L89" s="33"/>
      <c r="M89" s="33"/>
      <c r="N89" s="33"/>
      <c r="O89" s="33"/>
      <c r="P89" s="33"/>
      <c r="Q89" s="33">
        <v>83</v>
      </c>
      <c r="R89" s="33" t="s">
        <v>2041</v>
      </c>
      <c r="S89" s="33" t="s">
        <v>1072</v>
      </c>
      <c r="T89" s="33" t="s">
        <v>804</v>
      </c>
      <c r="U89" s="33" t="s">
        <v>1439</v>
      </c>
      <c r="V89" s="33">
        <v>0</v>
      </c>
      <c r="W89" s="33">
        <v>0</v>
      </c>
      <c r="X89" s="33">
        <v>0</v>
      </c>
      <c r="Y89" s="33">
        <v>39</v>
      </c>
      <c r="Z89" s="33">
        <v>149</v>
      </c>
      <c r="AA89" s="33">
        <v>1</v>
      </c>
      <c r="AB89" s="33">
        <v>11</v>
      </c>
      <c r="AC89" s="33">
        <v>68</v>
      </c>
      <c r="AD89" s="33">
        <v>0</v>
      </c>
      <c r="AE89" s="33">
        <v>32.5</v>
      </c>
      <c r="AF89" s="33"/>
      <c r="AG89" s="33">
        <v>83</v>
      </c>
      <c r="AH89" s="33" t="s">
        <v>2042</v>
      </c>
      <c r="AI89" s="33" t="s">
        <v>1072</v>
      </c>
      <c r="AJ89" s="33" t="s">
        <v>804</v>
      </c>
      <c r="AK89" s="33" t="s">
        <v>1439</v>
      </c>
      <c r="AL89" s="33">
        <v>0</v>
      </c>
      <c r="AM89" s="33">
        <v>0</v>
      </c>
      <c r="AN89" s="33">
        <v>0</v>
      </c>
      <c r="AO89" s="33">
        <v>0</v>
      </c>
      <c r="AP89" s="33">
        <v>0</v>
      </c>
      <c r="AQ89" s="33">
        <v>0</v>
      </c>
      <c r="AR89" s="33">
        <v>33</v>
      </c>
      <c r="AS89" s="33">
        <v>492</v>
      </c>
      <c r="AT89" s="33">
        <v>3</v>
      </c>
      <c r="AU89" s="33">
        <v>83.5</v>
      </c>
      <c r="AV89" s="33"/>
      <c r="AW89" s="33">
        <v>83</v>
      </c>
      <c r="AX89" s="33" t="s">
        <v>2043</v>
      </c>
      <c r="AY89" s="33" t="s">
        <v>1072</v>
      </c>
      <c r="AZ89" s="33" t="s">
        <v>804</v>
      </c>
      <c r="BA89" s="33" t="s">
        <v>1754</v>
      </c>
      <c r="BB89" s="33" t="s">
        <v>1755</v>
      </c>
      <c r="BC89" s="33" t="s">
        <v>1755</v>
      </c>
      <c r="BD89" s="33" t="s">
        <v>1755</v>
      </c>
      <c r="BE89" s="33" t="s">
        <v>1755</v>
      </c>
      <c r="BF89" s="33" t="s">
        <v>1755</v>
      </c>
      <c r="BG89" s="33" t="s">
        <v>1755</v>
      </c>
      <c r="BH89" s="33" t="s">
        <v>1755</v>
      </c>
      <c r="BI89" s="33" t="s">
        <v>1755</v>
      </c>
      <c r="BJ89" s="33" t="s">
        <v>1755</v>
      </c>
      <c r="BK89" s="33" t="s">
        <v>1755</v>
      </c>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t="str">
        <f t="shared" si="2"/>
        <v>Khiry Robinson</v>
      </c>
      <c r="CT89" s="33">
        <v>87</v>
      </c>
      <c r="CU89" s="33" t="s">
        <v>2044</v>
      </c>
      <c r="CV89" s="33">
        <v>6</v>
      </c>
      <c r="CW89" s="33" t="s">
        <v>2045</v>
      </c>
      <c r="CX89" s="33">
        <v>3</v>
      </c>
      <c r="CY89" s="33"/>
      <c r="CZ89" s="33" t="str">
        <f t="shared" si="3"/>
        <v>Cecil Shorts</v>
      </c>
      <c r="DA89" s="33">
        <v>87</v>
      </c>
      <c r="DB89" s="33" t="s">
        <v>2025</v>
      </c>
      <c r="DC89" s="33">
        <v>11</v>
      </c>
      <c r="DD89" s="33" t="s">
        <v>2046</v>
      </c>
      <c r="DE89" s="33">
        <v>3</v>
      </c>
    </row>
    <row r="90" spans="1:109" ht="12.75" customHeight="1">
      <c r="A90" s="33"/>
      <c r="B90" s="33"/>
      <c r="C90" s="33"/>
      <c r="D90" s="33"/>
      <c r="E90" s="33"/>
      <c r="F90" s="33"/>
      <c r="G90" s="33"/>
      <c r="H90" s="33"/>
      <c r="I90" s="33"/>
      <c r="J90" s="33"/>
      <c r="K90" s="33"/>
      <c r="L90" s="33"/>
      <c r="M90" s="33"/>
      <c r="N90" s="33"/>
      <c r="O90" s="33"/>
      <c r="P90" s="33"/>
      <c r="Q90" s="33">
        <v>84</v>
      </c>
      <c r="R90" s="33" t="s">
        <v>2047</v>
      </c>
      <c r="S90" s="33" t="s">
        <v>1072</v>
      </c>
      <c r="T90" s="33" t="s">
        <v>804</v>
      </c>
      <c r="U90" s="33" t="s">
        <v>1439</v>
      </c>
      <c r="V90" s="33">
        <v>0</v>
      </c>
      <c r="W90" s="33">
        <v>0</v>
      </c>
      <c r="X90" s="33">
        <v>0</v>
      </c>
      <c r="Y90" s="33">
        <v>39</v>
      </c>
      <c r="Z90" s="33">
        <v>155</v>
      </c>
      <c r="AA90" s="33">
        <v>1</v>
      </c>
      <c r="AB90" s="33">
        <v>3</v>
      </c>
      <c r="AC90" s="33">
        <v>18</v>
      </c>
      <c r="AD90" s="33">
        <v>0</v>
      </c>
      <c r="AE90" s="33">
        <v>23.5</v>
      </c>
      <c r="AF90" s="33"/>
      <c r="AG90" s="33">
        <v>84</v>
      </c>
      <c r="AH90" s="33" t="s">
        <v>2048</v>
      </c>
      <c r="AI90" s="33" t="s">
        <v>1072</v>
      </c>
      <c r="AJ90" s="33" t="s">
        <v>804</v>
      </c>
      <c r="AK90" s="33" t="s">
        <v>1439</v>
      </c>
      <c r="AL90" s="33">
        <v>0</v>
      </c>
      <c r="AM90" s="33">
        <v>0</v>
      </c>
      <c r="AN90" s="33">
        <v>0</v>
      </c>
      <c r="AO90" s="33">
        <v>0</v>
      </c>
      <c r="AP90" s="33">
        <v>0</v>
      </c>
      <c r="AQ90" s="33">
        <v>0</v>
      </c>
      <c r="AR90" s="33">
        <v>33</v>
      </c>
      <c r="AS90" s="33">
        <v>363</v>
      </c>
      <c r="AT90" s="33">
        <v>4</v>
      </c>
      <c r="AU90" s="33">
        <v>76.5</v>
      </c>
      <c r="AV90" s="33"/>
      <c r="AW90" s="33">
        <v>84</v>
      </c>
      <c r="AX90" s="33" t="s">
        <v>2049</v>
      </c>
      <c r="AY90" s="33" t="s">
        <v>1072</v>
      </c>
      <c r="AZ90" s="33" t="s">
        <v>804</v>
      </c>
      <c r="BA90" s="33" t="s">
        <v>1754</v>
      </c>
      <c r="BB90" s="33" t="s">
        <v>1755</v>
      </c>
      <c r="BC90" s="33" t="s">
        <v>1755</v>
      </c>
      <c r="BD90" s="33" t="s">
        <v>1755</v>
      </c>
      <c r="BE90" s="33" t="s">
        <v>1755</v>
      </c>
      <c r="BF90" s="33" t="s">
        <v>1755</v>
      </c>
      <c r="BG90" s="33" t="s">
        <v>1755</v>
      </c>
      <c r="BH90" s="33" t="s">
        <v>1755</v>
      </c>
      <c r="BI90" s="33" t="s">
        <v>1755</v>
      </c>
      <c r="BJ90" s="33" t="s">
        <v>1755</v>
      </c>
      <c r="BK90" s="33" t="s">
        <v>1755</v>
      </c>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t="str">
        <f t="shared" si="2"/>
        <v>Anquan Boldin</v>
      </c>
      <c r="CT90" s="33">
        <v>88</v>
      </c>
      <c r="CU90" s="33" t="s">
        <v>2040</v>
      </c>
      <c r="CV90" s="33">
        <v>8</v>
      </c>
      <c r="CW90" s="33" t="s">
        <v>2046</v>
      </c>
      <c r="CX90" s="33">
        <v>3</v>
      </c>
      <c r="CY90" s="33"/>
      <c r="CZ90" s="33" t="str">
        <f t="shared" si="3"/>
        <v>DeAndre Hopkins</v>
      </c>
      <c r="DA90" s="33">
        <v>88</v>
      </c>
      <c r="DB90" s="33" t="s">
        <v>2050</v>
      </c>
      <c r="DC90" s="33">
        <v>10</v>
      </c>
      <c r="DD90" s="33" t="s">
        <v>2051</v>
      </c>
      <c r="DE90" s="33">
        <v>3</v>
      </c>
    </row>
    <row r="91" spans="1:109" ht="12.75" customHeight="1">
      <c r="A91" s="33"/>
      <c r="B91" s="33"/>
      <c r="C91" s="33"/>
      <c r="D91" s="33"/>
      <c r="E91" s="33"/>
      <c r="F91" s="33"/>
      <c r="G91" s="33"/>
      <c r="H91" s="33"/>
      <c r="I91" s="33"/>
      <c r="J91" s="33"/>
      <c r="K91" s="33"/>
      <c r="L91" s="33"/>
      <c r="M91" s="33"/>
      <c r="N91" s="33"/>
      <c r="O91" s="33"/>
      <c r="P91" s="33"/>
      <c r="Q91" s="33">
        <v>85</v>
      </c>
      <c r="R91" s="33" t="s">
        <v>2052</v>
      </c>
      <c r="S91" s="33" t="s">
        <v>1072</v>
      </c>
      <c r="T91" s="33" t="s">
        <v>804</v>
      </c>
      <c r="U91" s="33" t="s">
        <v>1439</v>
      </c>
      <c r="V91" s="33">
        <v>0</v>
      </c>
      <c r="W91" s="33">
        <v>0</v>
      </c>
      <c r="X91" s="33">
        <v>0</v>
      </c>
      <c r="Y91" s="33">
        <v>48</v>
      </c>
      <c r="Z91" s="33">
        <v>185</v>
      </c>
      <c r="AA91" s="33">
        <v>1</v>
      </c>
      <c r="AB91" s="33">
        <v>13</v>
      </c>
      <c r="AC91" s="33">
        <v>72</v>
      </c>
      <c r="AD91" s="33">
        <v>0</v>
      </c>
      <c r="AE91" s="33">
        <v>38</v>
      </c>
      <c r="AF91" s="33"/>
      <c r="AG91" s="33">
        <v>85</v>
      </c>
      <c r="AH91" s="33" t="s">
        <v>2053</v>
      </c>
      <c r="AI91" s="33" t="s">
        <v>1072</v>
      </c>
      <c r="AJ91" s="33" t="s">
        <v>804</v>
      </c>
      <c r="AK91" s="33" t="s">
        <v>1439</v>
      </c>
      <c r="AL91" s="33">
        <v>0</v>
      </c>
      <c r="AM91" s="33">
        <v>0</v>
      </c>
      <c r="AN91" s="33">
        <v>0</v>
      </c>
      <c r="AO91" s="33">
        <v>5</v>
      </c>
      <c r="AP91" s="33">
        <v>19</v>
      </c>
      <c r="AQ91" s="33">
        <v>0</v>
      </c>
      <c r="AR91" s="33">
        <v>51</v>
      </c>
      <c r="AS91" s="33">
        <v>616</v>
      </c>
      <c r="AT91" s="33">
        <v>2</v>
      </c>
      <c r="AU91" s="33">
        <v>99.5</v>
      </c>
      <c r="AV91" s="33"/>
      <c r="AW91" s="33">
        <v>85</v>
      </c>
      <c r="AX91" s="33" t="s">
        <v>2054</v>
      </c>
      <c r="AY91" s="33" t="s">
        <v>1072</v>
      </c>
      <c r="AZ91" s="33" t="s">
        <v>804</v>
      </c>
      <c r="BA91" s="33" t="s">
        <v>1754</v>
      </c>
      <c r="BB91" s="33" t="s">
        <v>1755</v>
      </c>
      <c r="BC91" s="33" t="s">
        <v>1755</v>
      </c>
      <c r="BD91" s="33" t="s">
        <v>1755</v>
      </c>
      <c r="BE91" s="33" t="s">
        <v>1755</v>
      </c>
      <c r="BF91" s="33" t="s">
        <v>1755</v>
      </c>
      <c r="BG91" s="33" t="s">
        <v>1755</v>
      </c>
      <c r="BH91" s="33" t="s">
        <v>1755</v>
      </c>
      <c r="BI91" s="33" t="s">
        <v>1755</v>
      </c>
      <c r="BJ91" s="33" t="s">
        <v>1755</v>
      </c>
      <c r="BK91" s="33" t="s">
        <v>1755</v>
      </c>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t="str">
        <f t="shared" si="2"/>
        <v>Lamar Miller</v>
      </c>
      <c r="CT91" s="33">
        <v>89</v>
      </c>
      <c r="CU91" s="33" t="s">
        <v>2055</v>
      </c>
      <c r="CV91" s="33">
        <v>5</v>
      </c>
      <c r="CW91" s="33" t="s">
        <v>2056</v>
      </c>
      <c r="CX91" s="33">
        <v>3</v>
      </c>
      <c r="CY91" s="33"/>
      <c r="CZ91" s="33" t="str">
        <f t="shared" si="3"/>
        <v>Riley Cooper</v>
      </c>
      <c r="DA91" s="33">
        <v>89</v>
      </c>
      <c r="DB91" s="33" t="s">
        <v>2057</v>
      </c>
      <c r="DC91" s="33">
        <v>7</v>
      </c>
      <c r="DD91" s="33" t="s">
        <v>2058</v>
      </c>
      <c r="DE91" s="33">
        <v>3</v>
      </c>
    </row>
    <row r="92" spans="1:109" ht="12.75" customHeight="1">
      <c r="A92" s="33"/>
      <c r="B92" s="33"/>
      <c r="C92" s="33"/>
      <c r="D92" s="33"/>
      <c r="E92" s="33"/>
      <c r="F92" s="33"/>
      <c r="G92" s="33"/>
      <c r="H92" s="33"/>
      <c r="I92" s="33"/>
      <c r="J92" s="33"/>
      <c r="K92" s="33"/>
      <c r="L92" s="33"/>
      <c r="M92" s="33"/>
      <c r="N92" s="33"/>
      <c r="O92" s="33"/>
      <c r="P92" s="33"/>
      <c r="Q92" s="33">
        <v>86</v>
      </c>
      <c r="R92" s="33" t="s">
        <v>2059</v>
      </c>
      <c r="S92" s="33" t="s">
        <v>1072</v>
      </c>
      <c r="T92" s="33" t="s">
        <v>804</v>
      </c>
      <c r="U92" s="33" t="s">
        <v>1439</v>
      </c>
      <c r="V92" s="33">
        <v>0</v>
      </c>
      <c r="W92" s="33">
        <v>0</v>
      </c>
      <c r="X92" s="33">
        <v>0</v>
      </c>
      <c r="Y92" s="33">
        <v>33</v>
      </c>
      <c r="Z92" s="33">
        <v>116</v>
      </c>
      <c r="AA92" s="33">
        <v>0</v>
      </c>
      <c r="AB92" s="33">
        <v>18</v>
      </c>
      <c r="AC92" s="33">
        <v>128</v>
      </c>
      <c r="AD92" s="33">
        <v>1</v>
      </c>
      <c r="AE92" s="33">
        <v>39</v>
      </c>
      <c r="AF92" s="33"/>
      <c r="AG92" s="33">
        <v>86</v>
      </c>
      <c r="AH92" s="33" t="s">
        <v>2060</v>
      </c>
      <c r="AI92" s="33" t="s">
        <v>1072</v>
      </c>
      <c r="AJ92" s="33" t="s">
        <v>804</v>
      </c>
      <c r="AK92" s="33" t="s">
        <v>1439</v>
      </c>
      <c r="AL92" s="33">
        <v>0</v>
      </c>
      <c r="AM92" s="33">
        <v>0</v>
      </c>
      <c r="AN92" s="33">
        <v>0</v>
      </c>
      <c r="AO92" s="33">
        <v>3</v>
      </c>
      <c r="AP92" s="33">
        <v>13</v>
      </c>
      <c r="AQ92" s="33">
        <v>0</v>
      </c>
      <c r="AR92" s="33">
        <v>42</v>
      </c>
      <c r="AS92" s="33">
        <v>431</v>
      </c>
      <c r="AT92" s="33">
        <v>3</v>
      </c>
      <c r="AU92" s="33">
        <v>83</v>
      </c>
      <c r="AV92" s="33"/>
      <c r="AW92" s="33">
        <v>86</v>
      </c>
      <c r="AX92" s="33" t="s">
        <v>2061</v>
      </c>
      <c r="AY92" s="33" t="s">
        <v>1072</v>
      </c>
      <c r="AZ92" s="33" t="s">
        <v>804</v>
      </c>
      <c r="BA92" s="33" t="s">
        <v>1754</v>
      </c>
      <c r="BB92" s="33" t="s">
        <v>1755</v>
      </c>
      <c r="BC92" s="33" t="s">
        <v>1755</v>
      </c>
      <c r="BD92" s="33" t="s">
        <v>1755</v>
      </c>
      <c r="BE92" s="33" t="s">
        <v>1755</v>
      </c>
      <c r="BF92" s="33" t="s">
        <v>1755</v>
      </c>
      <c r="BG92" s="33" t="s">
        <v>1755</v>
      </c>
      <c r="BH92" s="33" t="s">
        <v>1755</v>
      </c>
      <c r="BI92" s="33" t="s">
        <v>1755</v>
      </c>
      <c r="BJ92" s="33" t="s">
        <v>1755</v>
      </c>
      <c r="BK92" s="33" t="s">
        <v>1755</v>
      </c>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t="str">
        <f t="shared" si="2"/>
        <v>DeAndre Hopkins</v>
      </c>
      <c r="CT92" s="33">
        <v>90</v>
      </c>
      <c r="CU92" s="33" t="s">
        <v>2050</v>
      </c>
      <c r="CV92" s="33">
        <v>10</v>
      </c>
      <c r="CW92" s="33" t="s">
        <v>2051</v>
      </c>
      <c r="CX92" s="33">
        <v>3</v>
      </c>
      <c r="CY92" s="33"/>
      <c r="CZ92" s="33" t="str">
        <f t="shared" si="3"/>
        <v>Bishop Sankey</v>
      </c>
      <c r="DA92" s="33">
        <v>90</v>
      </c>
      <c r="DB92" s="33" t="s">
        <v>1959</v>
      </c>
      <c r="DC92" s="33">
        <v>9</v>
      </c>
      <c r="DD92" s="33" t="s">
        <v>2012</v>
      </c>
      <c r="DE92" s="33">
        <v>3</v>
      </c>
    </row>
    <row r="93" spans="1:109" ht="12.75" customHeight="1">
      <c r="A93" s="33"/>
      <c r="B93" s="33"/>
      <c r="C93" s="33"/>
      <c r="D93" s="33"/>
      <c r="E93" s="33"/>
      <c r="F93" s="33"/>
      <c r="G93" s="33"/>
      <c r="H93" s="33"/>
      <c r="I93" s="33"/>
      <c r="J93" s="33"/>
      <c r="K93" s="33"/>
      <c r="L93" s="33"/>
      <c r="M93" s="33"/>
      <c r="N93" s="33"/>
      <c r="O93" s="33"/>
      <c r="P93" s="33"/>
      <c r="Q93" s="33">
        <v>87</v>
      </c>
      <c r="R93" s="33" t="s">
        <v>2062</v>
      </c>
      <c r="S93" s="33" t="s">
        <v>1072</v>
      </c>
      <c r="T93" s="33" t="s">
        <v>804</v>
      </c>
      <c r="U93" s="33" t="s">
        <v>1439</v>
      </c>
      <c r="V93" s="33">
        <v>0</v>
      </c>
      <c r="W93" s="33">
        <v>0</v>
      </c>
      <c r="X93" s="33">
        <v>0</v>
      </c>
      <c r="Y93" s="33">
        <v>48</v>
      </c>
      <c r="Z93" s="33">
        <v>190</v>
      </c>
      <c r="AA93" s="33">
        <v>2</v>
      </c>
      <c r="AB93" s="33">
        <v>3</v>
      </c>
      <c r="AC93" s="33">
        <v>16</v>
      </c>
      <c r="AD93" s="33">
        <v>0</v>
      </c>
      <c r="AE93" s="33">
        <v>33</v>
      </c>
      <c r="AF93" s="33"/>
      <c r="AG93" s="33">
        <v>87</v>
      </c>
      <c r="AH93" s="33" t="s">
        <v>2063</v>
      </c>
      <c r="AI93" s="33" t="s">
        <v>1072</v>
      </c>
      <c r="AJ93" s="33" t="s">
        <v>804</v>
      </c>
      <c r="AK93" s="33" t="s">
        <v>1439</v>
      </c>
      <c r="AL93" s="33">
        <v>0</v>
      </c>
      <c r="AM93" s="33">
        <v>0</v>
      </c>
      <c r="AN93" s="33">
        <v>0</v>
      </c>
      <c r="AO93" s="33">
        <v>5</v>
      </c>
      <c r="AP93" s="33">
        <v>28</v>
      </c>
      <c r="AQ93" s="33">
        <v>0</v>
      </c>
      <c r="AR93" s="33">
        <v>29</v>
      </c>
      <c r="AS93" s="33">
        <v>452</v>
      </c>
      <c r="AT93" s="33">
        <v>3</v>
      </c>
      <c r="AU93" s="33">
        <v>80</v>
      </c>
      <c r="AV93" s="33"/>
      <c r="AW93" s="33">
        <v>87</v>
      </c>
      <c r="AX93" s="33" t="s">
        <v>2064</v>
      </c>
      <c r="AY93" s="33" t="s">
        <v>1072</v>
      </c>
      <c r="AZ93" s="33" t="s">
        <v>804</v>
      </c>
      <c r="BA93" s="33" t="s">
        <v>1754</v>
      </c>
      <c r="BB93" s="33" t="s">
        <v>1755</v>
      </c>
      <c r="BC93" s="33" t="s">
        <v>1755</v>
      </c>
      <c r="BD93" s="33" t="s">
        <v>1755</v>
      </c>
      <c r="BE93" s="33" t="s">
        <v>1755</v>
      </c>
      <c r="BF93" s="33" t="s">
        <v>1755</v>
      </c>
      <c r="BG93" s="33" t="s">
        <v>1755</v>
      </c>
      <c r="BH93" s="33" t="s">
        <v>1755</v>
      </c>
      <c r="BI93" s="33" t="s">
        <v>1755</v>
      </c>
      <c r="BJ93" s="33" t="s">
        <v>1755</v>
      </c>
      <c r="BK93" s="33" t="s">
        <v>1755</v>
      </c>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t="str">
        <f t="shared" si="2"/>
        <v>Chris Ivory</v>
      </c>
      <c r="CT93" s="33">
        <v>91</v>
      </c>
      <c r="CU93" s="33" t="s">
        <v>2065</v>
      </c>
      <c r="CV93" s="33">
        <v>11</v>
      </c>
      <c r="CW93" s="33" t="s">
        <v>2066</v>
      </c>
      <c r="CX93" s="33">
        <v>3</v>
      </c>
      <c r="CY93" s="33"/>
      <c r="CZ93" s="33" t="str">
        <f t="shared" si="3"/>
        <v>Danny Amendola</v>
      </c>
      <c r="DA93" s="33">
        <v>91</v>
      </c>
      <c r="DB93" s="33" t="s">
        <v>2067</v>
      </c>
      <c r="DC93" s="33">
        <v>10</v>
      </c>
      <c r="DD93" s="33" t="s">
        <v>2068</v>
      </c>
      <c r="DE93" s="33">
        <v>3</v>
      </c>
    </row>
    <row r="94" spans="1:109" ht="12.75" customHeight="1">
      <c r="A94" s="33"/>
      <c r="B94" s="33"/>
      <c r="C94" s="33"/>
      <c r="D94" s="33"/>
      <c r="E94" s="33"/>
      <c r="F94" s="33"/>
      <c r="G94" s="33"/>
      <c r="H94" s="33"/>
      <c r="I94" s="33"/>
      <c r="J94" s="33"/>
      <c r="K94" s="33"/>
      <c r="L94" s="33"/>
      <c r="M94" s="33"/>
      <c r="N94" s="33"/>
      <c r="O94" s="33"/>
      <c r="P94" s="33"/>
      <c r="Q94" s="33">
        <v>88</v>
      </c>
      <c r="R94" s="33" t="s">
        <v>2069</v>
      </c>
      <c r="S94" s="33" t="s">
        <v>1072</v>
      </c>
      <c r="T94" s="33" t="s">
        <v>804</v>
      </c>
      <c r="U94" s="33" t="s">
        <v>1439</v>
      </c>
      <c r="V94" s="33">
        <v>0</v>
      </c>
      <c r="W94" s="33">
        <v>0</v>
      </c>
      <c r="X94" s="33">
        <v>0</v>
      </c>
      <c r="Y94" s="33">
        <v>60</v>
      </c>
      <c r="Z94" s="33">
        <v>232</v>
      </c>
      <c r="AA94" s="33">
        <v>1</v>
      </c>
      <c r="AB94" s="33">
        <v>20</v>
      </c>
      <c r="AC94" s="33">
        <v>131</v>
      </c>
      <c r="AD94" s="33">
        <v>0</v>
      </c>
      <c r="AE94" s="33">
        <v>52</v>
      </c>
      <c r="AF94" s="33"/>
      <c r="AG94" s="33">
        <v>88</v>
      </c>
      <c r="AH94" s="33" t="s">
        <v>2070</v>
      </c>
      <c r="AI94" s="33" t="s">
        <v>1072</v>
      </c>
      <c r="AJ94" s="33" t="s">
        <v>804</v>
      </c>
      <c r="AK94" s="33" t="s">
        <v>1439</v>
      </c>
      <c r="AL94" s="33">
        <v>0</v>
      </c>
      <c r="AM94" s="33">
        <v>0</v>
      </c>
      <c r="AN94" s="33">
        <v>0</v>
      </c>
      <c r="AO94" s="33">
        <v>2</v>
      </c>
      <c r="AP94" s="33">
        <v>10</v>
      </c>
      <c r="AQ94" s="33">
        <v>0</v>
      </c>
      <c r="AR94" s="33">
        <v>35</v>
      </c>
      <c r="AS94" s="33">
        <v>390</v>
      </c>
      <c r="AT94" s="33">
        <v>4</v>
      </c>
      <c r="AU94" s="33">
        <v>80.5</v>
      </c>
      <c r="AV94" s="33"/>
      <c r="AW94" s="33">
        <v>88</v>
      </c>
      <c r="AX94" s="33" t="s">
        <v>2071</v>
      </c>
      <c r="AY94" s="33" t="s">
        <v>1072</v>
      </c>
      <c r="AZ94" s="33" t="s">
        <v>804</v>
      </c>
      <c r="BA94" s="33" t="s">
        <v>1754</v>
      </c>
      <c r="BB94" s="33" t="s">
        <v>1755</v>
      </c>
      <c r="BC94" s="33" t="s">
        <v>1755</v>
      </c>
      <c r="BD94" s="33" t="s">
        <v>1755</v>
      </c>
      <c r="BE94" s="33" t="s">
        <v>1755</v>
      </c>
      <c r="BF94" s="33" t="s">
        <v>1755</v>
      </c>
      <c r="BG94" s="33" t="s">
        <v>1755</v>
      </c>
      <c r="BH94" s="33" t="s">
        <v>1755</v>
      </c>
      <c r="BI94" s="33" t="s">
        <v>1755</v>
      </c>
      <c r="BJ94" s="33" t="s">
        <v>1755</v>
      </c>
      <c r="BK94" s="33" t="s">
        <v>1755</v>
      </c>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t="str">
        <f t="shared" si="2"/>
        <v>Danny Woodhead</v>
      </c>
      <c r="CT94" s="33">
        <v>92</v>
      </c>
      <c r="CU94" s="33" t="s">
        <v>2029</v>
      </c>
      <c r="CV94" s="33">
        <v>10</v>
      </c>
      <c r="CW94" s="33" t="s">
        <v>2072</v>
      </c>
      <c r="CX94" s="33">
        <v>3</v>
      </c>
      <c r="CY94" s="33"/>
      <c r="CZ94" s="33" t="str">
        <f t="shared" si="3"/>
        <v>Greg Jennings</v>
      </c>
      <c r="DA94" s="33">
        <v>92</v>
      </c>
      <c r="DB94" s="33" t="s">
        <v>2073</v>
      </c>
      <c r="DC94" s="33">
        <v>10</v>
      </c>
      <c r="DD94" s="33" t="s">
        <v>2074</v>
      </c>
      <c r="DE94" s="33">
        <v>3</v>
      </c>
    </row>
    <row r="95" spans="1:109" ht="12.75" customHeight="1">
      <c r="A95" s="33"/>
      <c r="B95" s="33"/>
      <c r="C95" s="33"/>
      <c r="D95" s="33"/>
      <c r="E95" s="33"/>
      <c r="F95" s="33"/>
      <c r="G95" s="33"/>
      <c r="H95" s="33"/>
      <c r="I95" s="33"/>
      <c r="J95" s="33"/>
      <c r="K95" s="33"/>
      <c r="L95" s="33"/>
      <c r="M95" s="33"/>
      <c r="N95" s="33"/>
      <c r="O95" s="33"/>
      <c r="P95" s="33"/>
      <c r="Q95" s="33">
        <v>89</v>
      </c>
      <c r="R95" s="33" t="s">
        <v>2075</v>
      </c>
      <c r="S95" s="33" t="s">
        <v>1072</v>
      </c>
      <c r="T95" s="33" t="s">
        <v>804</v>
      </c>
      <c r="U95" s="33" t="s">
        <v>1439</v>
      </c>
      <c r="V95" s="33">
        <v>0</v>
      </c>
      <c r="W95" s="33">
        <v>0</v>
      </c>
      <c r="X95" s="33">
        <v>0</v>
      </c>
      <c r="Y95" s="33">
        <v>28</v>
      </c>
      <c r="Z95" s="33">
        <v>112</v>
      </c>
      <c r="AA95" s="33">
        <v>0</v>
      </c>
      <c r="AB95" s="33">
        <v>12</v>
      </c>
      <c r="AC95" s="33">
        <v>78</v>
      </c>
      <c r="AD95" s="33">
        <v>0</v>
      </c>
      <c r="AE95" s="33">
        <v>24.5</v>
      </c>
      <c r="AF95" s="33"/>
      <c r="AG95" s="33">
        <v>89</v>
      </c>
      <c r="AH95" s="33" t="s">
        <v>2076</v>
      </c>
      <c r="AI95" s="33" t="s">
        <v>1072</v>
      </c>
      <c r="AJ95" s="33" t="s">
        <v>804</v>
      </c>
      <c r="AK95" s="33" t="s">
        <v>1439</v>
      </c>
      <c r="AL95" s="33">
        <v>0</v>
      </c>
      <c r="AM95" s="33">
        <v>0</v>
      </c>
      <c r="AN95" s="33">
        <v>0</v>
      </c>
      <c r="AO95" s="33">
        <v>3</v>
      </c>
      <c r="AP95" s="33">
        <v>26</v>
      </c>
      <c r="AQ95" s="33">
        <v>0</v>
      </c>
      <c r="AR95" s="33">
        <v>31</v>
      </c>
      <c r="AS95" s="33">
        <v>386</v>
      </c>
      <c r="AT95" s="33">
        <v>3</v>
      </c>
      <c r="AU95" s="33">
        <v>73.5</v>
      </c>
      <c r="AV95" s="33"/>
      <c r="AW95" s="33">
        <v>89</v>
      </c>
      <c r="AX95" s="33" t="s">
        <v>2077</v>
      </c>
      <c r="AY95" s="33" t="s">
        <v>1072</v>
      </c>
      <c r="AZ95" s="33" t="s">
        <v>804</v>
      </c>
      <c r="BA95" s="33" t="s">
        <v>1754</v>
      </c>
      <c r="BB95" s="33" t="s">
        <v>1755</v>
      </c>
      <c r="BC95" s="33" t="s">
        <v>1755</v>
      </c>
      <c r="BD95" s="33" t="s">
        <v>1755</v>
      </c>
      <c r="BE95" s="33" t="s">
        <v>1755</v>
      </c>
      <c r="BF95" s="33" t="s">
        <v>1755</v>
      </c>
      <c r="BG95" s="33" t="s">
        <v>1755</v>
      </c>
      <c r="BH95" s="33" t="s">
        <v>1755</v>
      </c>
      <c r="BI95" s="33" t="s">
        <v>1755</v>
      </c>
      <c r="BJ95" s="33" t="s">
        <v>1755</v>
      </c>
      <c r="BK95" s="33" t="s">
        <v>1755</v>
      </c>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t="str">
        <f t="shared" si="2"/>
        <v>Knowshon Moreno</v>
      </c>
      <c r="CT95" s="33">
        <v>93</v>
      </c>
      <c r="CU95" s="33" t="s">
        <v>2078</v>
      </c>
      <c r="CV95" s="33">
        <v>5</v>
      </c>
      <c r="CW95" s="33" t="s">
        <v>2079</v>
      </c>
      <c r="CX95" s="33">
        <v>3</v>
      </c>
      <c r="CY95" s="33"/>
      <c r="CZ95" s="33" t="str">
        <f t="shared" si="3"/>
        <v>Dwayne Bowe</v>
      </c>
      <c r="DA95" s="33">
        <v>93</v>
      </c>
      <c r="DB95" s="33" t="s">
        <v>2080</v>
      </c>
      <c r="DC95" s="33">
        <v>6</v>
      </c>
      <c r="DD95" s="33" t="s">
        <v>2081</v>
      </c>
      <c r="DE95" s="33">
        <v>2</v>
      </c>
    </row>
    <row r="96" spans="1:109" ht="12.75" customHeight="1">
      <c r="A96" s="33"/>
      <c r="B96" s="33"/>
      <c r="C96" s="33"/>
      <c r="D96" s="33"/>
      <c r="E96" s="33"/>
      <c r="F96" s="33"/>
      <c r="G96" s="33"/>
      <c r="H96" s="33"/>
      <c r="I96" s="33"/>
      <c r="J96" s="33"/>
      <c r="K96" s="33"/>
      <c r="L96" s="33"/>
      <c r="M96" s="33"/>
      <c r="N96" s="33"/>
      <c r="O96" s="33"/>
      <c r="P96" s="33"/>
      <c r="Q96" s="33">
        <v>90</v>
      </c>
      <c r="R96" s="33" t="s">
        <v>2082</v>
      </c>
      <c r="S96" s="33" t="s">
        <v>1072</v>
      </c>
      <c r="T96" s="33" t="s">
        <v>804</v>
      </c>
      <c r="U96" s="33" t="s">
        <v>1439</v>
      </c>
      <c r="V96" s="33">
        <v>0</v>
      </c>
      <c r="W96" s="33">
        <v>0</v>
      </c>
      <c r="X96" s="33">
        <v>0</v>
      </c>
      <c r="Y96" s="33">
        <v>45</v>
      </c>
      <c r="Z96" s="33">
        <v>197</v>
      </c>
      <c r="AA96" s="33">
        <v>1</v>
      </c>
      <c r="AB96" s="33">
        <v>2</v>
      </c>
      <c r="AC96" s="33">
        <v>9</v>
      </c>
      <c r="AD96" s="33">
        <v>0</v>
      </c>
      <c r="AE96" s="33">
        <v>26</v>
      </c>
      <c r="AF96" s="33"/>
      <c r="AG96" s="33">
        <v>90</v>
      </c>
      <c r="AH96" s="33" t="s">
        <v>2083</v>
      </c>
      <c r="AI96" s="33" t="s">
        <v>1072</v>
      </c>
      <c r="AJ96" s="33" t="s">
        <v>804</v>
      </c>
      <c r="AK96" s="33" t="s">
        <v>1439</v>
      </c>
      <c r="AL96" s="33">
        <v>0</v>
      </c>
      <c r="AM96" s="33">
        <v>0</v>
      </c>
      <c r="AN96" s="33">
        <v>0</v>
      </c>
      <c r="AO96" s="33">
        <v>0</v>
      </c>
      <c r="AP96" s="33">
        <v>0</v>
      </c>
      <c r="AQ96" s="33">
        <v>0</v>
      </c>
      <c r="AR96" s="33">
        <v>36</v>
      </c>
      <c r="AS96" s="33">
        <v>476</v>
      </c>
      <c r="AT96" s="33">
        <v>2</v>
      </c>
      <c r="AU96" s="33">
        <v>77.5</v>
      </c>
      <c r="AV96" s="33"/>
      <c r="AW96" s="33">
        <v>90</v>
      </c>
      <c r="AX96" s="33" t="s">
        <v>2084</v>
      </c>
      <c r="AY96" s="33" t="s">
        <v>1072</v>
      </c>
      <c r="AZ96" s="33" t="s">
        <v>804</v>
      </c>
      <c r="BA96" s="33" t="s">
        <v>1754</v>
      </c>
      <c r="BB96" s="33" t="s">
        <v>1755</v>
      </c>
      <c r="BC96" s="33" t="s">
        <v>1755</v>
      </c>
      <c r="BD96" s="33" t="s">
        <v>1755</v>
      </c>
      <c r="BE96" s="33" t="s">
        <v>1755</v>
      </c>
      <c r="BF96" s="33" t="s">
        <v>1755</v>
      </c>
      <c r="BG96" s="33" t="s">
        <v>1755</v>
      </c>
      <c r="BH96" s="33" t="s">
        <v>1755</v>
      </c>
      <c r="BI96" s="33" t="s">
        <v>1755</v>
      </c>
      <c r="BJ96" s="33" t="s">
        <v>1755</v>
      </c>
      <c r="BK96" s="33" t="s">
        <v>1755</v>
      </c>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t="str">
        <f t="shared" si="2"/>
        <v>Riley Cooper</v>
      </c>
      <c r="CT96" s="33">
        <v>94</v>
      </c>
      <c r="CU96" s="33" t="s">
        <v>2057</v>
      </c>
      <c r="CV96" s="33">
        <v>7</v>
      </c>
      <c r="CW96" s="33" t="s">
        <v>2058</v>
      </c>
      <c r="CX96" s="33">
        <v>3</v>
      </c>
      <c r="CY96" s="33"/>
      <c r="CZ96" s="33" t="str">
        <f t="shared" si="3"/>
        <v>Darren Sproles</v>
      </c>
      <c r="DA96" s="33">
        <v>94</v>
      </c>
      <c r="DB96" s="33" t="s">
        <v>2033</v>
      </c>
      <c r="DC96" s="33">
        <v>7</v>
      </c>
      <c r="DD96" s="33" t="s">
        <v>2028</v>
      </c>
      <c r="DE96" s="33">
        <v>2</v>
      </c>
    </row>
    <row r="97" spans="1:109" ht="12.75" customHeight="1">
      <c r="A97" s="33"/>
      <c r="B97" s="33"/>
      <c r="C97" s="33"/>
      <c r="D97" s="33"/>
      <c r="E97" s="33"/>
      <c r="F97" s="33"/>
      <c r="G97" s="33"/>
      <c r="H97" s="33"/>
      <c r="I97" s="33"/>
      <c r="J97" s="33"/>
      <c r="K97" s="33"/>
      <c r="L97" s="33"/>
      <c r="M97" s="33"/>
      <c r="N97" s="33"/>
      <c r="O97" s="33"/>
      <c r="P97" s="33"/>
      <c r="Q97" s="33">
        <v>91</v>
      </c>
      <c r="R97" s="33" t="s">
        <v>2085</v>
      </c>
      <c r="S97" s="33" t="s">
        <v>1072</v>
      </c>
      <c r="T97" s="33" t="s">
        <v>804</v>
      </c>
      <c r="U97" s="33" t="s">
        <v>1439</v>
      </c>
      <c r="V97" s="33">
        <v>0</v>
      </c>
      <c r="W97" s="33">
        <v>0</v>
      </c>
      <c r="X97" s="33">
        <v>0</v>
      </c>
      <c r="Y97" s="33">
        <v>19</v>
      </c>
      <c r="Z97" s="33">
        <v>79</v>
      </c>
      <c r="AA97" s="33">
        <v>0</v>
      </c>
      <c r="AB97" s="33">
        <v>12</v>
      </c>
      <c r="AC97" s="33">
        <v>79</v>
      </c>
      <c r="AD97" s="33">
        <v>0</v>
      </c>
      <c r="AE97" s="33">
        <v>21</v>
      </c>
      <c r="AF97" s="33"/>
      <c r="AG97" s="33">
        <v>91</v>
      </c>
      <c r="AH97" s="33" t="s">
        <v>2086</v>
      </c>
      <c r="AI97" s="33" t="s">
        <v>1072</v>
      </c>
      <c r="AJ97" s="33" t="s">
        <v>804</v>
      </c>
      <c r="AK97" s="33" t="s">
        <v>1439</v>
      </c>
      <c r="AL97" s="33">
        <v>0</v>
      </c>
      <c r="AM97" s="33">
        <v>0</v>
      </c>
      <c r="AN97" s="33">
        <v>0</v>
      </c>
      <c r="AO97" s="33">
        <v>4</v>
      </c>
      <c r="AP97" s="33">
        <v>31</v>
      </c>
      <c r="AQ97" s="33">
        <v>0</v>
      </c>
      <c r="AR97" s="33">
        <v>41</v>
      </c>
      <c r="AS97" s="33">
        <v>671</v>
      </c>
      <c r="AT97" s="33">
        <v>1</v>
      </c>
      <c r="AU97" s="33">
        <v>95.5</v>
      </c>
      <c r="AV97" s="33"/>
      <c r="AW97" s="33">
        <v>91</v>
      </c>
      <c r="AX97" s="33" t="s">
        <v>2087</v>
      </c>
      <c r="AY97" s="33" t="s">
        <v>1072</v>
      </c>
      <c r="AZ97" s="33" t="s">
        <v>804</v>
      </c>
      <c r="BA97" s="33" t="s">
        <v>1754</v>
      </c>
      <c r="BB97" s="33" t="s">
        <v>1755</v>
      </c>
      <c r="BC97" s="33" t="s">
        <v>1755</v>
      </c>
      <c r="BD97" s="33" t="s">
        <v>1755</v>
      </c>
      <c r="BE97" s="33" t="s">
        <v>1755</v>
      </c>
      <c r="BF97" s="33" t="s">
        <v>1755</v>
      </c>
      <c r="BG97" s="33" t="s">
        <v>1755</v>
      </c>
      <c r="BH97" s="33" t="s">
        <v>1755</v>
      </c>
      <c r="BI97" s="33" t="s">
        <v>1755</v>
      </c>
      <c r="BJ97" s="33" t="s">
        <v>1755</v>
      </c>
      <c r="BK97" s="33" t="s">
        <v>1755</v>
      </c>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t="str">
        <f t="shared" si="2"/>
        <v>Danny Amendola</v>
      </c>
      <c r="CT97" s="33">
        <v>95</v>
      </c>
      <c r="CU97" s="33" t="s">
        <v>2067</v>
      </c>
      <c r="CV97" s="33">
        <v>10</v>
      </c>
      <c r="CW97" s="33" t="s">
        <v>2068</v>
      </c>
      <c r="CX97" s="33">
        <v>3</v>
      </c>
      <c r="CY97" s="33"/>
      <c r="CZ97" s="33" t="str">
        <f t="shared" si="3"/>
        <v>Steve Smith</v>
      </c>
      <c r="DA97" s="33">
        <v>95</v>
      </c>
      <c r="DB97" s="33" t="s">
        <v>2088</v>
      </c>
      <c r="DC97" s="33">
        <v>11</v>
      </c>
      <c r="DD97" s="33" t="s">
        <v>2089</v>
      </c>
      <c r="DE97" s="33">
        <v>2</v>
      </c>
    </row>
    <row r="98" spans="1:109" ht="12.75" customHeight="1">
      <c r="A98" s="33"/>
      <c r="B98" s="33"/>
      <c r="C98" s="33"/>
      <c r="D98" s="33"/>
      <c r="E98" s="33"/>
      <c r="F98" s="33"/>
      <c r="G98" s="33"/>
      <c r="H98" s="33"/>
      <c r="I98" s="33"/>
      <c r="J98" s="33"/>
      <c r="K98" s="33"/>
      <c r="L98" s="33"/>
      <c r="M98" s="33"/>
      <c r="N98" s="33"/>
      <c r="O98" s="33"/>
      <c r="P98" s="33"/>
      <c r="Q98" s="33">
        <v>92</v>
      </c>
      <c r="R98" s="33" t="s">
        <v>2090</v>
      </c>
      <c r="S98" s="33" t="s">
        <v>1072</v>
      </c>
      <c r="T98" s="33" t="s">
        <v>804</v>
      </c>
      <c r="U98" s="33" t="s">
        <v>1439</v>
      </c>
      <c r="V98" s="33">
        <v>0</v>
      </c>
      <c r="W98" s="33">
        <v>0</v>
      </c>
      <c r="X98" s="33">
        <v>0</v>
      </c>
      <c r="Y98" s="33">
        <v>28</v>
      </c>
      <c r="Z98" s="33">
        <v>120</v>
      </c>
      <c r="AA98" s="33">
        <v>0</v>
      </c>
      <c r="AB98" s="33">
        <v>5</v>
      </c>
      <c r="AC98" s="33">
        <v>36</v>
      </c>
      <c r="AD98" s="33">
        <v>0</v>
      </c>
      <c r="AE98" s="33">
        <v>18</v>
      </c>
      <c r="AF98" s="33"/>
      <c r="AG98" s="33">
        <v>92</v>
      </c>
      <c r="AH98" s="33" t="s">
        <v>2091</v>
      </c>
      <c r="AI98" s="33" t="s">
        <v>1072</v>
      </c>
      <c r="AJ98" s="33" t="s">
        <v>804</v>
      </c>
      <c r="AK98" s="33" t="s">
        <v>1439</v>
      </c>
      <c r="AL98" s="33">
        <v>0</v>
      </c>
      <c r="AM98" s="33">
        <v>0</v>
      </c>
      <c r="AN98" s="33">
        <v>0</v>
      </c>
      <c r="AO98" s="33">
        <v>0</v>
      </c>
      <c r="AP98" s="33">
        <v>0</v>
      </c>
      <c r="AQ98" s="33">
        <v>0</v>
      </c>
      <c r="AR98" s="33">
        <v>26</v>
      </c>
      <c r="AS98" s="33">
        <v>334</v>
      </c>
      <c r="AT98" s="33">
        <v>2</v>
      </c>
      <c r="AU98" s="33">
        <v>57</v>
      </c>
      <c r="AV98" s="33"/>
      <c r="AW98" s="33">
        <v>92</v>
      </c>
      <c r="AX98" s="33" t="s">
        <v>2092</v>
      </c>
      <c r="AY98" s="33" t="s">
        <v>1072</v>
      </c>
      <c r="AZ98" s="33" t="s">
        <v>804</v>
      </c>
      <c r="BA98" s="33" t="s">
        <v>1754</v>
      </c>
      <c r="BB98" s="33" t="s">
        <v>1755</v>
      </c>
      <c r="BC98" s="33" t="s">
        <v>1755</v>
      </c>
      <c r="BD98" s="33" t="s">
        <v>1755</v>
      </c>
      <c r="BE98" s="33" t="s">
        <v>1755</v>
      </c>
      <c r="BF98" s="33" t="s">
        <v>1755</v>
      </c>
      <c r="BG98" s="33" t="s">
        <v>1755</v>
      </c>
      <c r="BH98" s="33" t="s">
        <v>1755</v>
      </c>
      <c r="BI98" s="33" t="s">
        <v>1755</v>
      </c>
      <c r="BJ98" s="33" t="s">
        <v>1755</v>
      </c>
      <c r="BK98" s="33" t="s">
        <v>1755</v>
      </c>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t="str">
        <f t="shared" si="2"/>
        <v>Jordan Cameron</v>
      </c>
      <c r="CT98" s="33">
        <v>96</v>
      </c>
      <c r="CU98" s="33" t="s">
        <v>1939</v>
      </c>
      <c r="CV98" s="33">
        <v>4</v>
      </c>
      <c r="CW98" s="33" t="s">
        <v>1999</v>
      </c>
      <c r="CX98" s="33">
        <v>2</v>
      </c>
      <c r="CY98" s="33"/>
      <c r="CZ98" s="33" t="str">
        <f t="shared" si="3"/>
        <v>Mike Evans</v>
      </c>
      <c r="DA98" s="33">
        <v>96</v>
      </c>
      <c r="DB98" s="33" t="s">
        <v>2093</v>
      </c>
      <c r="DC98" s="33">
        <v>7</v>
      </c>
      <c r="DD98" s="33" t="s">
        <v>2094</v>
      </c>
      <c r="DE98" s="33">
        <v>2</v>
      </c>
    </row>
    <row r="99" spans="1:109" ht="12.75" customHeight="1">
      <c r="A99" s="33"/>
      <c r="B99" s="33"/>
      <c r="C99" s="33"/>
      <c r="D99" s="33"/>
      <c r="E99" s="33"/>
      <c r="F99" s="33"/>
      <c r="G99" s="33"/>
      <c r="H99" s="33"/>
      <c r="I99" s="33"/>
      <c r="J99" s="33"/>
      <c r="K99" s="33"/>
      <c r="L99" s="33"/>
      <c r="M99" s="33"/>
      <c r="N99" s="33"/>
      <c r="O99" s="33"/>
      <c r="P99" s="33"/>
      <c r="Q99" s="33">
        <v>93</v>
      </c>
      <c r="R99" s="33" t="s">
        <v>2095</v>
      </c>
      <c r="S99" s="33" t="s">
        <v>1072</v>
      </c>
      <c r="T99" s="33" t="s">
        <v>804</v>
      </c>
      <c r="U99" s="33" t="s">
        <v>1439</v>
      </c>
      <c r="V99" s="33">
        <v>0</v>
      </c>
      <c r="W99" s="33">
        <v>0</v>
      </c>
      <c r="X99" s="33">
        <v>0</v>
      </c>
      <c r="Y99" s="33">
        <v>26</v>
      </c>
      <c r="Z99" s="33">
        <v>123</v>
      </c>
      <c r="AA99" s="33">
        <v>1</v>
      </c>
      <c r="AB99" s="33">
        <v>6</v>
      </c>
      <c r="AC99" s="33">
        <v>37</v>
      </c>
      <c r="AD99" s="33">
        <v>0</v>
      </c>
      <c r="AE99" s="33">
        <v>24.5</v>
      </c>
      <c r="AF99" s="33"/>
      <c r="AG99" s="33">
        <v>93</v>
      </c>
      <c r="AH99" s="33" t="s">
        <v>2096</v>
      </c>
      <c r="AI99" s="33" t="s">
        <v>1072</v>
      </c>
      <c r="AJ99" s="33" t="s">
        <v>804</v>
      </c>
      <c r="AK99" s="33" t="s">
        <v>1439</v>
      </c>
      <c r="AL99" s="33">
        <v>0</v>
      </c>
      <c r="AM99" s="33">
        <v>0</v>
      </c>
      <c r="AN99" s="33">
        <v>0</v>
      </c>
      <c r="AO99" s="33">
        <v>0</v>
      </c>
      <c r="AP99" s="33">
        <v>0</v>
      </c>
      <c r="AQ99" s="33">
        <v>0</v>
      </c>
      <c r="AR99" s="33">
        <v>26</v>
      </c>
      <c r="AS99" s="33">
        <v>330</v>
      </c>
      <c r="AT99" s="33">
        <v>2</v>
      </c>
      <c r="AU99" s="33">
        <v>57</v>
      </c>
      <c r="AV99" s="33"/>
      <c r="AW99" s="33">
        <v>93</v>
      </c>
      <c r="AX99" s="33" t="s">
        <v>2097</v>
      </c>
      <c r="AY99" s="33" t="s">
        <v>1072</v>
      </c>
      <c r="AZ99" s="33" t="s">
        <v>804</v>
      </c>
      <c r="BA99" s="33" t="s">
        <v>1754</v>
      </c>
      <c r="BB99" s="33" t="s">
        <v>1755</v>
      </c>
      <c r="BC99" s="33" t="s">
        <v>1755</v>
      </c>
      <c r="BD99" s="33" t="s">
        <v>1755</v>
      </c>
      <c r="BE99" s="33" t="s">
        <v>1755</v>
      </c>
      <c r="BF99" s="33" t="s">
        <v>1755</v>
      </c>
      <c r="BG99" s="33" t="s">
        <v>1755</v>
      </c>
      <c r="BH99" s="33" t="s">
        <v>1755</v>
      </c>
      <c r="BI99" s="33" t="s">
        <v>1755</v>
      </c>
      <c r="BJ99" s="33" t="s">
        <v>1755</v>
      </c>
      <c r="BK99" s="33" t="s">
        <v>1755</v>
      </c>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t="str">
        <f t="shared" si="2"/>
        <v>Greg Jennings</v>
      </c>
      <c r="CT99" s="33">
        <v>97</v>
      </c>
      <c r="CU99" s="33" t="s">
        <v>2073</v>
      </c>
      <c r="CV99" s="33">
        <v>10</v>
      </c>
      <c r="CW99" s="33" t="s">
        <v>2074</v>
      </c>
      <c r="CX99" s="33">
        <v>2</v>
      </c>
      <c r="CY99" s="33"/>
      <c r="CZ99" s="33" t="str">
        <f t="shared" si="3"/>
        <v>Hakeem Nicks</v>
      </c>
      <c r="DA99" s="33">
        <v>97</v>
      </c>
      <c r="DB99" s="33" t="s">
        <v>2098</v>
      </c>
      <c r="DC99" s="33">
        <v>10</v>
      </c>
      <c r="DD99" s="33" t="s">
        <v>2099</v>
      </c>
      <c r="DE99" s="33">
        <v>2</v>
      </c>
    </row>
    <row r="100" spans="1:109" ht="12.75" customHeight="1">
      <c r="A100" s="33"/>
      <c r="B100" s="33"/>
      <c r="C100" s="33"/>
      <c r="D100" s="33"/>
      <c r="E100" s="33"/>
      <c r="F100" s="33"/>
      <c r="G100" s="33"/>
      <c r="H100" s="33"/>
      <c r="I100" s="33"/>
      <c r="J100" s="33"/>
      <c r="K100" s="33"/>
      <c r="L100" s="33"/>
      <c r="M100" s="33"/>
      <c r="N100" s="33"/>
      <c r="O100" s="33"/>
      <c r="P100" s="33"/>
      <c r="Q100" s="33">
        <v>94</v>
      </c>
      <c r="R100" s="33" t="s">
        <v>2100</v>
      </c>
      <c r="S100" s="33" t="s">
        <v>1072</v>
      </c>
      <c r="T100" s="33" t="s">
        <v>804</v>
      </c>
      <c r="U100" s="33" t="s">
        <v>1439</v>
      </c>
      <c r="V100" s="33">
        <v>0</v>
      </c>
      <c r="W100" s="33">
        <v>0</v>
      </c>
      <c r="X100" s="33">
        <v>0</v>
      </c>
      <c r="Y100" s="33">
        <v>14</v>
      </c>
      <c r="Z100" s="33">
        <v>43</v>
      </c>
      <c r="AA100" s="33">
        <v>0</v>
      </c>
      <c r="AB100" s="33">
        <v>32</v>
      </c>
      <c r="AC100" s="33">
        <v>244</v>
      </c>
      <c r="AD100" s="33">
        <v>1</v>
      </c>
      <c r="AE100" s="33">
        <v>49</v>
      </c>
      <c r="AF100" s="33"/>
      <c r="AG100" s="33">
        <v>94</v>
      </c>
      <c r="AH100" s="33" t="s">
        <v>2101</v>
      </c>
      <c r="AI100" s="33" t="s">
        <v>1072</v>
      </c>
      <c r="AJ100" s="33" t="s">
        <v>804</v>
      </c>
      <c r="AK100" s="33" t="s">
        <v>1439</v>
      </c>
      <c r="AL100" s="33">
        <v>0</v>
      </c>
      <c r="AM100" s="33">
        <v>0</v>
      </c>
      <c r="AN100" s="33">
        <v>0</v>
      </c>
      <c r="AO100" s="33">
        <v>0</v>
      </c>
      <c r="AP100" s="33">
        <v>0</v>
      </c>
      <c r="AQ100" s="33">
        <v>0</v>
      </c>
      <c r="AR100" s="33">
        <v>46</v>
      </c>
      <c r="AS100" s="33">
        <v>423</v>
      </c>
      <c r="AT100" s="33">
        <v>2</v>
      </c>
      <c r="AU100" s="33">
        <v>77</v>
      </c>
      <c r="AV100" s="33"/>
      <c r="AW100" s="33">
        <v>94</v>
      </c>
      <c r="AX100" s="33" t="s">
        <v>2102</v>
      </c>
      <c r="AY100" s="33" t="s">
        <v>1072</v>
      </c>
      <c r="AZ100" s="33" t="s">
        <v>804</v>
      </c>
      <c r="BA100" s="33" t="s">
        <v>1754</v>
      </c>
      <c r="BB100" s="33" t="s">
        <v>1755</v>
      </c>
      <c r="BC100" s="33" t="s">
        <v>1755</v>
      </c>
      <c r="BD100" s="33" t="s">
        <v>1755</v>
      </c>
      <c r="BE100" s="33" t="s">
        <v>1755</v>
      </c>
      <c r="BF100" s="33" t="s">
        <v>1755</v>
      </c>
      <c r="BG100" s="33" t="s">
        <v>1755</v>
      </c>
      <c r="BH100" s="33" t="s">
        <v>1755</v>
      </c>
      <c r="BI100" s="33" t="s">
        <v>1755</v>
      </c>
      <c r="BJ100" s="33" t="s">
        <v>1755</v>
      </c>
      <c r="BK100" s="33" t="s">
        <v>1755</v>
      </c>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t="str">
        <f t="shared" si="2"/>
        <v>Seattle Seahawks</v>
      </c>
      <c r="CT100" s="33">
        <v>98</v>
      </c>
      <c r="CU100" s="33" t="s">
        <v>2103</v>
      </c>
      <c r="CV100" s="33">
        <v>4</v>
      </c>
      <c r="CW100" s="33" t="s">
        <v>2104</v>
      </c>
      <c r="CX100" s="33">
        <v>2</v>
      </c>
      <c r="CY100" s="33"/>
      <c r="CZ100" s="33" t="str">
        <f t="shared" si="3"/>
        <v>Tony Romo</v>
      </c>
      <c r="DA100" s="33">
        <v>98</v>
      </c>
      <c r="DB100" s="33" t="s">
        <v>2105</v>
      </c>
      <c r="DC100" s="33">
        <v>11</v>
      </c>
      <c r="DD100" s="33" t="s">
        <v>2106</v>
      </c>
      <c r="DE100" s="33">
        <v>2</v>
      </c>
    </row>
    <row r="101" spans="1:109" ht="12.75" customHeight="1">
      <c r="A101" s="33"/>
      <c r="B101" s="33"/>
      <c r="C101" s="33"/>
      <c r="D101" s="33"/>
      <c r="E101" s="33"/>
      <c r="F101" s="33"/>
      <c r="G101" s="33"/>
      <c r="H101" s="33"/>
      <c r="I101" s="33"/>
      <c r="J101" s="33"/>
      <c r="K101" s="33"/>
      <c r="L101" s="33"/>
      <c r="M101" s="33"/>
      <c r="N101" s="33"/>
      <c r="O101" s="33"/>
      <c r="P101" s="33"/>
      <c r="Q101" s="33">
        <v>95</v>
      </c>
      <c r="R101" s="33" t="s">
        <v>2107</v>
      </c>
      <c r="S101" s="33" t="s">
        <v>1072</v>
      </c>
      <c r="T101" s="33" t="s">
        <v>804</v>
      </c>
      <c r="U101" s="33" t="s">
        <v>1439</v>
      </c>
      <c r="V101" s="33">
        <v>0</v>
      </c>
      <c r="W101" s="33">
        <v>0</v>
      </c>
      <c r="X101" s="33">
        <v>0</v>
      </c>
      <c r="Y101" s="33">
        <v>26</v>
      </c>
      <c r="Z101" s="33">
        <v>108</v>
      </c>
      <c r="AA101" s="33">
        <v>1</v>
      </c>
      <c r="AB101" s="33">
        <v>10</v>
      </c>
      <c r="AC101" s="33">
        <v>65</v>
      </c>
      <c r="AD101" s="33">
        <v>0</v>
      </c>
      <c r="AE101" s="33">
        <v>28</v>
      </c>
      <c r="AF101" s="33"/>
      <c r="AG101" s="33">
        <v>95</v>
      </c>
      <c r="AH101" s="33" t="s">
        <v>2108</v>
      </c>
      <c r="AI101" s="33" t="s">
        <v>1072</v>
      </c>
      <c r="AJ101" s="33" t="s">
        <v>804</v>
      </c>
      <c r="AK101" s="33" t="s">
        <v>1439</v>
      </c>
      <c r="AL101" s="33">
        <v>0</v>
      </c>
      <c r="AM101" s="33">
        <v>0</v>
      </c>
      <c r="AN101" s="33">
        <v>0</v>
      </c>
      <c r="AO101" s="33">
        <v>0</v>
      </c>
      <c r="AP101" s="33">
        <v>0</v>
      </c>
      <c r="AQ101" s="33">
        <v>0</v>
      </c>
      <c r="AR101" s="33">
        <v>35</v>
      </c>
      <c r="AS101" s="33">
        <v>361</v>
      </c>
      <c r="AT101" s="33">
        <v>2</v>
      </c>
      <c r="AU101" s="33">
        <v>64.5</v>
      </c>
      <c r="AV101" s="33"/>
      <c r="AW101" s="33">
        <v>95</v>
      </c>
      <c r="AX101" s="33" t="s">
        <v>2109</v>
      </c>
      <c r="AY101" s="33" t="s">
        <v>1072</v>
      </c>
      <c r="AZ101" s="33" t="s">
        <v>804</v>
      </c>
      <c r="BA101" s="33" t="s">
        <v>1754</v>
      </c>
      <c r="BB101" s="33" t="s">
        <v>1755</v>
      </c>
      <c r="BC101" s="33" t="s">
        <v>1755</v>
      </c>
      <c r="BD101" s="33" t="s">
        <v>1755</v>
      </c>
      <c r="BE101" s="33" t="s">
        <v>1755</v>
      </c>
      <c r="BF101" s="33" t="s">
        <v>1755</v>
      </c>
      <c r="BG101" s="33" t="s">
        <v>1755</v>
      </c>
      <c r="BH101" s="33" t="s">
        <v>1755</v>
      </c>
      <c r="BI101" s="33" t="s">
        <v>1755</v>
      </c>
      <c r="BJ101" s="33" t="s">
        <v>1755</v>
      </c>
      <c r="BK101" s="33" t="s">
        <v>1755</v>
      </c>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t="str">
        <f t="shared" si="2"/>
        <v>Russell Wilson</v>
      </c>
      <c r="CT101" s="33">
        <v>99</v>
      </c>
      <c r="CU101" s="33" t="s">
        <v>1926</v>
      </c>
      <c r="CV101" s="33">
        <v>4</v>
      </c>
      <c r="CW101" s="33" t="s">
        <v>1927</v>
      </c>
      <c r="CX101" s="33">
        <v>2</v>
      </c>
      <c r="CY101" s="33"/>
      <c r="CZ101" s="33" t="str">
        <f t="shared" si="3"/>
        <v>Maurice Jones-Drew</v>
      </c>
      <c r="DA101" s="33">
        <v>99</v>
      </c>
      <c r="DB101" s="33" t="s">
        <v>2011</v>
      </c>
      <c r="DC101" s="33">
        <v>5</v>
      </c>
      <c r="DD101" s="33" t="s">
        <v>2034</v>
      </c>
      <c r="DE101" s="33">
        <v>2</v>
      </c>
    </row>
    <row r="102" spans="1:109" ht="12.75" customHeight="1">
      <c r="A102" s="33"/>
      <c r="B102" s="33"/>
      <c r="C102" s="33"/>
      <c r="D102" s="33"/>
      <c r="E102" s="33"/>
      <c r="F102" s="33"/>
      <c r="G102" s="33"/>
      <c r="H102" s="33"/>
      <c r="I102" s="33"/>
      <c r="J102" s="33"/>
      <c r="K102" s="33"/>
      <c r="L102" s="33"/>
      <c r="M102" s="33"/>
      <c r="N102" s="33"/>
      <c r="O102" s="33"/>
      <c r="P102" s="33"/>
      <c r="Q102" s="33">
        <v>96</v>
      </c>
      <c r="R102" s="33" t="s">
        <v>2110</v>
      </c>
      <c r="S102" s="33" t="s">
        <v>1072</v>
      </c>
      <c r="T102" s="33" t="s">
        <v>804</v>
      </c>
      <c r="U102" s="33" t="s">
        <v>1439</v>
      </c>
      <c r="V102" s="33">
        <v>0</v>
      </c>
      <c r="W102" s="33">
        <v>0</v>
      </c>
      <c r="X102" s="33">
        <v>0</v>
      </c>
      <c r="Y102" s="33">
        <v>46</v>
      </c>
      <c r="Z102" s="33">
        <v>160</v>
      </c>
      <c r="AA102" s="33">
        <v>1</v>
      </c>
      <c r="AB102" s="33">
        <v>8</v>
      </c>
      <c r="AC102" s="33">
        <v>61</v>
      </c>
      <c r="AD102" s="33">
        <v>0</v>
      </c>
      <c r="AE102" s="33">
        <v>32</v>
      </c>
      <c r="AF102" s="33"/>
      <c r="AG102" s="33">
        <v>96</v>
      </c>
      <c r="AH102" s="33" t="s">
        <v>2111</v>
      </c>
      <c r="AI102" s="33" t="s">
        <v>1072</v>
      </c>
      <c r="AJ102" s="33" t="s">
        <v>804</v>
      </c>
      <c r="AK102" s="33" t="s">
        <v>1439</v>
      </c>
      <c r="AL102" s="33">
        <v>0</v>
      </c>
      <c r="AM102" s="33">
        <v>0</v>
      </c>
      <c r="AN102" s="33">
        <v>0</v>
      </c>
      <c r="AO102" s="33">
        <v>0</v>
      </c>
      <c r="AP102" s="33">
        <v>0</v>
      </c>
      <c r="AQ102" s="33">
        <v>0</v>
      </c>
      <c r="AR102" s="33">
        <v>22</v>
      </c>
      <c r="AS102" s="33">
        <v>321</v>
      </c>
      <c r="AT102" s="33">
        <v>2</v>
      </c>
      <c r="AU102" s="33">
        <v>54</v>
      </c>
      <c r="AV102" s="33"/>
      <c r="AW102" s="33">
        <v>96</v>
      </c>
      <c r="AX102" s="33" t="s">
        <v>2112</v>
      </c>
      <c r="AY102" s="33" t="s">
        <v>1072</v>
      </c>
      <c r="AZ102" s="33" t="s">
        <v>804</v>
      </c>
      <c r="BA102" s="33" t="s">
        <v>1754</v>
      </c>
      <c r="BB102" s="33" t="s">
        <v>1755</v>
      </c>
      <c r="BC102" s="33" t="s">
        <v>1755</v>
      </c>
      <c r="BD102" s="33" t="s">
        <v>1755</v>
      </c>
      <c r="BE102" s="33" t="s">
        <v>1755</v>
      </c>
      <c r="BF102" s="33" t="s">
        <v>1755</v>
      </c>
      <c r="BG102" s="33" t="s">
        <v>1755</v>
      </c>
      <c r="BH102" s="33" t="s">
        <v>1755</v>
      </c>
      <c r="BI102" s="33" t="s">
        <v>1755</v>
      </c>
      <c r="BJ102" s="33" t="s">
        <v>1755</v>
      </c>
      <c r="BK102" s="33" t="s">
        <v>1755</v>
      </c>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t="str">
        <f t="shared" si="2"/>
        <v>Matt Ryan</v>
      </c>
      <c r="CT102" s="33">
        <v>100</v>
      </c>
      <c r="CU102" s="33" t="s">
        <v>1961</v>
      </c>
      <c r="CV102" s="33">
        <v>9</v>
      </c>
      <c r="CW102" s="33" t="s">
        <v>1962</v>
      </c>
      <c r="CX102" s="33">
        <v>2</v>
      </c>
      <c r="CY102" s="33"/>
      <c r="CZ102" s="33" t="str">
        <f t="shared" si="3"/>
        <v>James Jones</v>
      </c>
      <c r="DA102" s="33">
        <v>100</v>
      </c>
      <c r="DB102" s="33" t="s">
        <v>2113</v>
      </c>
      <c r="DC102" s="33">
        <v>5</v>
      </c>
      <c r="DD102" s="33" t="s">
        <v>2114</v>
      </c>
      <c r="DE102" s="33">
        <v>2</v>
      </c>
    </row>
    <row r="103" spans="1:109" ht="12.75" customHeight="1">
      <c r="A103" s="33"/>
      <c r="B103" s="33"/>
      <c r="C103" s="33"/>
      <c r="D103" s="33"/>
      <c r="E103" s="33"/>
      <c r="F103" s="33"/>
      <c r="G103" s="33"/>
      <c r="H103" s="33"/>
      <c r="I103" s="33"/>
      <c r="J103" s="33"/>
      <c r="K103" s="33"/>
      <c r="L103" s="33"/>
      <c r="M103" s="33"/>
      <c r="N103" s="33"/>
      <c r="O103" s="33"/>
      <c r="P103" s="33"/>
      <c r="Q103" s="33">
        <v>97</v>
      </c>
      <c r="R103" s="33" t="s">
        <v>2115</v>
      </c>
      <c r="S103" s="33" t="s">
        <v>1072</v>
      </c>
      <c r="T103" s="33" t="s">
        <v>804</v>
      </c>
      <c r="U103" s="33" t="s">
        <v>1439</v>
      </c>
      <c r="V103" s="33">
        <v>0</v>
      </c>
      <c r="W103" s="33">
        <v>0</v>
      </c>
      <c r="X103" s="33">
        <v>0</v>
      </c>
      <c r="Y103" s="33">
        <v>16</v>
      </c>
      <c r="Z103" s="33">
        <v>64</v>
      </c>
      <c r="AA103" s="33">
        <v>0</v>
      </c>
      <c r="AB103" s="33">
        <v>5</v>
      </c>
      <c r="AC103" s="33">
        <v>36</v>
      </c>
      <c r="AD103" s="33">
        <v>0</v>
      </c>
      <c r="AE103" s="33">
        <v>12</v>
      </c>
      <c r="AF103" s="33"/>
      <c r="AG103" s="33">
        <v>97</v>
      </c>
      <c r="AH103" s="33" t="s">
        <v>2116</v>
      </c>
      <c r="AI103" s="33" t="s">
        <v>1072</v>
      </c>
      <c r="AJ103" s="33" t="s">
        <v>804</v>
      </c>
      <c r="AK103" s="33" t="s">
        <v>1439</v>
      </c>
      <c r="AL103" s="33">
        <v>0</v>
      </c>
      <c r="AM103" s="33">
        <v>0</v>
      </c>
      <c r="AN103" s="33">
        <v>0</v>
      </c>
      <c r="AO103" s="33">
        <v>0</v>
      </c>
      <c r="AP103" s="33">
        <v>0</v>
      </c>
      <c r="AQ103" s="33">
        <v>0</v>
      </c>
      <c r="AR103" s="33">
        <v>29</v>
      </c>
      <c r="AS103" s="33">
        <v>371</v>
      </c>
      <c r="AT103" s="33">
        <v>2</v>
      </c>
      <c r="AU103" s="33">
        <v>63.5</v>
      </c>
      <c r="AV103" s="33"/>
      <c r="AW103" s="33">
        <v>97</v>
      </c>
      <c r="AX103" s="33" t="s">
        <v>2117</v>
      </c>
      <c r="AY103" s="33" t="s">
        <v>1072</v>
      </c>
      <c r="AZ103" s="33" t="s">
        <v>804</v>
      </c>
      <c r="BA103" s="33" t="s">
        <v>1754</v>
      </c>
      <c r="BB103" s="33" t="s">
        <v>1755</v>
      </c>
      <c r="BC103" s="33" t="s">
        <v>1755</v>
      </c>
      <c r="BD103" s="33" t="s">
        <v>1755</v>
      </c>
      <c r="BE103" s="33" t="s">
        <v>1755</v>
      </c>
      <c r="BF103" s="33" t="s">
        <v>1755</v>
      </c>
      <c r="BG103" s="33" t="s">
        <v>1755</v>
      </c>
      <c r="BH103" s="33" t="s">
        <v>1755</v>
      </c>
      <c r="BI103" s="33" t="s">
        <v>1755</v>
      </c>
      <c r="BJ103" s="33" t="s">
        <v>1755</v>
      </c>
      <c r="BK103" s="33" t="s">
        <v>1755</v>
      </c>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t="str">
        <f t="shared" si="2"/>
        <v>Steve Smith</v>
      </c>
      <c r="CT103" s="33">
        <v>101</v>
      </c>
      <c r="CU103" s="33" t="s">
        <v>2088</v>
      </c>
      <c r="CV103" s="33">
        <v>11</v>
      </c>
      <c r="CW103" s="33" t="s">
        <v>2081</v>
      </c>
      <c r="CX103" s="33">
        <v>2</v>
      </c>
      <c r="CY103" s="33"/>
      <c r="CZ103" s="33" t="str">
        <f t="shared" si="3"/>
        <v>Seattle Seahawks</v>
      </c>
      <c r="DA103" s="33">
        <v>101</v>
      </c>
      <c r="DB103" s="33" t="s">
        <v>2103</v>
      </c>
      <c r="DC103" s="33">
        <v>4</v>
      </c>
      <c r="DD103" s="33" t="s">
        <v>2104</v>
      </c>
      <c r="DE103" s="33">
        <v>2</v>
      </c>
    </row>
    <row r="104" spans="1:109" ht="12.75" customHeight="1">
      <c r="A104" s="33"/>
      <c r="B104" s="33"/>
      <c r="C104" s="33"/>
      <c r="D104" s="33"/>
      <c r="E104" s="33"/>
      <c r="F104" s="33"/>
      <c r="G104" s="33"/>
      <c r="H104" s="33"/>
      <c r="I104" s="33"/>
      <c r="J104" s="33"/>
      <c r="K104" s="33"/>
      <c r="L104" s="33"/>
      <c r="M104" s="33"/>
      <c r="N104" s="33"/>
      <c r="O104" s="33"/>
      <c r="P104" s="33"/>
      <c r="Q104" s="33">
        <v>98</v>
      </c>
      <c r="R104" s="33" t="s">
        <v>2118</v>
      </c>
      <c r="S104" s="33" t="s">
        <v>1072</v>
      </c>
      <c r="T104" s="33" t="s">
        <v>804</v>
      </c>
      <c r="U104" s="33" t="s">
        <v>1439</v>
      </c>
      <c r="V104" s="33">
        <v>0</v>
      </c>
      <c r="W104" s="33">
        <v>0</v>
      </c>
      <c r="X104" s="33">
        <v>0</v>
      </c>
      <c r="Y104" s="33">
        <v>21</v>
      </c>
      <c r="Z104" s="33">
        <v>103</v>
      </c>
      <c r="AA104" s="33">
        <v>1</v>
      </c>
      <c r="AB104" s="33">
        <v>4</v>
      </c>
      <c r="AC104" s="33">
        <v>26</v>
      </c>
      <c r="AD104" s="33">
        <v>0</v>
      </c>
      <c r="AE104" s="33">
        <v>20.5</v>
      </c>
      <c r="AF104" s="33"/>
      <c r="AG104" s="33">
        <v>98</v>
      </c>
      <c r="AH104" s="33" t="s">
        <v>2119</v>
      </c>
      <c r="AI104" s="33" t="s">
        <v>1072</v>
      </c>
      <c r="AJ104" s="33" t="s">
        <v>804</v>
      </c>
      <c r="AK104" s="33" t="s">
        <v>1439</v>
      </c>
      <c r="AL104" s="33">
        <v>0</v>
      </c>
      <c r="AM104" s="33">
        <v>0</v>
      </c>
      <c r="AN104" s="33">
        <v>0</v>
      </c>
      <c r="AO104" s="33">
        <v>0</v>
      </c>
      <c r="AP104" s="33">
        <v>0</v>
      </c>
      <c r="AQ104" s="33">
        <v>0</v>
      </c>
      <c r="AR104" s="33">
        <v>27</v>
      </c>
      <c r="AS104" s="33">
        <v>380</v>
      </c>
      <c r="AT104" s="33">
        <v>2</v>
      </c>
      <c r="AU104" s="33">
        <v>62.5</v>
      </c>
      <c r="AV104" s="33"/>
      <c r="AW104" s="33">
        <v>98</v>
      </c>
      <c r="AX104" s="33" t="s">
        <v>2120</v>
      </c>
      <c r="AY104" s="33" t="s">
        <v>1072</v>
      </c>
      <c r="AZ104" s="33" t="s">
        <v>804</v>
      </c>
      <c r="BA104" s="33" t="s">
        <v>1754</v>
      </c>
      <c r="BB104" s="33" t="s">
        <v>1755</v>
      </c>
      <c r="BC104" s="33" t="s">
        <v>1755</v>
      </c>
      <c r="BD104" s="33" t="s">
        <v>1755</v>
      </c>
      <c r="BE104" s="33" t="s">
        <v>1755</v>
      </c>
      <c r="BF104" s="33" t="s">
        <v>1755</v>
      </c>
      <c r="BG104" s="33" t="s">
        <v>1755</v>
      </c>
      <c r="BH104" s="33" t="s">
        <v>1755</v>
      </c>
      <c r="BI104" s="33" t="s">
        <v>1755</v>
      </c>
      <c r="BJ104" s="33" t="s">
        <v>1755</v>
      </c>
      <c r="BK104" s="33" t="s">
        <v>1755</v>
      </c>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t="str">
        <f t="shared" si="2"/>
        <v>Shonn Greene</v>
      </c>
      <c r="CT104" s="33">
        <v>102</v>
      </c>
      <c r="CU104" s="33" t="s">
        <v>2121</v>
      </c>
      <c r="CV104" s="33">
        <v>9</v>
      </c>
      <c r="CW104" s="33" t="s">
        <v>2122</v>
      </c>
      <c r="CX104" s="33">
        <v>2</v>
      </c>
      <c r="CY104" s="33"/>
      <c r="CZ104" s="33" t="str">
        <f t="shared" si="3"/>
        <v>Dennis Pitta</v>
      </c>
      <c r="DA104" s="33">
        <v>102</v>
      </c>
      <c r="DB104" s="33" t="s">
        <v>2123</v>
      </c>
      <c r="DC104" s="33">
        <v>11</v>
      </c>
      <c r="DD104" s="33" t="s">
        <v>2124</v>
      </c>
      <c r="DE104" s="33">
        <v>2</v>
      </c>
    </row>
    <row r="105" spans="1:109" ht="12.75" customHeight="1">
      <c r="A105" s="33"/>
      <c r="B105" s="33"/>
      <c r="C105" s="33"/>
      <c r="D105" s="33"/>
      <c r="E105" s="33"/>
      <c r="F105" s="33"/>
      <c r="G105" s="33"/>
      <c r="H105" s="33"/>
      <c r="I105" s="33"/>
      <c r="J105" s="33"/>
      <c r="K105" s="33"/>
      <c r="L105" s="33"/>
      <c r="M105" s="33"/>
      <c r="N105" s="33"/>
      <c r="O105" s="33"/>
      <c r="P105" s="33"/>
      <c r="Q105" s="33">
        <v>99</v>
      </c>
      <c r="R105" s="33" t="s">
        <v>2125</v>
      </c>
      <c r="S105" s="33" t="s">
        <v>1072</v>
      </c>
      <c r="T105" s="33" t="s">
        <v>804</v>
      </c>
      <c r="U105" s="33" t="s">
        <v>1439</v>
      </c>
      <c r="V105" s="33">
        <v>0</v>
      </c>
      <c r="W105" s="33">
        <v>0</v>
      </c>
      <c r="X105" s="33">
        <v>0</v>
      </c>
      <c r="Y105" s="33">
        <v>27</v>
      </c>
      <c r="Z105" s="33">
        <v>151</v>
      </c>
      <c r="AA105" s="33">
        <v>1</v>
      </c>
      <c r="AB105" s="33">
        <v>2</v>
      </c>
      <c r="AC105" s="33">
        <v>17</v>
      </c>
      <c r="AD105" s="33">
        <v>0</v>
      </c>
      <c r="AE105" s="33">
        <v>23.5</v>
      </c>
      <c r="AF105" s="33"/>
      <c r="AG105" s="33">
        <v>99</v>
      </c>
      <c r="AH105" s="33" t="s">
        <v>2126</v>
      </c>
      <c r="AI105" s="33" t="s">
        <v>1072</v>
      </c>
      <c r="AJ105" s="33" t="s">
        <v>804</v>
      </c>
      <c r="AK105" s="33" t="s">
        <v>1439</v>
      </c>
      <c r="AL105" s="33">
        <v>0</v>
      </c>
      <c r="AM105" s="33">
        <v>0</v>
      </c>
      <c r="AN105" s="33">
        <v>0</v>
      </c>
      <c r="AO105" s="33">
        <v>6</v>
      </c>
      <c r="AP105" s="33">
        <v>29</v>
      </c>
      <c r="AQ105" s="33">
        <v>0</v>
      </c>
      <c r="AR105" s="33">
        <v>48</v>
      </c>
      <c r="AS105" s="33">
        <v>540</v>
      </c>
      <c r="AT105" s="33">
        <v>2</v>
      </c>
      <c r="AU105" s="33">
        <v>91.5</v>
      </c>
      <c r="AV105" s="33"/>
      <c r="AW105" s="33">
        <v>99</v>
      </c>
      <c r="AX105" s="33" t="s">
        <v>2127</v>
      </c>
      <c r="AY105" s="33" t="s">
        <v>1072</v>
      </c>
      <c r="AZ105" s="33" t="s">
        <v>804</v>
      </c>
      <c r="BA105" s="33" t="s">
        <v>1754</v>
      </c>
      <c r="BB105" s="33" t="s">
        <v>1755</v>
      </c>
      <c r="BC105" s="33" t="s">
        <v>1755</v>
      </c>
      <c r="BD105" s="33" t="s">
        <v>1755</v>
      </c>
      <c r="BE105" s="33" t="s">
        <v>1755</v>
      </c>
      <c r="BF105" s="33" t="s">
        <v>1755</v>
      </c>
      <c r="BG105" s="33" t="s">
        <v>1755</v>
      </c>
      <c r="BH105" s="33" t="s">
        <v>1755</v>
      </c>
      <c r="BI105" s="33" t="s">
        <v>1755</v>
      </c>
      <c r="BJ105" s="33" t="s">
        <v>1755</v>
      </c>
      <c r="BK105" s="33" t="s">
        <v>1755</v>
      </c>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t="str">
        <f t="shared" si="2"/>
        <v>Darren McFadden</v>
      </c>
      <c r="CT105" s="33">
        <v>103</v>
      </c>
      <c r="CU105" s="33" t="s">
        <v>2128</v>
      </c>
      <c r="CV105" s="33">
        <v>5</v>
      </c>
      <c r="CW105" s="33" t="s">
        <v>2129</v>
      </c>
      <c r="CX105" s="33">
        <v>2</v>
      </c>
      <c r="CY105" s="33"/>
      <c r="CZ105" s="33" t="str">
        <f t="shared" si="3"/>
        <v>Fred Jackson</v>
      </c>
      <c r="DA105" s="33">
        <v>103</v>
      </c>
      <c r="DB105" s="33" t="s">
        <v>2027</v>
      </c>
      <c r="DC105" s="33">
        <v>9</v>
      </c>
      <c r="DD105" s="33" t="s">
        <v>2039</v>
      </c>
      <c r="DE105" s="33">
        <v>2</v>
      </c>
    </row>
    <row r="106" spans="1:109" ht="12.75" customHeight="1">
      <c r="A106" s="33"/>
      <c r="B106" s="33"/>
      <c r="C106" s="33"/>
      <c r="D106" s="33"/>
      <c r="E106" s="33"/>
      <c r="F106" s="33"/>
      <c r="G106" s="33"/>
      <c r="H106" s="33"/>
      <c r="I106" s="33"/>
      <c r="J106" s="33"/>
      <c r="K106" s="33"/>
      <c r="L106" s="33"/>
      <c r="M106" s="33"/>
      <c r="N106" s="33"/>
      <c r="O106" s="33"/>
      <c r="P106" s="33"/>
      <c r="Q106" s="33">
        <v>100</v>
      </c>
      <c r="R106" s="33" t="s">
        <v>2130</v>
      </c>
      <c r="S106" s="33" t="s">
        <v>1072</v>
      </c>
      <c r="T106" s="33" t="s">
        <v>804</v>
      </c>
      <c r="U106" s="33" t="s">
        <v>1439</v>
      </c>
      <c r="V106" s="33">
        <v>0</v>
      </c>
      <c r="W106" s="33">
        <v>0</v>
      </c>
      <c r="X106" s="33">
        <v>0</v>
      </c>
      <c r="Y106" s="33">
        <v>19</v>
      </c>
      <c r="Z106" s="33">
        <v>75</v>
      </c>
      <c r="AA106" s="33">
        <v>1</v>
      </c>
      <c r="AB106" s="33">
        <v>6</v>
      </c>
      <c r="AC106" s="33">
        <v>46</v>
      </c>
      <c r="AD106" s="33">
        <v>0</v>
      </c>
      <c r="AE106" s="33">
        <v>21</v>
      </c>
      <c r="AF106" s="33"/>
      <c r="AG106" s="33">
        <v>100</v>
      </c>
      <c r="AH106" s="33" t="s">
        <v>2131</v>
      </c>
      <c r="AI106" s="33" t="s">
        <v>1072</v>
      </c>
      <c r="AJ106" s="33" t="s">
        <v>804</v>
      </c>
      <c r="AK106" s="33" t="s">
        <v>1439</v>
      </c>
      <c r="AL106" s="33">
        <v>0</v>
      </c>
      <c r="AM106" s="33">
        <v>0</v>
      </c>
      <c r="AN106" s="33">
        <v>0</v>
      </c>
      <c r="AO106" s="33">
        <v>0</v>
      </c>
      <c r="AP106" s="33">
        <v>0</v>
      </c>
      <c r="AQ106" s="33">
        <v>0</v>
      </c>
      <c r="AR106" s="33">
        <v>22</v>
      </c>
      <c r="AS106" s="33">
        <v>262</v>
      </c>
      <c r="AT106" s="33">
        <v>1</v>
      </c>
      <c r="AU106" s="33">
        <v>43</v>
      </c>
      <c r="AV106" s="33"/>
      <c r="AW106" s="33">
        <v>100</v>
      </c>
      <c r="AX106" s="33" t="s">
        <v>2132</v>
      </c>
      <c r="AY106" s="33" t="s">
        <v>1072</v>
      </c>
      <c r="AZ106" s="33" t="s">
        <v>804</v>
      </c>
      <c r="BA106" s="33" t="s">
        <v>1754</v>
      </c>
      <c r="BB106" s="33" t="s">
        <v>1755</v>
      </c>
      <c r="BC106" s="33" t="s">
        <v>1755</v>
      </c>
      <c r="BD106" s="33" t="s">
        <v>1755</v>
      </c>
      <c r="BE106" s="33" t="s">
        <v>1755</v>
      </c>
      <c r="BF106" s="33" t="s">
        <v>1755</v>
      </c>
      <c r="BG106" s="33" t="s">
        <v>1755</v>
      </c>
      <c r="BH106" s="33" t="s">
        <v>1755</v>
      </c>
      <c r="BI106" s="33" t="s">
        <v>1755</v>
      </c>
      <c r="BJ106" s="33" t="s">
        <v>1755</v>
      </c>
      <c r="BK106" s="33" t="s">
        <v>1755</v>
      </c>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t="str">
        <f t="shared" si="2"/>
        <v>Greg Olsen</v>
      </c>
      <c r="CT106" s="33">
        <v>104</v>
      </c>
      <c r="CU106" s="33" t="s">
        <v>2133</v>
      </c>
      <c r="CV106" s="33">
        <v>12</v>
      </c>
      <c r="CW106" s="33" t="s">
        <v>2124</v>
      </c>
      <c r="CX106" s="33">
        <v>2</v>
      </c>
      <c r="CY106" s="33"/>
      <c r="CZ106" s="33" t="str">
        <f t="shared" si="3"/>
        <v>Philip Rivers</v>
      </c>
      <c r="DA106" s="33">
        <v>104</v>
      </c>
      <c r="DB106" s="33" t="s">
        <v>2134</v>
      </c>
      <c r="DC106" s="33">
        <v>10</v>
      </c>
      <c r="DD106" s="33" t="s">
        <v>2135</v>
      </c>
      <c r="DE106" s="33">
        <v>2</v>
      </c>
    </row>
    <row r="107" spans="1:109" ht="12.75" customHeight="1">
      <c r="A107" s="33"/>
      <c r="B107" s="33"/>
      <c r="C107" s="33"/>
      <c r="D107" s="33"/>
      <c r="E107" s="33"/>
      <c r="F107" s="33"/>
      <c r="G107" s="33"/>
      <c r="H107" s="33"/>
      <c r="I107" s="33"/>
      <c r="J107" s="33"/>
      <c r="K107" s="33"/>
      <c r="L107" s="33"/>
      <c r="M107" s="33"/>
      <c r="N107" s="33"/>
      <c r="O107" s="33"/>
      <c r="P107" s="33"/>
      <c r="Q107" s="33">
        <v>101</v>
      </c>
      <c r="R107" s="33" t="s">
        <v>2136</v>
      </c>
      <c r="S107" s="33" t="s">
        <v>1072</v>
      </c>
      <c r="T107" s="33" t="s">
        <v>804</v>
      </c>
      <c r="U107" s="33" t="s">
        <v>1439</v>
      </c>
      <c r="V107" s="33">
        <v>0</v>
      </c>
      <c r="W107" s="33">
        <v>0</v>
      </c>
      <c r="X107" s="33">
        <v>0</v>
      </c>
      <c r="Y107" s="33">
        <v>24</v>
      </c>
      <c r="Z107" s="33">
        <v>108</v>
      </c>
      <c r="AA107" s="33">
        <v>0</v>
      </c>
      <c r="AB107" s="33">
        <v>11</v>
      </c>
      <c r="AC107" s="33">
        <v>71</v>
      </c>
      <c r="AD107" s="33">
        <v>0</v>
      </c>
      <c r="AE107" s="33">
        <v>23</v>
      </c>
      <c r="AF107" s="33"/>
      <c r="AG107" s="33">
        <v>101</v>
      </c>
      <c r="AH107" s="33" t="s">
        <v>2137</v>
      </c>
      <c r="AI107" s="33" t="s">
        <v>1072</v>
      </c>
      <c r="AJ107" s="33" t="s">
        <v>804</v>
      </c>
      <c r="AK107" s="33" t="s">
        <v>1439</v>
      </c>
      <c r="AL107" s="33">
        <v>0</v>
      </c>
      <c r="AM107" s="33">
        <v>0</v>
      </c>
      <c r="AN107" s="33">
        <v>0</v>
      </c>
      <c r="AO107" s="33">
        <v>4</v>
      </c>
      <c r="AP107" s="33">
        <v>16</v>
      </c>
      <c r="AQ107" s="33">
        <v>0</v>
      </c>
      <c r="AR107" s="33">
        <v>36</v>
      </c>
      <c r="AS107" s="33">
        <v>338</v>
      </c>
      <c r="AT107" s="33">
        <v>1</v>
      </c>
      <c r="AU107" s="33">
        <v>59</v>
      </c>
      <c r="AV107" s="33"/>
      <c r="AW107" s="33">
        <v>101</v>
      </c>
      <c r="AX107" s="33" t="s">
        <v>2138</v>
      </c>
      <c r="AY107" s="33" t="s">
        <v>1072</v>
      </c>
      <c r="AZ107" s="33" t="s">
        <v>804</v>
      </c>
      <c r="BA107" s="33" t="s">
        <v>1754</v>
      </c>
      <c r="BB107" s="33" t="s">
        <v>1755</v>
      </c>
      <c r="BC107" s="33" t="s">
        <v>1755</v>
      </c>
      <c r="BD107" s="33" t="s">
        <v>1755</v>
      </c>
      <c r="BE107" s="33" t="s">
        <v>1755</v>
      </c>
      <c r="BF107" s="33" t="s">
        <v>1755</v>
      </c>
      <c r="BG107" s="33" t="s">
        <v>1755</v>
      </c>
      <c r="BH107" s="33" t="s">
        <v>1755</v>
      </c>
      <c r="BI107" s="33" t="s">
        <v>1755</v>
      </c>
      <c r="BJ107" s="33" t="s">
        <v>1755</v>
      </c>
      <c r="BK107" s="33" t="s">
        <v>1755</v>
      </c>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t="str">
        <f t="shared" si="2"/>
        <v>Bernard Pierce</v>
      </c>
      <c r="CT107" s="33">
        <v>105</v>
      </c>
      <c r="CU107" s="33" t="s">
        <v>2139</v>
      </c>
      <c r="CV107" s="33">
        <v>11</v>
      </c>
      <c r="CW107" s="33" t="s">
        <v>2140</v>
      </c>
      <c r="CX107" s="33">
        <v>2</v>
      </c>
      <c r="CY107" s="33"/>
      <c r="CZ107" s="33" t="str">
        <f t="shared" si="3"/>
        <v>Greg Olsen</v>
      </c>
      <c r="DA107" s="33">
        <v>105</v>
      </c>
      <c r="DB107" s="33" t="s">
        <v>2133</v>
      </c>
      <c r="DC107" s="33">
        <v>12</v>
      </c>
      <c r="DD107" s="33" t="s">
        <v>2141</v>
      </c>
      <c r="DE107" s="33">
        <v>2</v>
      </c>
    </row>
    <row r="108" spans="1:109" ht="12.75" customHeight="1">
      <c r="A108" s="33"/>
      <c r="B108" s="33"/>
      <c r="C108" s="33"/>
      <c r="D108" s="33"/>
      <c r="E108" s="33"/>
      <c r="F108" s="33"/>
      <c r="G108" s="33"/>
      <c r="H108" s="33"/>
      <c r="I108" s="33"/>
      <c r="J108" s="33"/>
      <c r="K108" s="33"/>
      <c r="L108" s="33"/>
      <c r="M108" s="33"/>
      <c r="N108" s="33"/>
      <c r="O108" s="33"/>
      <c r="P108" s="33"/>
      <c r="Q108" s="33">
        <v>102</v>
      </c>
      <c r="R108" s="33" t="s">
        <v>2142</v>
      </c>
      <c r="S108" s="33" t="s">
        <v>1072</v>
      </c>
      <c r="T108" s="33" t="s">
        <v>804</v>
      </c>
      <c r="U108" s="33" t="s">
        <v>1439</v>
      </c>
      <c r="V108" s="33">
        <v>0</v>
      </c>
      <c r="W108" s="33">
        <v>0</v>
      </c>
      <c r="X108" s="33">
        <v>0</v>
      </c>
      <c r="Y108" s="33">
        <v>0</v>
      </c>
      <c r="Z108" s="33">
        <v>0</v>
      </c>
      <c r="AA108" s="33">
        <v>0</v>
      </c>
      <c r="AB108" s="33">
        <v>0</v>
      </c>
      <c r="AC108" s="33">
        <v>0</v>
      </c>
      <c r="AD108" s="33">
        <v>0</v>
      </c>
      <c r="AE108" s="33">
        <v>0</v>
      </c>
      <c r="AF108" s="33"/>
      <c r="AG108" s="33">
        <v>102</v>
      </c>
      <c r="AH108" s="33" t="s">
        <v>2143</v>
      </c>
      <c r="AI108" s="33" t="s">
        <v>1072</v>
      </c>
      <c r="AJ108" s="33" t="s">
        <v>804</v>
      </c>
      <c r="AK108" s="33" t="s">
        <v>1439</v>
      </c>
      <c r="AL108" s="33">
        <v>0</v>
      </c>
      <c r="AM108" s="33">
        <v>0</v>
      </c>
      <c r="AN108" s="33">
        <v>0</v>
      </c>
      <c r="AO108" s="33">
        <v>0</v>
      </c>
      <c r="AP108" s="33">
        <v>0</v>
      </c>
      <c r="AQ108" s="33">
        <v>0</v>
      </c>
      <c r="AR108" s="33">
        <v>0</v>
      </c>
      <c r="AS108" s="33">
        <v>0</v>
      </c>
      <c r="AT108" s="33">
        <v>0</v>
      </c>
      <c r="AU108" s="33">
        <v>0</v>
      </c>
      <c r="AV108" s="33"/>
      <c r="AW108" s="33">
        <v>102</v>
      </c>
      <c r="AX108" s="33" t="s">
        <v>2144</v>
      </c>
      <c r="AY108" s="33" t="s">
        <v>1072</v>
      </c>
      <c r="AZ108" s="33" t="s">
        <v>804</v>
      </c>
      <c r="BA108" s="33" t="s">
        <v>1754</v>
      </c>
      <c r="BB108" s="33" t="s">
        <v>1755</v>
      </c>
      <c r="BC108" s="33" t="s">
        <v>1755</v>
      </c>
      <c r="BD108" s="33" t="s">
        <v>1755</v>
      </c>
      <c r="BE108" s="33" t="s">
        <v>1755</v>
      </c>
      <c r="BF108" s="33" t="s">
        <v>1755</v>
      </c>
      <c r="BG108" s="33" t="s">
        <v>1755</v>
      </c>
      <c r="BH108" s="33" t="s">
        <v>1755</v>
      </c>
      <c r="BI108" s="33" t="s">
        <v>1755</v>
      </c>
      <c r="BJ108" s="33" t="s">
        <v>1755</v>
      </c>
      <c r="BK108" s="33" t="s">
        <v>1755</v>
      </c>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t="str">
        <f t="shared" si="2"/>
        <v>Dwayne Bowe</v>
      </c>
      <c r="CT108" s="33">
        <v>106</v>
      </c>
      <c r="CU108" s="33" t="s">
        <v>2080</v>
      </c>
      <c r="CV108" s="33">
        <v>6</v>
      </c>
      <c r="CW108" s="33" t="s">
        <v>2089</v>
      </c>
      <c r="CX108" s="33">
        <v>2</v>
      </c>
      <c r="CY108" s="33"/>
      <c r="CZ108" s="33" t="str">
        <f t="shared" si="3"/>
        <v>DeAngelo Williams</v>
      </c>
      <c r="DA108" s="33">
        <v>106</v>
      </c>
      <c r="DB108" s="33" t="s">
        <v>2038</v>
      </c>
      <c r="DC108" s="33">
        <v>12</v>
      </c>
      <c r="DD108" s="33" t="s">
        <v>2045</v>
      </c>
      <c r="DE108" s="33">
        <v>2</v>
      </c>
    </row>
    <row r="109" spans="1:109" ht="12.75" customHeight="1">
      <c r="A109" s="33"/>
      <c r="B109" s="33"/>
      <c r="C109" s="33"/>
      <c r="D109" s="33"/>
      <c r="E109" s="33"/>
      <c r="F109" s="33"/>
      <c r="G109" s="33"/>
      <c r="H109" s="33"/>
      <c r="I109" s="33"/>
      <c r="J109" s="33"/>
      <c r="K109" s="33"/>
      <c r="L109" s="33"/>
      <c r="M109" s="33"/>
      <c r="N109" s="33"/>
      <c r="O109" s="33"/>
      <c r="P109" s="33"/>
      <c r="Q109" s="33">
        <v>103</v>
      </c>
      <c r="R109" s="33" t="s">
        <v>2145</v>
      </c>
      <c r="S109" s="33" t="s">
        <v>1072</v>
      </c>
      <c r="T109" s="33" t="s">
        <v>804</v>
      </c>
      <c r="U109" s="33" t="s">
        <v>1439</v>
      </c>
      <c r="V109" s="33">
        <v>0</v>
      </c>
      <c r="W109" s="33">
        <v>0</v>
      </c>
      <c r="X109" s="33">
        <v>0</v>
      </c>
      <c r="Y109" s="33">
        <v>0</v>
      </c>
      <c r="Z109" s="33">
        <v>0</v>
      </c>
      <c r="AA109" s="33">
        <v>0</v>
      </c>
      <c r="AB109" s="33">
        <v>0</v>
      </c>
      <c r="AC109" s="33">
        <v>0</v>
      </c>
      <c r="AD109" s="33">
        <v>0</v>
      </c>
      <c r="AE109" s="33">
        <v>0</v>
      </c>
      <c r="AF109" s="33"/>
      <c r="AG109" s="33">
        <v>103</v>
      </c>
      <c r="AH109" s="33" t="s">
        <v>2146</v>
      </c>
      <c r="AI109" s="33" t="s">
        <v>1072</v>
      </c>
      <c r="AJ109" s="33" t="s">
        <v>804</v>
      </c>
      <c r="AK109" s="33" t="s">
        <v>1439</v>
      </c>
      <c r="AL109" s="33">
        <v>0</v>
      </c>
      <c r="AM109" s="33">
        <v>0</v>
      </c>
      <c r="AN109" s="33">
        <v>0</v>
      </c>
      <c r="AO109" s="33">
        <v>0</v>
      </c>
      <c r="AP109" s="33">
        <v>0</v>
      </c>
      <c r="AQ109" s="33">
        <v>0</v>
      </c>
      <c r="AR109" s="33">
        <v>0</v>
      </c>
      <c r="AS109" s="33">
        <v>0</v>
      </c>
      <c r="AT109" s="33">
        <v>0</v>
      </c>
      <c r="AU109" s="33">
        <v>0</v>
      </c>
      <c r="AV109" s="33"/>
      <c r="AW109" s="33">
        <v>103</v>
      </c>
      <c r="AX109" s="33" t="s">
        <v>2147</v>
      </c>
      <c r="AY109" s="33" t="s">
        <v>1072</v>
      </c>
      <c r="AZ109" s="33" t="s">
        <v>804</v>
      </c>
      <c r="BA109" s="33" t="s">
        <v>1754</v>
      </c>
      <c r="BB109" s="33" t="s">
        <v>1755</v>
      </c>
      <c r="BC109" s="33" t="s">
        <v>1755</v>
      </c>
      <c r="BD109" s="33" t="s">
        <v>1755</v>
      </c>
      <c r="BE109" s="33" t="s">
        <v>1755</v>
      </c>
      <c r="BF109" s="33" t="s">
        <v>1755</v>
      </c>
      <c r="BG109" s="33" t="s">
        <v>1755</v>
      </c>
      <c r="BH109" s="33" t="s">
        <v>1755</v>
      </c>
      <c r="BI109" s="33" t="s">
        <v>1755</v>
      </c>
      <c r="BJ109" s="33" t="s">
        <v>1755</v>
      </c>
      <c r="BK109" s="33" t="s">
        <v>1755</v>
      </c>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t="str">
        <f t="shared" si="2"/>
        <v>Mark Ingram</v>
      </c>
      <c r="CT109" s="33">
        <v>107</v>
      </c>
      <c r="CU109" s="33" t="s">
        <v>2148</v>
      </c>
      <c r="CV109" s="33">
        <v>6</v>
      </c>
      <c r="CW109" s="33" t="s">
        <v>2149</v>
      </c>
      <c r="CX109" s="33">
        <v>2</v>
      </c>
      <c r="CY109" s="33"/>
      <c r="CZ109" s="33" t="str">
        <f t="shared" si="3"/>
        <v>Knowshon Moreno</v>
      </c>
      <c r="DA109" s="33">
        <v>107</v>
      </c>
      <c r="DB109" s="33" t="s">
        <v>2078</v>
      </c>
      <c r="DC109" s="33">
        <v>5</v>
      </c>
      <c r="DD109" s="33" t="s">
        <v>2056</v>
      </c>
      <c r="DE109" s="33">
        <v>2</v>
      </c>
    </row>
    <row r="110" spans="1:109" ht="12.75" customHeight="1">
      <c r="A110" s="33"/>
      <c r="B110" s="33"/>
      <c r="C110" s="33"/>
      <c r="D110" s="33"/>
      <c r="E110" s="33"/>
      <c r="F110" s="33"/>
      <c r="G110" s="33"/>
      <c r="H110" s="33"/>
      <c r="I110" s="33"/>
      <c r="J110" s="33"/>
      <c r="K110" s="33"/>
      <c r="L110" s="33"/>
      <c r="M110" s="33"/>
      <c r="N110" s="33"/>
      <c r="O110" s="33"/>
      <c r="P110" s="33"/>
      <c r="Q110" s="33">
        <v>104</v>
      </c>
      <c r="R110" s="33" t="s">
        <v>2150</v>
      </c>
      <c r="S110" s="33" t="s">
        <v>1072</v>
      </c>
      <c r="T110" s="33" t="s">
        <v>804</v>
      </c>
      <c r="U110" s="33" t="s">
        <v>1439</v>
      </c>
      <c r="V110" s="33">
        <v>0</v>
      </c>
      <c r="W110" s="33">
        <v>0</v>
      </c>
      <c r="X110" s="33">
        <v>0</v>
      </c>
      <c r="Y110" s="33">
        <v>0</v>
      </c>
      <c r="Z110" s="33">
        <v>0</v>
      </c>
      <c r="AA110" s="33">
        <v>0</v>
      </c>
      <c r="AB110" s="33">
        <v>0</v>
      </c>
      <c r="AC110" s="33">
        <v>0</v>
      </c>
      <c r="AD110" s="33">
        <v>0</v>
      </c>
      <c r="AE110" s="33">
        <v>0</v>
      </c>
      <c r="AF110" s="33"/>
      <c r="AG110" s="33">
        <v>104</v>
      </c>
      <c r="AH110" s="33" t="s">
        <v>2151</v>
      </c>
      <c r="AI110" s="33" t="s">
        <v>1072</v>
      </c>
      <c r="AJ110" s="33" t="s">
        <v>804</v>
      </c>
      <c r="AK110" s="33" t="s">
        <v>1439</v>
      </c>
      <c r="AL110" s="33">
        <v>0</v>
      </c>
      <c r="AM110" s="33">
        <v>0</v>
      </c>
      <c r="AN110" s="33">
        <v>0</v>
      </c>
      <c r="AO110" s="33">
        <v>0</v>
      </c>
      <c r="AP110" s="33">
        <v>0</v>
      </c>
      <c r="AQ110" s="33">
        <v>0</v>
      </c>
      <c r="AR110" s="33">
        <v>0</v>
      </c>
      <c r="AS110" s="33">
        <v>0</v>
      </c>
      <c r="AT110" s="33">
        <v>0</v>
      </c>
      <c r="AU110" s="33">
        <v>0</v>
      </c>
      <c r="AV110" s="33"/>
      <c r="AW110" s="33">
        <v>104</v>
      </c>
      <c r="AX110" s="33" t="s">
        <v>2152</v>
      </c>
      <c r="AY110" s="33" t="s">
        <v>1072</v>
      </c>
      <c r="AZ110" s="33" t="s">
        <v>804</v>
      </c>
      <c r="BA110" s="33" t="s">
        <v>1754</v>
      </c>
      <c r="BB110" s="33" t="s">
        <v>1755</v>
      </c>
      <c r="BC110" s="33" t="s">
        <v>1755</v>
      </c>
      <c r="BD110" s="33" t="s">
        <v>1755</v>
      </c>
      <c r="BE110" s="33" t="s">
        <v>1755</v>
      </c>
      <c r="BF110" s="33" t="s">
        <v>1755</v>
      </c>
      <c r="BG110" s="33" t="s">
        <v>1755</v>
      </c>
      <c r="BH110" s="33" t="s">
        <v>1755</v>
      </c>
      <c r="BI110" s="33" t="s">
        <v>1755</v>
      </c>
      <c r="BJ110" s="33" t="s">
        <v>1755</v>
      </c>
      <c r="BK110" s="33" t="s">
        <v>1755</v>
      </c>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t="str">
        <f t="shared" si="2"/>
        <v>Christine Michael</v>
      </c>
      <c r="CT110" s="33">
        <v>108</v>
      </c>
      <c r="CU110" s="33" t="s">
        <v>2153</v>
      </c>
      <c r="CV110" s="33">
        <v>4</v>
      </c>
      <c r="CW110" s="33" t="s">
        <v>2154</v>
      </c>
      <c r="CX110" s="33">
        <v>2</v>
      </c>
      <c r="CY110" s="33"/>
      <c r="CZ110" s="33" t="str">
        <f t="shared" si="3"/>
        <v>Justin Hunter</v>
      </c>
      <c r="DA110" s="33">
        <v>108</v>
      </c>
      <c r="DB110" s="33" t="s">
        <v>2155</v>
      </c>
      <c r="DC110" s="33">
        <v>9</v>
      </c>
      <c r="DD110" s="33" t="s">
        <v>2156</v>
      </c>
      <c r="DE110" s="33">
        <v>2</v>
      </c>
    </row>
    <row r="111" spans="1:109" ht="12.75" customHeight="1">
      <c r="A111" s="33"/>
      <c r="B111" s="33"/>
      <c r="C111" s="33"/>
      <c r="D111" s="33"/>
      <c r="E111" s="33"/>
      <c r="F111" s="33"/>
      <c r="G111" s="33"/>
      <c r="H111" s="33"/>
      <c r="I111" s="33"/>
      <c r="J111" s="33"/>
      <c r="K111" s="33"/>
      <c r="L111" s="33"/>
      <c r="M111" s="33"/>
      <c r="N111" s="33"/>
      <c r="O111" s="33"/>
      <c r="P111" s="33"/>
      <c r="Q111" s="33">
        <v>105</v>
      </c>
      <c r="R111" s="33" t="s">
        <v>2157</v>
      </c>
      <c r="S111" s="33" t="s">
        <v>1072</v>
      </c>
      <c r="T111" s="33" t="s">
        <v>804</v>
      </c>
      <c r="U111" s="33" t="s">
        <v>1439</v>
      </c>
      <c r="V111" s="33">
        <v>0</v>
      </c>
      <c r="W111" s="33">
        <v>0</v>
      </c>
      <c r="X111" s="33">
        <v>0</v>
      </c>
      <c r="Y111" s="33">
        <v>0</v>
      </c>
      <c r="Z111" s="33">
        <v>0</v>
      </c>
      <c r="AA111" s="33">
        <v>0</v>
      </c>
      <c r="AB111" s="33">
        <v>0</v>
      </c>
      <c r="AC111" s="33">
        <v>0</v>
      </c>
      <c r="AD111" s="33">
        <v>0</v>
      </c>
      <c r="AE111" s="33">
        <v>0</v>
      </c>
      <c r="AF111" s="33"/>
      <c r="AG111" s="33">
        <v>105</v>
      </c>
      <c r="AH111" s="33" t="s">
        <v>2158</v>
      </c>
      <c r="AI111" s="33" t="s">
        <v>1072</v>
      </c>
      <c r="AJ111" s="33" t="s">
        <v>804</v>
      </c>
      <c r="AK111" s="33" t="s">
        <v>1439</v>
      </c>
      <c r="AL111" s="33">
        <v>0</v>
      </c>
      <c r="AM111" s="33">
        <v>0</v>
      </c>
      <c r="AN111" s="33">
        <v>0</v>
      </c>
      <c r="AO111" s="33">
        <v>0</v>
      </c>
      <c r="AP111" s="33">
        <v>0</v>
      </c>
      <c r="AQ111" s="33">
        <v>0</v>
      </c>
      <c r="AR111" s="33">
        <v>0</v>
      </c>
      <c r="AS111" s="33">
        <v>0</v>
      </c>
      <c r="AT111" s="33">
        <v>0</v>
      </c>
      <c r="AU111" s="33">
        <v>0</v>
      </c>
      <c r="AV111" s="33"/>
      <c r="AW111" s="33">
        <v>105</v>
      </c>
      <c r="AX111" s="33" t="s">
        <v>2159</v>
      </c>
      <c r="AY111" s="33" t="s">
        <v>1072</v>
      </c>
      <c r="AZ111" s="33" t="s">
        <v>804</v>
      </c>
      <c r="BA111" s="33" t="s">
        <v>1754</v>
      </c>
      <c r="BB111" s="33" t="s">
        <v>1755</v>
      </c>
      <c r="BC111" s="33" t="s">
        <v>1755</v>
      </c>
      <c r="BD111" s="33" t="s">
        <v>1755</v>
      </c>
      <c r="BE111" s="33" t="s">
        <v>1755</v>
      </c>
      <c r="BF111" s="33" t="s">
        <v>1755</v>
      </c>
      <c r="BG111" s="33" t="s">
        <v>1755</v>
      </c>
      <c r="BH111" s="33" t="s">
        <v>1755</v>
      </c>
      <c r="BI111" s="33" t="s">
        <v>1755</v>
      </c>
      <c r="BJ111" s="33" t="s">
        <v>1755</v>
      </c>
      <c r="BK111" s="33" t="s">
        <v>1755</v>
      </c>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t="str">
        <f t="shared" si="2"/>
        <v>Donald Brown</v>
      </c>
      <c r="CT111" s="33">
        <v>109</v>
      </c>
      <c r="CU111" s="33" t="s">
        <v>2160</v>
      </c>
      <c r="CV111" s="33">
        <v>10</v>
      </c>
      <c r="CW111" s="33" t="s">
        <v>2161</v>
      </c>
      <c r="CX111" s="33">
        <v>2</v>
      </c>
      <c r="CY111" s="33"/>
      <c r="CZ111" s="33" t="str">
        <f t="shared" si="3"/>
        <v>Lamar Miller</v>
      </c>
      <c r="DA111" s="33">
        <v>109</v>
      </c>
      <c r="DB111" s="33" t="s">
        <v>2055</v>
      </c>
      <c r="DC111" s="33">
        <v>5</v>
      </c>
      <c r="DD111" s="33" t="s">
        <v>2066</v>
      </c>
      <c r="DE111" s="33">
        <v>2</v>
      </c>
    </row>
    <row r="112" spans="1:109" ht="12.75" customHeight="1">
      <c r="A112" s="33"/>
      <c r="B112" s="33"/>
      <c r="C112" s="33"/>
      <c r="D112" s="33"/>
      <c r="E112" s="33"/>
      <c r="F112" s="33"/>
      <c r="G112" s="33"/>
      <c r="H112" s="33"/>
      <c r="I112" s="33"/>
      <c r="J112" s="33"/>
      <c r="K112" s="33"/>
      <c r="L112" s="33"/>
      <c r="M112" s="33"/>
      <c r="N112" s="33"/>
      <c r="O112" s="33"/>
      <c r="P112" s="33"/>
      <c r="Q112" s="33">
        <v>106</v>
      </c>
      <c r="R112" s="33" t="s">
        <v>2162</v>
      </c>
      <c r="S112" s="33" t="s">
        <v>1072</v>
      </c>
      <c r="T112" s="33" t="s">
        <v>804</v>
      </c>
      <c r="U112" s="33" t="s">
        <v>1439</v>
      </c>
      <c r="V112" s="33">
        <v>0</v>
      </c>
      <c r="W112" s="33">
        <v>0</v>
      </c>
      <c r="X112" s="33">
        <v>0</v>
      </c>
      <c r="Y112" s="33">
        <v>0</v>
      </c>
      <c r="Z112" s="33">
        <v>0</v>
      </c>
      <c r="AA112" s="33">
        <v>0</v>
      </c>
      <c r="AB112" s="33">
        <v>0</v>
      </c>
      <c r="AC112" s="33">
        <v>0</v>
      </c>
      <c r="AD112" s="33">
        <v>0</v>
      </c>
      <c r="AE112" s="33">
        <v>0</v>
      </c>
      <c r="AF112" s="33"/>
      <c r="AG112" s="33">
        <v>106</v>
      </c>
      <c r="AH112" s="33" t="s">
        <v>2163</v>
      </c>
      <c r="AI112" s="33" t="s">
        <v>1072</v>
      </c>
      <c r="AJ112" s="33" t="s">
        <v>804</v>
      </c>
      <c r="AK112" s="33" t="s">
        <v>1439</v>
      </c>
      <c r="AL112" s="33">
        <v>0</v>
      </c>
      <c r="AM112" s="33">
        <v>0</v>
      </c>
      <c r="AN112" s="33">
        <v>0</v>
      </c>
      <c r="AO112" s="33">
        <v>0</v>
      </c>
      <c r="AP112" s="33">
        <v>0</v>
      </c>
      <c r="AQ112" s="33">
        <v>0</v>
      </c>
      <c r="AR112" s="33">
        <v>0</v>
      </c>
      <c r="AS112" s="33">
        <v>0</v>
      </c>
      <c r="AT112" s="33">
        <v>0</v>
      </c>
      <c r="AU112" s="33">
        <v>0</v>
      </c>
      <c r="AV112" s="33"/>
      <c r="AW112" s="33">
        <v>106</v>
      </c>
      <c r="AX112" s="33" t="s">
        <v>2164</v>
      </c>
      <c r="AY112" s="33" t="s">
        <v>1072</v>
      </c>
      <c r="AZ112" s="33" t="s">
        <v>804</v>
      </c>
      <c r="BA112" s="33" t="s">
        <v>1754</v>
      </c>
      <c r="BB112" s="33" t="s">
        <v>1755</v>
      </c>
      <c r="BC112" s="33" t="s">
        <v>1755</v>
      </c>
      <c r="BD112" s="33" t="s">
        <v>1755</v>
      </c>
      <c r="BE112" s="33" t="s">
        <v>1755</v>
      </c>
      <c r="BF112" s="33" t="s">
        <v>1755</v>
      </c>
      <c r="BG112" s="33" t="s">
        <v>1755</v>
      </c>
      <c r="BH112" s="33" t="s">
        <v>1755</v>
      </c>
      <c r="BI112" s="33" t="s">
        <v>1755</v>
      </c>
      <c r="BJ112" s="33" t="s">
        <v>1755</v>
      </c>
      <c r="BK112" s="33" t="s">
        <v>1755</v>
      </c>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t="str">
        <f t="shared" si="2"/>
        <v>Dennis Pitta</v>
      </c>
      <c r="CT112" s="33">
        <v>110</v>
      </c>
      <c r="CU112" s="33" t="s">
        <v>2123</v>
      </c>
      <c r="CV112" s="33">
        <v>11</v>
      </c>
      <c r="CW112" s="33" t="s">
        <v>2141</v>
      </c>
      <c r="CX112" s="33">
        <v>2</v>
      </c>
      <c r="CY112" s="33"/>
      <c r="CZ112" s="33" t="str">
        <f t="shared" si="3"/>
        <v>Jordan Reed</v>
      </c>
      <c r="DA112" s="33">
        <v>110</v>
      </c>
      <c r="DB112" s="33" t="s">
        <v>2165</v>
      </c>
      <c r="DC112" s="33">
        <v>10</v>
      </c>
      <c r="DD112" s="33" t="s">
        <v>2166</v>
      </c>
      <c r="DE112" s="33">
        <v>1</v>
      </c>
    </row>
    <row r="113" spans="1:109" ht="12.75" customHeight="1">
      <c r="A113" s="33"/>
      <c r="B113" s="33"/>
      <c r="C113" s="33"/>
      <c r="D113" s="33"/>
      <c r="E113" s="33"/>
      <c r="F113" s="33"/>
      <c r="G113" s="33"/>
      <c r="H113" s="33"/>
      <c r="I113" s="33"/>
      <c r="J113" s="33"/>
      <c r="K113" s="33"/>
      <c r="L113" s="33"/>
      <c r="M113" s="33"/>
      <c r="N113" s="33"/>
      <c r="O113" s="33"/>
      <c r="P113" s="33"/>
      <c r="Q113" s="33">
        <v>107</v>
      </c>
      <c r="R113" s="33" t="s">
        <v>2167</v>
      </c>
      <c r="S113" s="33" t="s">
        <v>1072</v>
      </c>
      <c r="T113" s="33" t="s">
        <v>804</v>
      </c>
      <c r="U113" s="33" t="s">
        <v>1439</v>
      </c>
      <c r="V113" s="33">
        <v>0</v>
      </c>
      <c r="W113" s="33">
        <v>0</v>
      </c>
      <c r="X113" s="33">
        <v>0</v>
      </c>
      <c r="Y113" s="33">
        <v>0</v>
      </c>
      <c r="Z113" s="33">
        <v>0</v>
      </c>
      <c r="AA113" s="33">
        <v>0</v>
      </c>
      <c r="AB113" s="33">
        <v>0</v>
      </c>
      <c r="AC113" s="33">
        <v>0</v>
      </c>
      <c r="AD113" s="33">
        <v>0</v>
      </c>
      <c r="AE113" s="33">
        <v>0</v>
      </c>
      <c r="AF113" s="33"/>
      <c r="AG113" s="33">
        <v>107</v>
      </c>
      <c r="AH113" s="33" t="s">
        <v>2168</v>
      </c>
      <c r="AI113" s="33" t="s">
        <v>1072</v>
      </c>
      <c r="AJ113" s="33" t="s">
        <v>804</v>
      </c>
      <c r="AK113" s="33" t="s">
        <v>1439</v>
      </c>
      <c r="AL113" s="33">
        <v>0</v>
      </c>
      <c r="AM113" s="33">
        <v>0</v>
      </c>
      <c r="AN113" s="33">
        <v>0</v>
      </c>
      <c r="AO113" s="33">
        <v>0</v>
      </c>
      <c r="AP113" s="33">
        <v>0</v>
      </c>
      <c r="AQ113" s="33">
        <v>0</v>
      </c>
      <c r="AR113" s="33">
        <v>0</v>
      </c>
      <c r="AS113" s="33">
        <v>0</v>
      </c>
      <c r="AT113" s="33">
        <v>0</v>
      </c>
      <c r="AU113" s="33">
        <v>0</v>
      </c>
      <c r="AV113" s="33"/>
      <c r="AW113" s="33">
        <v>107</v>
      </c>
      <c r="AX113" s="33" t="s">
        <v>2169</v>
      </c>
      <c r="AY113" s="33" t="s">
        <v>1072</v>
      </c>
      <c r="AZ113" s="33" t="s">
        <v>804</v>
      </c>
      <c r="BA113" s="33" t="s">
        <v>1754</v>
      </c>
      <c r="BB113" s="33" t="s">
        <v>1755</v>
      </c>
      <c r="BC113" s="33" t="s">
        <v>1755</v>
      </c>
      <c r="BD113" s="33" t="s">
        <v>1755</v>
      </c>
      <c r="BE113" s="33" t="s">
        <v>1755</v>
      </c>
      <c r="BF113" s="33" t="s">
        <v>1755</v>
      </c>
      <c r="BG113" s="33" t="s">
        <v>1755</v>
      </c>
      <c r="BH113" s="33" t="s">
        <v>1755</v>
      </c>
      <c r="BI113" s="33" t="s">
        <v>1755</v>
      </c>
      <c r="BJ113" s="33" t="s">
        <v>1755</v>
      </c>
      <c r="BK113" s="33" t="s">
        <v>1755</v>
      </c>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t="str">
        <f t="shared" si="2"/>
        <v>Tom Brady</v>
      </c>
      <c r="CT113" s="33">
        <v>111</v>
      </c>
      <c r="CU113" s="33" t="s">
        <v>1985</v>
      </c>
      <c r="CV113" s="33">
        <v>10</v>
      </c>
      <c r="CW113" s="33" t="s">
        <v>1986</v>
      </c>
      <c r="CX113" s="33">
        <v>2</v>
      </c>
      <c r="CY113" s="33"/>
      <c r="CZ113" s="33" t="str">
        <f t="shared" si="3"/>
        <v>Markus Wheaton</v>
      </c>
      <c r="DA113" s="33">
        <v>111</v>
      </c>
      <c r="DB113" s="33" t="s">
        <v>2170</v>
      </c>
      <c r="DC113" s="33">
        <v>12</v>
      </c>
      <c r="DD113" s="33" t="s">
        <v>2171</v>
      </c>
      <c r="DE113" s="33">
        <v>1</v>
      </c>
    </row>
    <row r="114" spans="1:109" ht="12.75" customHeight="1">
      <c r="A114" s="33"/>
      <c r="B114" s="33"/>
      <c r="C114" s="33"/>
      <c r="D114" s="33"/>
      <c r="E114" s="33"/>
      <c r="F114" s="33"/>
      <c r="G114" s="33"/>
      <c r="H114" s="33"/>
      <c r="I114" s="33"/>
      <c r="J114" s="33"/>
      <c r="K114" s="33"/>
      <c r="L114" s="33"/>
      <c r="M114" s="33"/>
      <c r="N114" s="33"/>
      <c r="O114" s="33"/>
      <c r="P114" s="33"/>
      <c r="Q114" s="33">
        <v>108</v>
      </c>
      <c r="R114" s="33" t="s">
        <v>2172</v>
      </c>
      <c r="S114" s="33" t="s">
        <v>1072</v>
      </c>
      <c r="T114" s="33" t="s">
        <v>804</v>
      </c>
      <c r="U114" s="33" t="s">
        <v>1439</v>
      </c>
      <c r="V114" s="33">
        <v>0</v>
      </c>
      <c r="W114" s="33">
        <v>0</v>
      </c>
      <c r="X114" s="33">
        <v>0</v>
      </c>
      <c r="Y114" s="33">
        <v>0</v>
      </c>
      <c r="Z114" s="33">
        <v>0</v>
      </c>
      <c r="AA114" s="33">
        <v>0</v>
      </c>
      <c r="AB114" s="33">
        <v>0</v>
      </c>
      <c r="AC114" s="33">
        <v>0</v>
      </c>
      <c r="AD114" s="33">
        <v>0</v>
      </c>
      <c r="AE114" s="33">
        <v>0</v>
      </c>
      <c r="AF114" s="33"/>
      <c r="AG114" s="33">
        <v>108</v>
      </c>
      <c r="AH114" s="33" t="s">
        <v>2173</v>
      </c>
      <c r="AI114" s="33" t="s">
        <v>1072</v>
      </c>
      <c r="AJ114" s="33" t="s">
        <v>804</v>
      </c>
      <c r="AK114" s="33" t="s">
        <v>1439</v>
      </c>
      <c r="AL114" s="33">
        <v>0</v>
      </c>
      <c r="AM114" s="33">
        <v>0</v>
      </c>
      <c r="AN114" s="33">
        <v>0</v>
      </c>
      <c r="AO114" s="33">
        <v>0</v>
      </c>
      <c r="AP114" s="33">
        <v>0</v>
      </c>
      <c r="AQ114" s="33">
        <v>0</v>
      </c>
      <c r="AR114" s="33">
        <v>0</v>
      </c>
      <c r="AS114" s="33">
        <v>0</v>
      </c>
      <c r="AT114" s="33">
        <v>0</v>
      </c>
      <c r="AU114" s="33">
        <v>0</v>
      </c>
      <c r="AV114" s="33"/>
      <c r="AW114" s="33">
        <v>108</v>
      </c>
      <c r="AX114" s="33" t="s">
        <v>2174</v>
      </c>
      <c r="AY114" s="33" t="s">
        <v>1072</v>
      </c>
      <c r="AZ114" s="33" t="s">
        <v>804</v>
      </c>
      <c r="BA114" s="33" t="s">
        <v>1754</v>
      </c>
      <c r="BB114" s="33" t="s">
        <v>1755</v>
      </c>
      <c r="BC114" s="33" t="s">
        <v>1755</v>
      </c>
      <c r="BD114" s="33" t="s">
        <v>1755</v>
      </c>
      <c r="BE114" s="33" t="s">
        <v>1755</v>
      </c>
      <c r="BF114" s="33" t="s">
        <v>1755</v>
      </c>
      <c r="BG114" s="33" t="s">
        <v>1755</v>
      </c>
      <c r="BH114" s="33" t="s">
        <v>1755</v>
      </c>
      <c r="BI114" s="33" t="s">
        <v>1755</v>
      </c>
      <c r="BJ114" s="33" t="s">
        <v>1755</v>
      </c>
      <c r="BK114" s="33" t="s">
        <v>1755</v>
      </c>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t="str">
        <f t="shared" si="2"/>
        <v>Jeremy Hill</v>
      </c>
      <c r="CT114" s="33">
        <v>112</v>
      </c>
      <c r="CU114" s="33" t="s">
        <v>2175</v>
      </c>
      <c r="CV114" s="33">
        <v>4</v>
      </c>
      <c r="CW114" s="33" t="s">
        <v>2176</v>
      </c>
      <c r="CX114" s="33">
        <v>2</v>
      </c>
      <c r="CY114" s="33"/>
      <c r="CZ114" s="33" t="str">
        <f t="shared" si="3"/>
        <v>Jarrett Boykin</v>
      </c>
      <c r="DA114" s="33">
        <v>112</v>
      </c>
      <c r="DB114" s="33" t="s">
        <v>2177</v>
      </c>
      <c r="DC114" s="33">
        <v>9</v>
      </c>
      <c r="DD114" s="33" t="s">
        <v>2178</v>
      </c>
      <c r="DE114" s="33">
        <v>1</v>
      </c>
    </row>
    <row r="115" spans="1:109" ht="12.75" customHeight="1">
      <c r="A115" s="33"/>
      <c r="B115" s="33"/>
      <c r="C115" s="33"/>
      <c r="D115" s="33"/>
      <c r="E115" s="33"/>
      <c r="F115" s="33"/>
      <c r="G115" s="33"/>
      <c r="H115" s="33"/>
      <c r="I115" s="33"/>
      <c r="J115" s="33"/>
      <c r="K115" s="33"/>
      <c r="L115" s="33"/>
      <c r="M115" s="33"/>
      <c r="N115" s="33"/>
      <c r="O115" s="33"/>
      <c r="P115" s="33"/>
      <c r="Q115" s="33">
        <v>109</v>
      </c>
      <c r="R115" s="33" t="s">
        <v>2179</v>
      </c>
      <c r="S115" s="33" t="s">
        <v>1072</v>
      </c>
      <c r="T115" s="33" t="s">
        <v>804</v>
      </c>
      <c r="U115" s="33" t="s">
        <v>1439</v>
      </c>
      <c r="V115" s="33">
        <v>0</v>
      </c>
      <c r="W115" s="33">
        <v>0</v>
      </c>
      <c r="X115" s="33">
        <v>0</v>
      </c>
      <c r="Y115" s="33">
        <v>0</v>
      </c>
      <c r="Z115" s="33">
        <v>0</v>
      </c>
      <c r="AA115" s="33">
        <v>0</v>
      </c>
      <c r="AB115" s="33">
        <v>0</v>
      </c>
      <c r="AC115" s="33">
        <v>0</v>
      </c>
      <c r="AD115" s="33">
        <v>0</v>
      </c>
      <c r="AE115" s="33">
        <v>0</v>
      </c>
      <c r="AF115" s="33"/>
      <c r="AG115" s="33">
        <v>109</v>
      </c>
      <c r="AH115" s="33" t="s">
        <v>2180</v>
      </c>
      <c r="AI115" s="33" t="s">
        <v>1072</v>
      </c>
      <c r="AJ115" s="33" t="s">
        <v>804</v>
      </c>
      <c r="AK115" s="33" t="s">
        <v>1439</v>
      </c>
      <c r="AL115" s="33">
        <v>0</v>
      </c>
      <c r="AM115" s="33">
        <v>0</v>
      </c>
      <c r="AN115" s="33">
        <v>0</v>
      </c>
      <c r="AO115" s="33">
        <v>3</v>
      </c>
      <c r="AP115" s="33">
        <v>6</v>
      </c>
      <c r="AQ115" s="33">
        <v>0</v>
      </c>
      <c r="AR115" s="33">
        <v>24</v>
      </c>
      <c r="AS115" s="33">
        <v>376</v>
      </c>
      <c r="AT115" s="33">
        <v>1</v>
      </c>
      <c r="AU115" s="33">
        <v>55</v>
      </c>
      <c r="AV115" s="33"/>
      <c r="AW115" s="33">
        <v>109</v>
      </c>
      <c r="AX115" s="33" t="s">
        <v>2181</v>
      </c>
      <c r="AY115" s="33" t="s">
        <v>1072</v>
      </c>
      <c r="AZ115" s="33" t="s">
        <v>804</v>
      </c>
      <c r="BA115" s="33" t="s">
        <v>1754</v>
      </c>
      <c r="BB115" s="33" t="s">
        <v>1755</v>
      </c>
      <c r="BC115" s="33" t="s">
        <v>1755</v>
      </c>
      <c r="BD115" s="33" t="s">
        <v>1755</v>
      </c>
      <c r="BE115" s="33" t="s">
        <v>1755</v>
      </c>
      <c r="BF115" s="33" t="s">
        <v>1755</v>
      </c>
      <c r="BG115" s="33" t="s">
        <v>1755</v>
      </c>
      <c r="BH115" s="33" t="s">
        <v>1755</v>
      </c>
      <c r="BI115" s="33" t="s">
        <v>1755</v>
      </c>
      <c r="BJ115" s="33" t="s">
        <v>1755</v>
      </c>
      <c r="BK115" s="33" t="s">
        <v>1755</v>
      </c>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t="str">
        <f t="shared" si="2"/>
        <v>Justin Hunter</v>
      </c>
      <c r="CT115" s="33">
        <v>113</v>
      </c>
      <c r="CU115" s="33" t="s">
        <v>2155</v>
      </c>
      <c r="CV115" s="33">
        <v>9</v>
      </c>
      <c r="CW115" s="33" t="s">
        <v>2094</v>
      </c>
      <c r="CX115" s="33">
        <v>1</v>
      </c>
      <c r="CY115" s="33"/>
      <c r="CZ115" s="33" t="str">
        <f t="shared" si="3"/>
        <v>Jay Cutler</v>
      </c>
      <c r="DA115" s="33">
        <v>113</v>
      </c>
      <c r="DB115" s="33" t="s">
        <v>2182</v>
      </c>
      <c r="DC115" s="33">
        <v>9</v>
      </c>
      <c r="DD115" s="33" t="s">
        <v>2183</v>
      </c>
      <c r="DE115" s="33">
        <v>1</v>
      </c>
    </row>
    <row r="116" spans="1:109" ht="12.75" customHeight="1">
      <c r="A116" s="33"/>
      <c r="B116" s="33"/>
      <c r="C116" s="33"/>
      <c r="D116" s="33"/>
      <c r="E116" s="33"/>
      <c r="F116" s="33"/>
      <c r="G116" s="33"/>
      <c r="H116" s="33"/>
      <c r="I116" s="33"/>
      <c r="J116" s="33"/>
      <c r="K116" s="33"/>
      <c r="L116" s="33"/>
      <c r="M116" s="33"/>
      <c r="N116" s="33"/>
      <c r="O116" s="33"/>
      <c r="P116" s="33"/>
      <c r="Q116" s="33">
        <v>110</v>
      </c>
      <c r="R116" s="33" t="s">
        <v>2184</v>
      </c>
      <c r="S116" s="33" t="s">
        <v>1072</v>
      </c>
      <c r="T116" s="33" t="s">
        <v>804</v>
      </c>
      <c r="U116" s="33" t="s">
        <v>1439</v>
      </c>
      <c r="V116" s="33">
        <v>0</v>
      </c>
      <c r="W116" s="33">
        <v>0</v>
      </c>
      <c r="X116" s="33">
        <v>0</v>
      </c>
      <c r="Y116" s="33">
        <v>0</v>
      </c>
      <c r="Z116" s="33">
        <v>0</v>
      </c>
      <c r="AA116" s="33">
        <v>0</v>
      </c>
      <c r="AB116" s="33">
        <v>0</v>
      </c>
      <c r="AC116" s="33">
        <v>0</v>
      </c>
      <c r="AD116" s="33">
        <v>0</v>
      </c>
      <c r="AE116" s="33">
        <v>0</v>
      </c>
      <c r="AF116" s="33"/>
      <c r="AG116" s="33">
        <v>110</v>
      </c>
      <c r="AH116" s="33" t="s">
        <v>2185</v>
      </c>
      <c r="AI116" s="33" t="s">
        <v>1072</v>
      </c>
      <c r="AJ116" s="33" t="s">
        <v>804</v>
      </c>
      <c r="AK116" s="33" t="s">
        <v>1439</v>
      </c>
      <c r="AL116" s="33">
        <v>0</v>
      </c>
      <c r="AM116" s="33">
        <v>0</v>
      </c>
      <c r="AN116" s="33">
        <v>0</v>
      </c>
      <c r="AO116" s="33">
        <v>0</v>
      </c>
      <c r="AP116" s="33">
        <v>0</v>
      </c>
      <c r="AQ116" s="33">
        <v>0</v>
      </c>
      <c r="AR116" s="33">
        <v>0</v>
      </c>
      <c r="AS116" s="33">
        <v>0</v>
      </c>
      <c r="AT116" s="33">
        <v>0</v>
      </c>
      <c r="AU116" s="33">
        <v>0</v>
      </c>
      <c r="AV116" s="33"/>
      <c r="AW116" s="33">
        <v>110</v>
      </c>
      <c r="AX116" s="33" t="s">
        <v>2186</v>
      </c>
      <c r="AY116" s="33" t="s">
        <v>1072</v>
      </c>
      <c r="AZ116" s="33" t="s">
        <v>804</v>
      </c>
      <c r="BA116" s="33" t="s">
        <v>1754</v>
      </c>
      <c r="BB116" s="33" t="s">
        <v>1755</v>
      </c>
      <c r="BC116" s="33" t="s">
        <v>1755</v>
      </c>
      <c r="BD116" s="33" t="s">
        <v>1755</v>
      </c>
      <c r="BE116" s="33" t="s">
        <v>1755</v>
      </c>
      <c r="BF116" s="33" t="s">
        <v>1755</v>
      </c>
      <c r="BG116" s="33" t="s">
        <v>1755</v>
      </c>
      <c r="BH116" s="33" t="s">
        <v>1755</v>
      </c>
      <c r="BI116" s="33" t="s">
        <v>1755</v>
      </c>
      <c r="BJ116" s="33" t="s">
        <v>1755</v>
      </c>
      <c r="BK116" s="33" t="s">
        <v>1755</v>
      </c>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t="str">
        <f t="shared" si="2"/>
        <v>Terrance West</v>
      </c>
      <c r="CT116" s="33">
        <v>114</v>
      </c>
      <c r="CU116" s="33" t="s">
        <v>2187</v>
      </c>
      <c r="CV116" s="33">
        <v>4</v>
      </c>
      <c r="CW116" s="33" t="s">
        <v>2188</v>
      </c>
      <c r="CX116" s="33">
        <v>1</v>
      </c>
      <c r="CY116" s="33"/>
      <c r="CZ116" s="33" t="str">
        <f t="shared" si="3"/>
        <v>Khiry Robinson</v>
      </c>
      <c r="DA116" s="33">
        <v>114</v>
      </c>
      <c r="DB116" s="33" t="s">
        <v>2044</v>
      </c>
      <c r="DC116" s="33">
        <v>6</v>
      </c>
      <c r="DD116" s="33" t="s">
        <v>2072</v>
      </c>
      <c r="DE116" s="33">
        <v>1</v>
      </c>
    </row>
    <row r="117" spans="1:109" ht="12.75" customHeight="1">
      <c r="A117" s="33"/>
      <c r="B117" s="33"/>
      <c r="C117" s="33"/>
      <c r="D117" s="33"/>
      <c r="E117" s="33"/>
      <c r="F117" s="33"/>
      <c r="G117" s="33"/>
      <c r="H117" s="33"/>
      <c r="I117" s="33"/>
      <c r="J117" s="33"/>
      <c r="K117" s="33"/>
      <c r="L117" s="33"/>
      <c r="M117" s="33"/>
      <c r="N117" s="33"/>
      <c r="O117" s="33"/>
      <c r="P117" s="33"/>
      <c r="Q117" s="33">
        <v>111</v>
      </c>
      <c r="R117" s="33" t="s">
        <v>2189</v>
      </c>
      <c r="S117" s="33" t="s">
        <v>1072</v>
      </c>
      <c r="T117" s="33" t="s">
        <v>804</v>
      </c>
      <c r="U117" s="33" t="s">
        <v>1439</v>
      </c>
      <c r="V117" s="33">
        <v>0</v>
      </c>
      <c r="W117" s="33">
        <v>0</v>
      </c>
      <c r="X117" s="33">
        <v>0</v>
      </c>
      <c r="Y117" s="33">
        <v>0</v>
      </c>
      <c r="Z117" s="33">
        <v>0</v>
      </c>
      <c r="AA117" s="33">
        <v>0</v>
      </c>
      <c r="AB117" s="33">
        <v>0</v>
      </c>
      <c r="AC117" s="33">
        <v>0</v>
      </c>
      <c r="AD117" s="33">
        <v>0</v>
      </c>
      <c r="AE117" s="33">
        <v>0</v>
      </c>
      <c r="AF117" s="33"/>
      <c r="AG117" s="33">
        <v>111</v>
      </c>
      <c r="AH117" s="33" t="s">
        <v>2190</v>
      </c>
      <c r="AI117" s="33" t="s">
        <v>1072</v>
      </c>
      <c r="AJ117" s="33" t="s">
        <v>804</v>
      </c>
      <c r="AK117" s="33" t="s">
        <v>1439</v>
      </c>
      <c r="AL117" s="33">
        <v>0</v>
      </c>
      <c r="AM117" s="33">
        <v>0</v>
      </c>
      <c r="AN117" s="33">
        <v>0</v>
      </c>
      <c r="AO117" s="33">
        <v>0</v>
      </c>
      <c r="AP117" s="33">
        <v>0</v>
      </c>
      <c r="AQ117" s="33">
        <v>0</v>
      </c>
      <c r="AR117" s="33">
        <v>0</v>
      </c>
      <c r="AS117" s="33">
        <v>0</v>
      </c>
      <c r="AT117" s="33">
        <v>0</v>
      </c>
      <c r="AU117" s="33">
        <v>0</v>
      </c>
      <c r="AV117" s="33"/>
      <c r="AW117" s="33">
        <v>111</v>
      </c>
      <c r="AX117" s="33" t="s">
        <v>2191</v>
      </c>
      <c r="AY117" s="33" t="s">
        <v>1072</v>
      </c>
      <c r="AZ117" s="33" t="s">
        <v>804</v>
      </c>
      <c r="BA117" s="33" t="s">
        <v>1754</v>
      </c>
      <c r="BB117" s="33" t="s">
        <v>1755</v>
      </c>
      <c r="BC117" s="33" t="s">
        <v>1755</v>
      </c>
      <c r="BD117" s="33" t="s">
        <v>1755</v>
      </c>
      <c r="BE117" s="33" t="s">
        <v>1755</v>
      </c>
      <c r="BF117" s="33" t="s">
        <v>1755</v>
      </c>
      <c r="BG117" s="33" t="s">
        <v>1755</v>
      </c>
      <c r="BH117" s="33" t="s">
        <v>1755</v>
      </c>
      <c r="BI117" s="33" t="s">
        <v>1755</v>
      </c>
      <c r="BJ117" s="33" t="s">
        <v>1755</v>
      </c>
      <c r="BK117" s="33" t="s">
        <v>1755</v>
      </c>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t="str">
        <f t="shared" si="2"/>
        <v>Tony Romo</v>
      </c>
      <c r="CT117" s="33">
        <v>115</v>
      </c>
      <c r="CU117" s="33" t="s">
        <v>2105</v>
      </c>
      <c r="CV117" s="33">
        <v>11</v>
      </c>
      <c r="CW117" s="33" t="s">
        <v>2106</v>
      </c>
      <c r="CX117" s="33">
        <v>1</v>
      </c>
      <c r="CY117" s="33"/>
      <c r="CZ117" s="33" t="str">
        <f t="shared" si="3"/>
        <v>Kyle Rudolph</v>
      </c>
      <c r="DA117" s="33">
        <v>115</v>
      </c>
      <c r="DB117" s="33" t="s">
        <v>2192</v>
      </c>
      <c r="DC117" s="33">
        <v>10</v>
      </c>
      <c r="DD117" s="33" t="s">
        <v>2193</v>
      </c>
      <c r="DE117" s="33">
        <v>1</v>
      </c>
    </row>
    <row r="118" spans="1:109" ht="12.75" customHeight="1">
      <c r="A118" s="33"/>
      <c r="B118" s="33"/>
      <c r="C118" s="33"/>
      <c r="D118" s="33"/>
      <c r="E118" s="33"/>
      <c r="F118" s="33"/>
      <c r="G118" s="33"/>
      <c r="H118" s="33"/>
      <c r="I118" s="33"/>
      <c r="J118" s="33"/>
      <c r="K118" s="33"/>
      <c r="L118" s="33"/>
      <c r="M118" s="33"/>
      <c r="N118" s="33"/>
      <c r="O118" s="33"/>
      <c r="P118" s="33"/>
      <c r="Q118" s="33">
        <v>112</v>
      </c>
      <c r="R118" s="33" t="s">
        <v>2194</v>
      </c>
      <c r="S118" s="33" t="s">
        <v>1072</v>
      </c>
      <c r="T118" s="33" t="s">
        <v>804</v>
      </c>
      <c r="U118" s="33" t="s">
        <v>1439</v>
      </c>
      <c r="V118" s="33">
        <v>0</v>
      </c>
      <c r="W118" s="33">
        <v>0</v>
      </c>
      <c r="X118" s="33">
        <v>0</v>
      </c>
      <c r="Y118" s="33">
        <v>0</v>
      </c>
      <c r="Z118" s="33">
        <v>0</v>
      </c>
      <c r="AA118" s="33">
        <v>0</v>
      </c>
      <c r="AB118" s="33">
        <v>0</v>
      </c>
      <c r="AC118" s="33">
        <v>0</v>
      </c>
      <c r="AD118" s="33">
        <v>0</v>
      </c>
      <c r="AE118" s="33">
        <v>0</v>
      </c>
      <c r="AF118" s="33"/>
      <c r="AG118" s="33">
        <v>112</v>
      </c>
      <c r="AH118" s="33" t="s">
        <v>2195</v>
      </c>
      <c r="AI118" s="33" t="s">
        <v>1072</v>
      </c>
      <c r="AJ118" s="33" t="s">
        <v>804</v>
      </c>
      <c r="AK118" s="33" t="s">
        <v>1439</v>
      </c>
      <c r="AL118" s="33">
        <v>0</v>
      </c>
      <c r="AM118" s="33">
        <v>0</v>
      </c>
      <c r="AN118" s="33">
        <v>0</v>
      </c>
      <c r="AO118" s="33">
        <v>0</v>
      </c>
      <c r="AP118" s="33">
        <v>0</v>
      </c>
      <c r="AQ118" s="33">
        <v>0</v>
      </c>
      <c r="AR118" s="33">
        <v>0</v>
      </c>
      <c r="AS118" s="33">
        <v>0</v>
      </c>
      <c r="AT118" s="33">
        <v>0</v>
      </c>
      <c r="AU118" s="33">
        <v>0</v>
      </c>
      <c r="AV118" s="33"/>
      <c r="AW118" s="33">
        <v>112</v>
      </c>
      <c r="AX118" s="33" t="s">
        <v>2196</v>
      </c>
      <c r="AY118" s="33" t="s">
        <v>1072</v>
      </c>
      <c r="AZ118" s="33" t="s">
        <v>804</v>
      </c>
      <c r="BA118" s="33" t="s">
        <v>1754</v>
      </c>
      <c r="BB118" s="33" t="s">
        <v>1755</v>
      </c>
      <c r="BC118" s="33" t="s">
        <v>1755</v>
      </c>
      <c r="BD118" s="33" t="s">
        <v>1755</v>
      </c>
      <c r="BE118" s="33" t="s">
        <v>1755</v>
      </c>
      <c r="BF118" s="33" t="s">
        <v>1755</v>
      </c>
      <c r="BG118" s="33" t="s">
        <v>1755</v>
      </c>
      <c r="BH118" s="33" t="s">
        <v>1755</v>
      </c>
      <c r="BI118" s="33" t="s">
        <v>1755</v>
      </c>
      <c r="BJ118" s="33" t="s">
        <v>1755</v>
      </c>
      <c r="BK118" s="33" t="s">
        <v>1755</v>
      </c>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t="str">
        <f t="shared" si="2"/>
        <v>LeGarrette Blount</v>
      </c>
      <c r="CT118" s="33">
        <v>116</v>
      </c>
      <c r="CU118" s="33" t="s">
        <v>2197</v>
      </c>
      <c r="CV118" s="33">
        <v>12</v>
      </c>
      <c r="CW118" s="33" t="s">
        <v>2198</v>
      </c>
      <c r="CX118" s="33">
        <v>1</v>
      </c>
      <c r="CY118" s="33"/>
      <c r="CZ118" s="33" t="str">
        <f t="shared" si="3"/>
        <v>Bernard Pierce</v>
      </c>
      <c r="DA118" s="33">
        <v>116</v>
      </c>
      <c r="DB118" s="33" t="s">
        <v>2139</v>
      </c>
      <c r="DC118" s="33">
        <v>11</v>
      </c>
      <c r="DD118" s="33" t="s">
        <v>2079</v>
      </c>
      <c r="DE118" s="33">
        <v>1</v>
      </c>
    </row>
    <row r="119" spans="1:109" ht="12.75" customHeight="1">
      <c r="A119" s="33"/>
      <c r="B119" s="33"/>
      <c r="C119" s="33"/>
      <c r="D119" s="33"/>
      <c r="E119" s="33"/>
      <c r="F119" s="33"/>
      <c r="G119" s="33"/>
      <c r="H119" s="33"/>
      <c r="I119" s="33"/>
      <c r="J119" s="33"/>
      <c r="K119" s="33"/>
      <c r="L119" s="33"/>
      <c r="M119" s="33"/>
      <c r="N119" s="33"/>
      <c r="O119" s="33"/>
      <c r="P119" s="33"/>
      <c r="Q119" s="33">
        <v>113</v>
      </c>
      <c r="R119" s="33" t="s">
        <v>2199</v>
      </c>
      <c r="S119" s="33" t="s">
        <v>1072</v>
      </c>
      <c r="T119" s="33" t="s">
        <v>804</v>
      </c>
      <c r="U119" s="33" t="s">
        <v>1439</v>
      </c>
      <c r="V119" s="33">
        <v>0</v>
      </c>
      <c r="W119" s="33">
        <v>0</v>
      </c>
      <c r="X119" s="33">
        <v>0</v>
      </c>
      <c r="Y119" s="33">
        <v>0</v>
      </c>
      <c r="Z119" s="33">
        <v>0</v>
      </c>
      <c r="AA119" s="33">
        <v>0</v>
      </c>
      <c r="AB119" s="33">
        <v>0</v>
      </c>
      <c r="AC119" s="33">
        <v>0</v>
      </c>
      <c r="AD119" s="33">
        <v>0</v>
      </c>
      <c r="AE119" s="33">
        <v>0</v>
      </c>
      <c r="AF119" s="33"/>
      <c r="AG119" s="33">
        <v>113</v>
      </c>
      <c r="AH119" s="33" t="s">
        <v>2200</v>
      </c>
      <c r="AI119" s="33" t="s">
        <v>1072</v>
      </c>
      <c r="AJ119" s="33" t="s">
        <v>804</v>
      </c>
      <c r="AK119" s="33" t="s">
        <v>1439</v>
      </c>
      <c r="AL119" s="33">
        <v>0</v>
      </c>
      <c r="AM119" s="33">
        <v>0</v>
      </c>
      <c r="AN119" s="33">
        <v>0</v>
      </c>
      <c r="AO119" s="33">
        <v>0</v>
      </c>
      <c r="AP119" s="33">
        <v>0</v>
      </c>
      <c r="AQ119" s="33">
        <v>0</v>
      </c>
      <c r="AR119" s="33">
        <v>0</v>
      </c>
      <c r="AS119" s="33">
        <v>0</v>
      </c>
      <c r="AT119" s="33">
        <v>0</v>
      </c>
      <c r="AU119" s="33">
        <v>0</v>
      </c>
      <c r="AV119" s="33"/>
      <c r="AW119" s="33">
        <v>113</v>
      </c>
      <c r="AX119" s="33" t="s">
        <v>2201</v>
      </c>
      <c r="AY119" s="33" t="s">
        <v>1072</v>
      </c>
      <c r="AZ119" s="33" t="s">
        <v>804</v>
      </c>
      <c r="BA119" s="33" t="s">
        <v>1754</v>
      </c>
      <c r="BB119" s="33" t="s">
        <v>1755</v>
      </c>
      <c r="BC119" s="33" t="s">
        <v>1755</v>
      </c>
      <c r="BD119" s="33" t="s">
        <v>1755</v>
      </c>
      <c r="BE119" s="33" t="s">
        <v>1755</v>
      </c>
      <c r="BF119" s="33" t="s">
        <v>1755</v>
      </c>
      <c r="BG119" s="33" t="s">
        <v>1755</v>
      </c>
      <c r="BH119" s="33" t="s">
        <v>1755</v>
      </c>
      <c r="BI119" s="33" t="s">
        <v>1755</v>
      </c>
      <c r="BJ119" s="33" t="s">
        <v>1755</v>
      </c>
      <c r="BK119" s="33" t="s">
        <v>1755</v>
      </c>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t="str">
        <f t="shared" si="2"/>
        <v>Hakeem Nicks</v>
      </c>
      <c r="CT119" s="33">
        <v>117</v>
      </c>
      <c r="CU119" s="33" t="s">
        <v>2098</v>
      </c>
      <c r="CV119" s="33">
        <v>10</v>
      </c>
      <c r="CW119" s="33" t="s">
        <v>2099</v>
      </c>
      <c r="CX119" s="33">
        <v>1</v>
      </c>
      <c r="CY119" s="33"/>
      <c r="CZ119" s="33" t="str">
        <f t="shared" si="3"/>
        <v>Rueben Randle</v>
      </c>
      <c r="DA119" s="33">
        <v>117</v>
      </c>
      <c r="DB119" s="33" t="s">
        <v>2202</v>
      </c>
      <c r="DC119" s="33">
        <v>8</v>
      </c>
      <c r="DD119" s="33" t="s">
        <v>2203</v>
      </c>
      <c r="DE119" s="33">
        <v>1</v>
      </c>
    </row>
    <row r="120" spans="1:109" ht="12.75" customHeight="1">
      <c r="A120" s="33"/>
      <c r="B120" s="33"/>
      <c r="C120" s="33"/>
      <c r="D120" s="33"/>
      <c r="E120" s="33"/>
      <c r="F120" s="33"/>
      <c r="G120" s="33"/>
      <c r="H120" s="33"/>
      <c r="I120" s="33"/>
      <c r="J120" s="33"/>
      <c r="K120" s="33"/>
      <c r="L120" s="33"/>
      <c r="M120" s="33"/>
      <c r="N120" s="33"/>
      <c r="O120" s="33"/>
      <c r="P120" s="33"/>
      <c r="Q120" s="33">
        <v>114</v>
      </c>
      <c r="R120" s="33" t="s">
        <v>2204</v>
      </c>
      <c r="S120" s="33" t="s">
        <v>1072</v>
      </c>
      <c r="T120" s="33" t="s">
        <v>804</v>
      </c>
      <c r="U120" s="33" t="s">
        <v>1439</v>
      </c>
      <c r="V120" s="33">
        <v>0</v>
      </c>
      <c r="W120" s="33">
        <v>0</v>
      </c>
      <c r="X120" s="33">
        <v>0</v>
      </c>
      <c r="Y120" s="33">
        <v>0</v>
      </c>
      <c r="Z120" s="33">
        <v>0</v>
      </c>
      <c r="AA120" s="33">
        <v>0</v>
      </c>
      <c r="AB120" s="33">
        <v>0</v>
      </c>
      <c r="AC120" s="33">
        <v>0</v>
      </c>
      <c r="AD120" s="33">
        <v>0</v>
      </c>
      <c r="AE120" s="33">
        <v>0</v>
      </c>
      <c r="AF120" s="33"/>
      <c r="AG120" s="33">
        <v>114</v>
      </c>
      <c r="AH120" s="33" t="s">
        <v>2205</v>
      </c>
      <c r="AI120" s="33" t="s">
        <v>1072</v>
      </c>
      <c r="AJ120" s="33" t="s">
        <v>804</v>
      </c>
      <c r="AK120" s="33" t="s">
        <v>1439</v>
      </c>
      <c r="AL120" s="33">
        <v>0</v>
      </c>
      <c r="AM120" s="33">
        <v>0</v>
      </c>
      <c r="AN120" s="33">
        <v>0</v>
      </c>
      <c r="AO120" s="33">
        <v>0</v>
      </c>
      <c r="AP120" s="33">
        <v>0</v>
      </c>
      <c r="AQ120" s="33">
        <v>0</v>
      </c>
      <c r="AR120" s="33">
        <v>0</v>
      </c>
      <c r="AS120" s="33">
        <v>0</v>
      </c>
      <c r="AT120" s="33">
        <v>0</v>
      </c>
      <c r="AU120" s="33">
        <v>0</v>
      </c>
      <c r="AV120" s="33"/>
      <c r="AW120" s="33">
        <v>114</v>
      </c>
      <c r="AX120" s="33" t="s">
        <v>2206</v>
      </c>
      <c r="AY120" s="33" t="s">
        <v>1072</v>
      </c>
      <c r="AZ120" s="33" t="s">
        <v>804</v>
      </c>
      <c r="BA120" s="33" t="s">
        <v>1754</v>
      </c>
      <c r="BB120" s="33" t="s">
        <v>1755</v>
      </c>
      <c r="BC120" s="33" t="s">
        <v>1755</v>
      </c>
      <c r="BD120" s="33" t="s">
        <v>1755</v>
      </c>
      <c r="BE120" s="33" t="s">
        <v>1755</v>
      </c>
      <c r="BF120" s="33" t="s">
        <v>1755</v>
      </c>
      <c r="BG120" s="33" t="s">
        <v>1755</v>
      </c>
      <c r="BH120" s="33" t="s">
        <v>1755</v>
      </c>
      <c r="BI120" s="33" t="s">
        <v>1755</v>
      </c>
      <c r="BJ120" s="33" t="s">
        <v>1755</v>
      </c>
      <c r="BK120" s="33" t="s">
        <v>1755</v>
      </c>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t="str">
        <f t="shared" si="2"/>
        <v>Philip Rivers</v>
      </c>
      <c r="CT120" s="33">
        <v>118</v>
      </c>
      <c r="CU120" s="33" t="s">
        <v>2134</v>
      </c>
      <c r="CV120" s="33">
        <v>10</v>
      </c>
      <c r="CW120" s="33" t="s">
        <v>2135</v>
      </c>
      <c r="CX120" s="33">
        <v>1</v>
      </c>
      <c r="CY120" s="33"/>
      <c r="CZ120" s="33" t="str">
        <f t="shared" si="3"/>
        <v>Martellus Bennett</v>
      </c>
      <c r="DA120" s="33">
        <v>118</v>
      </c>
      <c r="DB120" s="33" t="s">
        <v>2207</v>
      </c>
      <c r="DC120" s="33">
        <v>9</v>
      </c>
      <c r="DD120" s="33" t="s">
        <v>2208</v>
      </c>
      <c r="DE120" s="33">
        <v>1</v>
      </c>
    </row>
    <row r="121" spans="1:109" ht="12.75" customHeight="1">
      <c r="A121" s="33"/>
      <c r="B121" s="33"/>
      <c r="C121" s="33"/>
      <c r="D121" s="33"/>
      <c r="E121" s="33"/>
      <c r="F121" s="33"/>
      <c r="G121" s="33"/>
      <c r="H121" s="33"/>
      <c r="I121" s="33"/>
      <c r="J121" s="33"/>
      <c r="K121" s="33"/>
      <c r="L121" s="33"/>
      <c r="M121" s="33"/>
      <c r="N121" s="33"/>
      <c r="O121" s="33"/>
      <c r="P121" s="33"/>
      <c r="Q121" s="33">
        <v>115</v>
      </c>
      <c r="R121" s="33" t="s">
        <v>2209</v>
      </c>
      <c r="S121" s="33" t="s">
        <v>1072</v>
      </c>
      <c r="T121" s="33" t="s">
        <v>804</v>
      </c>
      <c r="U121" s="33" t="s">
        <v>1439</v>
      </c>
      <c r="V121" s="33">
        <v>0</v>
      </c>
      <c r="W121" s="33">
        <v>0</v>
      </c>
      <c r="X121" s="33">
        <v>0</v>
      </c>
      <c r="Y121" s="33">
        <v>0</v>
      </c>
      <c r="Z121" s="33">
        <v>0</v>
      </c>
      <c r="AA121" s="33">
        <v>0</v>
      </c>
      <c r="AB121" s="33">
        <v>0</v>
      </c>
      <c r="AC121" s="33">
        <v>0</v>
      </c>
      <c r="AD121" s="33">
        <v>0</v>
      </c>
      <c r="AE121" s="33">
        <v>0</v>
      </c>
      <c r="AF121" s="33"/>
      <c r="AG121" s="33">
        <v>115</v>
      </c>
      <c r="AH121" s="33" t="s">
        <v>2210</v>
      </c>
      <c r="AI121" s="33" t="s">
        <v>1072</v>
      </c>
      <c r="AJ121" s="33" t="s">
        <v>804</v>
      </c>
      <c r="AK121" s="33" t="s">
        <v>1439</v>
      </c>
      <c r="AL121" s="33">
        <v>0</v>
      </c>
      <c r="AM121" s="33">
        <v>0</v>
      </c>
      <c r="AN121" s="33">
        <v>0</v>
      </c>
      <c r="AO121" s="33">
        <v>0</v>
      </c>
      <c r="AP121" s="33">
        <v>0</v>
      </c>
      <c r="AQ121" s="33">
        <v>0</v>
      </c>
      <c r="AR121" s="33">
        <v>0</v>
      </c>
      <c r="AS121" s="33">
        <v>0</v>
      </c>
      <c r="AT121" s="33">
        <v>0</v>
      </c>
      <c r="AU121" s="33">
        <v>0</v>
      </c>
      <c r="AV121" s="33"/>
      <c r="AW121" s="33">
        <v>115</v>
      </c>
      <c r="AX121" s="33" t="s">
        <v>2211</v>
      </c>
      <c r="AY121" s="33" t="s">
        <v>1072</v>
      </c>
      <c r="AZ121" s="33" t="s">
        <v>804</v>
      </c>
      <c r="BA121" s="33" t="s">
        <v>1754</v>
      </c>
      <c r="BB121" s="33" t="s">
        <v>1755</v>
      </c>
      <c r="BC121" s="33" t="s">
        <v>1755</v>
      </c>
      <c r="BD121" s="33" t="s">
        <v>1755</v>
      </c>
      <c r="BE121" s="33" t="s">
        <v>1755</v>
      </c>
      <c r="BF121" s="33" t="s">
        <v>1755</v>
      </c>
      <c r="BG121" s="33" t="s">
        <v>1755</v>
      </c>
      <c r="BH121" s="33" t="s">
        <v>1755</v>
      </c>
      <c r="BI121" s="33" t="s">
        <v>1755</v>
      </c>
      <c r="BJ121" s="33" t="s">
        <v>1755</v>
      </c>
      <c r="BK121" s="33" t="s">
        <v>1755</v>
      </c>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t="str">
        <f t="shared" si="2"/>
        <v>Jay Cutler</v>
      </c>
      <c r="CT121" s="33">
        <v>119</v>
      </c>
      <c r="CU121" s="33" t="s">
        <v>2182</v>
      </c>
      <c r="CV121" s="33">
        <v>9</v>
      </c>
      <c r="CW121" s="33" t="s">
        <v>2183</v>
      </c>
      <c r="CX121" s="33">
        <v>1</v>
      </c>
      <c r="CY121" s="33"/>
      <c r="CZ121" s="33" t="str">
        <f t="shared" si="3"/>
        <v>San Francisco 49ers</v>
      </c>
      <c r="DA121" s="33">
        <v>119</v>
      </c>
      <c r="DB121" s="33" t="s">
        <v>2212</v>
      </c>
      <c r="DC121" s="33">
        <v>8</v>
      </c>
      <c r="DD121" s="33" t="s">
        <v>2213</v>
      </c>
      <c r="DE121" s="33">
        <v>1</v>
      </c>
    </row>
    <row r="122" spans="1:109" ht="12.75" customHeight="1">
      <c r="A122" s="33"/>
      <c r="B122" s="33"/>
      <c r="C122" s="33"/>
      <c r="D122" s="33"/>
      <c r="E122" s="33"/>
      <c r="F122" s="33"/>
      <c r="G122" s="33"/>
      <c r="H122" s="33"/>
      <c r="I122" s="33"/>
      <c r="J122" s="33"/>
      <c r="K122" s="33"/>
      <c r="L122" s="33"/>
      <c r="M122" s="33"/>
      <c r="N122" s="33"/>
      <c r="O122" s="33"/>
      <c r="P122" s="33"/>
      <c r="Q122" s="33">
        <v>116</v>
      </c>
      <c r="R122" s="33" t="s">
        <v>2214</v>
      </c>
      <c r="S122" s="33" t="s">
        <v>1072</v>
      </c>
      <c r="T122" s="33" t="s">
        <v>804</v>
      </c>
      <c r="U122" s="33" t="s">
        <v>1439</v>
      </c>
      <c r="V122" s="33">
        <v>0</v>
      </c>
      <c r="W122" s="33">
        <v>0</v>
      </c>
      <c r="X122" s="33">
        <v>0</v>
      </c>
      <c r="Y122" s="33">
        <v>0</v>
      </c>
      <c r="Z122" s="33">
        <v>0</v>
      </c>
      <c r="AA122" s="33">
        <v>0</v>
      </c>
      <c r="AB122" s="33">
        <v>0</v>
      </c>
      <c r="AC122" s="33">
        <v>0</v>
      </c>
      <c r="AD122" s="33">
        <v>0</v>
      </c>
      <c r="AE122" s="33">
        <v>0</v>
      </c>
      <c r="AF122" s="33"/>
      <c r="AG122" s="33">
        <v>116</v>
      </c>
      <c r="AH122" s="33" t="s">
        <v>2215</v>
      </c>
      <c r="AI122" s="33" t="s">
        <v>1072</v>
      </c>
      <c r="AJ122" s="33" t="s">
        <v>804</v>
      </c>
      <c r="AK122" s="33" t="s">
        <v>1439</v>
      </c>
      <c r="AL122" s="33">
        <v>0</v>
      </c>
      <c r="AM122" s="33">
        <v>0</v>
      </c>
      <c r="AN122" s="33">
        <v>0</v>
      </c>
      <c r="AO122" s="33">
        <v>0</v>
      </c>
      <c r="AP122" s="33">
        <v>0</v>
      </c>
      <c r="AQ122" s="33">
        <v>0</v>
      </c>
      <c r="AR122" s="33">
        <v>0</v>
      </c>
      <c r="AS122" s="33">
        <v>0</v>
      </c>
      <c r="AT122" s="33">
        <v>0</v>
      </c>
      <c r="AU122" s="33">
        <v>0</v>
      </c>
      <c r="AV122" s="33"/>
      <c r="AW122" s="33">
        <v>116</v>
      </c>
      <c r="AX122" s="33" t="s">
        <v>2216</v>
      </c>
      <c r="AY122" s="33" t="s">
        <v>1072</v>
      </c>
      <c r="AZ122" s="33" t="s">
        <v>804</v>
      </c>
      <c r="BA122" s="33" t="s">
        <v>1754</v>
      </c>
      <c r="BB122" s="33" t="s">
        <v>1755</v>
      </c>
      <c r="BC122" s="33" t="s">
        <v>1755</v>
      </c>
      <c r="BD122" s="33" t="s">
        <v>1755</v>
      </c>
      <c r="BE122" s="33" t="s">
        <v>1755</v>
      </c>
      <c r="BF122" s="33" t="s">
        <v>1755</v>
      </c>
      <c r="BG122" s="33" t="s">
        <v>1755</v>
      </c>
      <c r="BH122" s="33" t="s">
        <v>1755</v>
      </c>
      <c r="BI122" s="33" t="s">
        <v>1755</v>
      </c>
      <c r="BJ122" s="33" t="s">
        <v>1755</v>
      </c>
      <c r="BK122" s="33" t="s">
        <v>1755</v>
      </c>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t="str">
        <f t="shared" si="2"/>
        <v>Mike Evans</v>
      </c>
      <c r="CT122" s="33">
        <v>120</v>
      </c>
      <c r="CU122" s="33" t="s">
        <v>2093</v>
      </c>
      <c r="CV122" s="33">
        <v>7</v>
      </c>
      <c r="CW122" s="33" t="s">
        <v>2114</v>
      </c>
      <c r="CX122" s="33">
        <v>1</v>
      </c>
      <c r="CY122" s="33"/>
      <c r="CZ122" s="33" t="str">
        <f t="shared" si="3"/>
        <v>Ben Roethlisberger</v>
      </c>
      <c r="DA122" s="33">
        <v>120</v>
      </c>
      <c r="DB122" s="33" t="s">
        <v>2217</v>
      </c>
      <c r="DC122" s="33">
        <v>12</v>
      </c>
      <c r="DD122" s="33" t="s">
        <v>2218</v>
      </c>
      <c r="DE122" s="33">
        <v>1</v>
      </c>
    </row>
    <row r="123" spans="1:109" ht="12.75" customHeight="1">
      <c r="A123" s="33"/>
      <c r="B123" s="33"/>
      <c r="C123" s="33"/>
      <c r="D123" s="33"/>
      <c r="E123" s="33"/>
      <c r="F123" s="33"/>
      <c r="G123" s="33"/>
      <c r="H123" s="33"/>
      <c r="I123" s="33"/>
      <c r="J123" s="33"/>
      <c r="K123" s="33"/>
      <c r="L123" s="33"/>
      <c r="M123" s="33"/>
      <c r="N123" s="33"/>
      <c r="O123" s="33"/>
      <c r="P123" s="33"/>
      <c r="Q123" s="33">
        <v>117</v>
      </c>
      <c r="R123" s="33" t="s">
        <v>2219</v>
      </c>
      <c r="S123" s="33" t="s">
        <v>1072</v>
      </c>
      <c r="T123" s="33" t="s">
        <v>804</v>
      </c>
      <c r="U123" s="33" t="s">
        <v>1439</v>
      </c>
      <c r="V123" s="33">
        <v>0</v>
      </c>
      <c r="W123" s="33">
        <v>0</v>
      </c>
      <c r="X123" s="33">
        <v>0</v>
      </c>
      <c r="Y123" s="33">
        <v>6</v>
      </c>
      <c r="Z123" s="33">
        <v>25</v>
      </c>
      <c r="AA123" s="33">
        <v>0</v>
      </c>
      <c r="AB123" s="33">
        <v>6</v>
      </c>
      <c r="AC123" s="33">
        <v>44</v>
      </c>
      <c r="AD123" s="33">
        <v>1</v>
      </c>
      <c r="AE123" s="33">
        <v>15.5</v>
      </c>
      <c r="AF123" s="33"/>
      <c r="AG123" s="33">
        <v>117</v>
      </c>
      <c r="AH123" s="33" t="s">
        <v>2220</v>
      </c>
      <c r="AI123" s="33" t="s">
        <v>1072</v>
      </c>
      <c r="AJ123" s="33" t="s">
        <v>804</v>
      </c>
      <c r="AK123" s="33" t="s">
        <v>1439</v>
      </c>
      <c r="AL123" s="33">
        <v>0</v>
      </c>
      <c r="AM123" s="33">
        <v>0</v>
      </c>
      <c r="AN123" s="33">
        <v>0</v>
      </c>
      <c r="AO123" s="33">
        <v>0</v>
      </c>
      <c r="AP123" s="33">
        <v>0</v>
      </c>
      <c r="AQ123" s="33">
        <v>0</v>
      </c>
      <c r="AR123" s="33">
        <v>0</v>
      </c>
      <c r="AS123" s="33">
        <v>0</v>
      </c>
      <c r="AT123" s="33">
        <v>0</v>
      </c>
      <c r="AU123" s="33">
        <v>0</v>
      </c>
      <c r="AV123" s="33"/>
      <c r="AW123" s="33">
        <v>117</v>
      </c>
      <c r="AX123" s="33" t="s">
        <v>2221</v>
      </c>
      <c r="AY123" s="33" t="s">
        <v>1072</v>
      </c>
      <c r="AZ123" s="33" t="s">
        <v>804</v>
      </c>
      <c r="BA123" s="33" t="s">
        <v>1754</v>
      </c>
      <c r="BB123" s="33" t="s">
        <v>1755</v>
      </c>
      <c r="BC123" s="33" t="s">
        <v>1755</v>
      </c>
      <c r="BD123" s="33" t="s">
        <v>1755</v>
      </c>
      <c r="BE123" s="33" t="s">
        <v>1755</v>
      </c>
      <c r="BF123" s="33" t="s">
        <v>1755</v>
      </c>
      <c r="BG123" s="33" t="s">
        <v>1755</v>
      </c>
      <c r="BH123" s="33" t="s">
        <v>1755</v>
      </c>
      <c r="BI123" s="33" t="s">
        <v>1755</v>
      </c>
      <c r="BJ123" s="33" t="s">
        <v>1755</v>
      </c>
      <c r="BK123" s="33" t="s">
        <v>1755</v>
      </c>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t="str">
        <f t="shared" si="2"/>
        <v>Carlos Hyde</v>
      </c>
      <c r="CT123" s="33">
        <v>121</v>
      </c>
      <c r="CU123" s="33" t="s">
        <v>2222</v>
      </c>
      <c r="CV123" s="33">
        <v>8</v>
      </c>
      <c r="CW123" s="33" t="s">
        <v>2223</v>
      </c>
      <c r="CX123" s="33">
        <v>1</v>
      </c>
      <c r="CY123" s="33"/>
      <c r="CZ123" s="33" t="str">
        <f t="shared" si="3"/>
        <v>Chris Ivory</v>
      </c>
      <c r="DA123" s="33">
        <v>121</v>
      </c>
      <c r="DB123" s="33" t="s">
        <v>2065</v>
      </c>
      <c r="DC123" s="33">
        <v>11</v>
      </c>
      <c r="DD123" s="33" t="s">
        <v>2122</v>
      </c>
      <c r="DE123" s="33">
        <v>1</v>
      </c>
    </row>
    <row r="124" spans="1:109" ht="12.75" customHeight="1">
      <c r="A124" s="33"/>
      <c r="B124" s="33"/>
      <c r="C124" s="33"/>
      <c r="D124" s="33"/>
      <c r="E124" s="33"/>
      <c r="F124" s="33"/>
      <c r="G124" s="33"/>
      <c r="H124" s="33"/>
      <c r="I124" s="33"/>
      <c r="J124" s="33"/>
      <c r="K124" s="33"/>
      <c r="L124" s="33"/>
      <c r="M124" s="33"/>
      <c r="N124" s="33"/>
      <c r="O124" s="33"/>
      <c r="P124" s="33"/>
      <c r="Q124" s="33">
        <v>118</v>
      </c>
      <c r="R124" s="33" t="s">
        <v>2224</v>
      </c>
      <c r="S124" s="33" t="s">
        <v>1072</v>
      </c>
      <c r="T124" s="33" t="s">
        <v>804</v>
      </c>
      <c r="U124" s="33" t="s">
        <v>1439</v>
      </c>
      <c r="V124" s="33">
        <v>0</v>
      </c>
      <c r="W124" s="33">
        <v>0</v>
      </c>
      <c r="X124" s="33">
        <v>0</v>
      </c>
      <c r="Y124" s="33">
        <v>0</v>
      </c>
      <c r="Z124" s="33">
        <v>0</v>
      </c>
      <c r="AA124" s="33">
        <v>0</v>
      </c>
      <c r="AB124" s="33">
        <v>0</v>
      </c>
      <c r="AC124" s="33">
        <v>0</v>
      </c>
      <c r="AD124" s="33">
        <v>0</v>
      </c>
      <c r="AE124" s="33">
        <v>0</v>
      </c>
      <c r="AF124" s="33"/>
      <c r="AG124" s="33">
        <v>118</v>
      </c>
      <c r="AH124" s="33" t="s">
        <v>2225</v>
      </c>
      <c r="AI124" s="33" t="s">
        <v>1072</v>
      </c>
      <c r="AJ124" s="33" t="s">
        <v>804</v>
      </c>
      <c r="AK124" s="33" t="s">
        <v>1439</v>
      </c>
      <c r="AL124" s="33">
        <v>0</v>
      </c>
      <c r="AM124" s="33">
        <v>0</v>
      </c>
      <c r="AN124" s="33">
        <v>0</v>
      </c>
      <c r="AO124" s="33">
        <v>0</v>
      </c>
      <c r="AP124" s="33">
        <v>0</v>
      </c>
      <c r="AQ124" s="33">
        <v>0</v>
      </c>
      <c r="AR124" s="33">
        <v>0</v>
      </c>
      <c r="AS124" s="33">
        <v>0</v>
      </c>
      <c r="AT124" s="33">
        <v>0</v>
      </c>
      <c r="AU124" s="33">
        <v>0</v>
      </c>
      <c r="AV124" s="33"/>
      <c r="AW124" s="33">
        <v>118</v>
      </c>
      <c r="AX124" s="33" t="s">
        <v>2226</v>
      </c>
      <c r="AY124" s="33" t="s">
        <v>1072</v>
      </c>
      <c r="AZ124" s="33" t="s">
        <v>804</v>
      </c>
      <c r="BA124" s="33" t="s">
        <v>1754</v>
      </c>
      <c r="BB124" s="33" t="s">
        <v>1755</v>
      </c>
      <c r="BC124" s="33" t="s">
        <v>1755</v>
      </c>
      <c r="BD124" s="33" t="s">
        <v>1755</v>
      </c>
      <c r="BE124" s="33" t="s">
        <v>1755</v>
      </c>
      <c r="BF124" s="33" t="s">
        <v>1755</v>
      </c>
      <c r="BG124" s="33" t="s">
        <v>1755</v>
      </c>
      <c r="BH124" s="33" t="s">
        <v>1755</v>
      </c>
      <c r="BI124" s="33" t="s">
        <v>1755</v>
      </c>
      <c r="BJ124" s="33" t="s">
        <v>1755</v>
      </c>
      <c r="BK124" s="33" t="s">
        <v>1755</v>
      </c>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t="str">
        <f t="shared" si="2"/>
        <v>Tre Mason</v>
      </c>
      <c r="CT124" s="33">
        <v>122</v>
      </c>
      <c r="CU124" s="33" t="s">
        <v>2227</v>
      </c>
      <c r="CV124" s="33">
        <v>4</v>
      </c>
      <c r="CW124" s="33" t="s">
        <v>2228</v>
      </c>
      <c r="CX124" s="33">
        <v>1</v>
      </c>
      <c r="CY124" s="33"/>
      <c r="CZ124" s="33" t="str">
        <f t="shared" si="3"/>
        <v>Andrew Hawkins</v>
      </c>
      <c r="DA124" s="33">
        <v>122</v>
      </c>
      <c r="DB124" s="33" t="s">
        <v>2229</v>
      </c>
      <c r="DC124" s="33">
        <v>4</v>
      </c>
      <c r="DD124" s="33" t="s">
        <v>2230</v>
      </c>
      <c r="DE124" s="33">
        <v>1</v>
      </c>
    </row>
    <row r="125" spans="1:109" ht="12.75" customHeight="1">
      <c r="A125" s="33"/>
      <c r="B125" s="33"/>
      <c r="C125" s="33"/>
      <c r="D125" s="33"/>
      <c r="E125" s="33"/>
      <c r="F125" s="33"/>
      <c r="G125" s="33"/>
      <c r="H125" s="33"/>
      <c r="I125" s="33"/>
      <c r="J125" s="33"/>
      <c r="K125" s="33"/>
      <c r="L125" s="33"/>
      <c r="M125" s="33"/>
      <c r="N125" s="33"/>
      <c r="O125" s="33"/>
      <c r="P125" s="33"/>
      <c r="Q125" s="33">
        <v>119</v>
      </c>
      <c r="R125" s="33" t="s">
        <v>2231</v>
      </c>
      <c r="S125" s="33" t="s">
        <v>1072</v>
      </c>
      <c r="T125" s="33" t="s">
        <v>804</v>
      </c>
      <c r="U125" s="33" t="s">
        <v>1439</v>
      </c>
      <c r="V125" s="33">
        <v>0</v>
      </c>
      <c r="W125" s="33">
        <v>0</v>
      </c>
      <c r="X125" s="33">
        <v>0</v>
      </c>
      <c r="Y125" s="33">
        <v>0</v>
      </c>
      <c r="Z125" s="33">
        <v>0</v>
      </c>
      <c r="AA125" s="33">
        <v>0</v>
      </c>
      <c r="AB125" s="33">
        <v>0</v>
      </c>
      <c r="AC125" s="33">
        <v>0</v>
      </c>
      <c r="AD125" s="33">
        <v>0</v>
      </c>
      <c r="AE125" s="33">
        <v>0</v>
      </c>
      <c r="AF125" s="33"/>
      <c r="AG125" s="33">
        <v>119</v>
      </c>
      <c r="AH125" s="33" t="s">
        <v>2232</v>
      </c>
      <c r="AI125" s="33" t="s">
        <v>1072</v>
      </c>
      <c r="AJ125" s="33" t="s">
        <v>804</v>
      </c>
      <c r="AK125" s="33" t="s">
        <v>1439</v>
      </c>
      <c r="AL125" s="33">
        <v>0</v>
      </c>
      <c r="AM125" s="33">
        <v>0</v>
      </c>
      <c r="AN125" s="33">
        <v>0</v>
      </c>
      <c r="AO125" s="33">
        <v>0</v>
      </c>
      <c r="AP125" s="33">
        <v>0</v>
      </c>
      <c r="AQ125" s="33">
        <v>0</v>
      </c>
      <c r="AR125" s="33">
        <v>0</v>
      </c>
      <c r="AS125" s="33">
        <v>0</v>
      </c>
      <c r="AT125" s="33">
        <v>0</v>
      </c>
      <c r="AU125" s="33">
        <v>0</v>
      </c>
      <c r="AV125" s="33"/>
      <c r="AW125" s="33">
        <v>119</v>
      </c>
      <c r="AX125" s="33" t="s">
        <v>2233</v>
      </c>
      <c r="AY125" s="33" t="s">
        <v>1072</v>
      </c>
      <c r="AZ125" s="33" t="s">
        <v>804</v>
      </c>
      <c r="BA125" s="33" t="s">
        <v>1754</v>
      </c>
      <c r="BB125" s="33" t="s">
        <v>1755</v>
      </c>
      <c r="BC125" s="33" t="s">
        <v>1755</v>
      </c>
      <c r="BD125" s="33" t="s">
        <v>1755</v>
      </c>
      <c r="BE125" s="33" t="s">
        <v>1755</v>
      </c>
      <c r="BF125" s="33" t="s">
        <v>1755</v>
      </c>
      <c r="BG125" s="33" t="s">
        <v>1755</v>
      </c>
      <c r="BH125" s="33" t="s">
        <v>1755</v>
      </c>
      <c r="BI125" s="33" t="s">
        <v>1755</v>
      </c>
      <c r="BJ125" s="33" t="s">
        <v>1755</v>
      </c>
      <c r="BK125" s="33" t="s">
        <v>1755</v>
      </c>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t="str">
        <f t="shared" si="2"/>
        <v>Ben Roethlisberger</v>
      </c>
      <c r="CT125" s="33">
        <v>123</v>
      </c>
      <c r="CU125" s="33" t="s">
        <v>2217</v>
      </c>
      <c r="CV125" s="33">
        <v>12</v>
      </c>
      <c r="CW125" s="33" t="s">
        <v>2218</v>
      </c>
      <c r="CX125" s="33">
        <v>1</v>
      </c>
      <c r="CY125" s="33"/>
      <c r="CZ125" s="33" t="str">
        <f t="shared" si="3"/>
        <v>Denver Broncos</v>
      </c>
      <c r="DA125" s="33">
        <v>123</v>
      </c>
      <c r="DB125" s="33" t="s">
        <v>2234</v>
      </c>
      <c r="DC125" s="33">
        <v>4</v>
      </c>
      <c r="DD125" s="33" t="s">
        <v>2235</v>
      </c>
      <c r="DE125" s="33">
        <v>1</v>
      </c>
    </row>
    <row r="126" spans="1:109" ht="12.75" customHeight="1">
      <c r="A126" s="33"/>
      <c r="B126" s="33"/>
      <c r="C126" s="33"/>
      <c r="D126" s="33"/>
      <c r="E126" s="33"/>
      <c r="F126" s="33"/>
      <c r="G126" s="33"/>
      <c r="H126" s="33"/>
      <c r="I126" s="33"/>
      <c r="J126" s="33"/>
      <c r="K126" s="33"/>
      <c r="L126" s="33"/>
      <c r="M126" s="33"/>
      <c r="N126" s="33"/>
      <c r="O126" s="33"/>
      <c r="P126" s="33"/>
      <c r="Q126" s="33">
        <v>120</v>
      </c>
      <c r="R126" s="33" t="s">
        <v>2236</v>
      </c>
      <c r="S126" s="33" t="s">
        <v>1072</v>
      </c>
      <c r="T126" s="33" t="s">
        <v>804</v>
      </c>
      <c r="U126" s="33" t="s">
        <v>1439</v>
      </c>
      <c r="V126" s="33">
        <v>0</v>
      </c>
      <c r="W126" s="33">
        <v>0</v>
      </c>
      <c r="X126" s="33">
        <v>0</v>
      </c>
      <c r="Y126" s="33">
        <v>0</v>
      </c>
      <c r="Z126" s="33">
        <v>0</v>
      </c>
      <c r="AA126" s="33">
        <v>0</v>
      </c>
      <c r="AB126" s="33">
        <v>0</v>
      </c>
      <c r="AC126" s="33">
        <v>0</v>
      </c>
      <c r="AD126" s="33">
        <v>0</v>
      </c>
      <c r="AE126" s="33">
        <v>0</v>
      </c>
      <c r="AF126" s="33"/>
      <c r="AG126" s="33">
        <v>120</v>
      </c>
      <c r="AH126" s="33" t="s">
        <v>2237</v>
      </c>
      <c r="AI126" s="33" t="s">
        <v>1072</v>
      </c>
      <c r="AJ126" s="33" t="s">
        <v>804</v>
      </c>
      <c r="AK126" s="33" t="s">
        <v>1439</v>
      </c>
      <c r="AL126" s="33">
        <v>0</v>
      </c>
      <c r="AM126" s="33">
        <v>0</v>
      </c>
      <c r="AN126" s="33">
        <v>0</v>
      </c>
      <c r="AO126" s="33">
        <v>0</v>
      </c>
      <c r="AP126" s="33">
        <v>0</v>
      </c>
      <c r="AQ126" s="33">
        <v>0</v>
      </c>
      <c r="AR126" s="33">
        <v>0</v>
      </c>
      <c r="AS126" s="33">
        <v>0</v>
      </c>
      <c r="AT126" s="33">
        <v>0</v>
      </c>
      <c r="AU126" s="33">
        <v>0</v>
      </c>
      <c r="AV126" s="33"/>
      <c r="AW126" s="33">
        <v>120</v>
      </c>
      <c r="AX126" s="33" t="s">
        <v>2238</v>
      </c>
      <c r="AY126" s="33" t="s">
        <v>1072</v>
      </c>
      <c r="AZ126" s="33" t="s">
        <v>804</v>
      </c>
      <c r="BA126" s="33" t="s">
        <v>1754</v>
      </c>
      <c r="BB126" s="33" t="s">
        <v>1755</v>
      </c>
      <c r="BC126" s="33" t="s">
        <v>1755</v>
      </c>
      <c r="BD126" s="33" t="s">
        <v>1755</v>
      </c>
      <c r="BE126" s="33" t="s">
        <v>1755</v>
      </c>
      <c r="BF126" s="33" t="s">
        <v>1755</v>
      </c>
      <c r="BG126" s="33" t="s">
        <v>1755</v>
      </c>
      <c r="BH126" s="33" t="s">
        <v>1755</v>
      </c>
      <c r="BI126" s="33" t="s">
        <v>1755</v>
      </c>
      <c r="BJ126" s="33" t="s">
        <v>1755</v>
      </c>
      <c r="BK126" s="33" t="s">
        <v>1755</v>
      </c>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t="str">
        <f t="shared" si="2"/>
        <v>James Starks</v>
      </c>
      <c r="CT126" s="33">
        <v>124</v>
      </c>
      <c r="CU126" s="33" t="s">
        <v>2239</v>
      </c>
      <c r="CV126" s="33">
        <v>9</v>
      </c>
      <c r="CW126" s="33" t="s">
        <v>2240</v>
      </c>
      <c r="CX126" s="33">
        <v>1</v>
      </c>
      <c r="CY126" s="33"/>
      <c r="CZ126" s="33" t="str">
        <f t="shared" si="3"/>
        <v>Delanie Walker</v>
      </c>
      <c r="DA126" s="33">
        <v>124</v>
      </c>
      <c r="DB126" s="33" t="s">
        <v>2241</v>
      </c>
      <c r="DC126" s="33">
        <v>9</v>
      </c>
      <c r="DD126" s="33" t="s">
        <v>2242</v>
      </c>
      <c r="DE126" s="33">
        <v>1</v>
      </c>
    </row>
    <row r="127" spans="1:109" ht="12.75" customHeight="1">
      <c r="A127" s="33"/>
      <c r="B127" s="33"/>
      <c r="C127" s="33"/>
      <c r="D127" s="33"/>
      <c r="E127" s="33"/>
      <c r="F127" s="33"/>
      <c r="G127" s="33"/>
      <c r="H127" s="33"/>
      <c r="I127" s="33"/>
      <c r="J127" s="33"/>
      <c r="K127" s="33"/>
      <c r="L127" s="33"/>
      <c r="M127" s="33"/>
      <c r="N127" s="33"/>
      <c r="O127" s="33"/>
      <c r="P127" s="33"/>
      <c r="Q127" s="33" t="s">
        <v>1419</v>
      </c>
      <c r="R127" s="33" t="s">
        <v>1420</v>
      </c>
      <c r="S127" s="33" t="s">
        <v>1421</v>
      </c>
      <c r="T127" s="33" t="s">
        <v>1422</v>
      </c>
      <c r="U127" s="33" t="s">
        <v>1423</v>
      </c>
      <c r="V127" s="33" t="s">
        <v>1424</v>
      </c>
      <c r="W127" s="33" t="s">
        <v>804</v>
      </c>
      <c r="X127" s="33" t="s">
        <v>804</v>
      </c>
      <c r="Y127" s="33" t="s">
        <v>804</v>
      </c>
      <c r="Z127" s="33" t="s">
        <v>804</v>
      </c>
      <c r="AA127" s="33" t="s">
        <v>804</v>
      </c>
      <c r="AB127" s="33" t="s">
        <v>804</v>
      </c>
      <c r="AC127" s="33" t="s">
        <v>804</v>
      </c>
      <c r="AD127" s="33" t="s">
        <v>804</v>
      </c>
      <c r="AE127" s="33" t="s">
        <v>804</v>
      </c>
      <c r="AF127" s="33"/>
      <c r="AG127" s="33" t="s">
        <v>1419</v>
      </c>
      <c r="AH127" s="33" t="s">
        <v>1420</v>
      </c>
      <c r="AI127" s="33" t="s">
        <v>1421</v>
      </c>
      <c r="AJ127" s="33" t="s">
        <v>1422</v>
      </c>
      <c r="AK127" s="33" t="s">
        <v>1423</v>
      </c>
      <c r="AL127" s="33" t="s">
        <v>1424</v>
      </c>
      <c r="AM127" s="33" t="s">
        <v>804</v>
      </c>
      <c r="AN127" s="33" t="s">
        <v>804</v>
      </c>
      <c r="AO127" s="33" t="s">
        <v>804</v>
      </c>
      <c r="AP127" s="33" t="s">
        <v>804</v>
      </c>
      <c r="AQ127" s="33" t="s">
        <v>804</v>
      </c>
      <c r="AR127" s="33" t="s">
        <v>804</v>
      </c>
      <c r="AS127" s="33" t="s">
        <v>804</v>
      </c>
      <c r="AT127" s="33" t="s">
        <v>804</v>
      </c>
      <c r="AU127" s="33" t="s">
        <v>804</v>
      </c>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t="str">
        <f t="shared" si="2"/>
        <v>Rueben Randle</v>
      </c>
      <c r="CT127" s="33">
        <v>125</v>
      </c>
      <c r="CU127" s="33" t="s">
        <v>2202</v>
      </c>
      <c r="CV127" s="33">
        <v>8</v>
      </c>
      <c r="CW127" s="33" t="s">
        <v>2156</v>
      </c>
      <c r="CX127" s="33">
        <v>1</v>
      </c>
      <c r="CY127" s="33"/>
      <c r="CZ127" s="33" t="str">
        <f t="shared" si="3"/>
        <v>Darren McFadden</v>
      </c>
      <c r="DA127" s="33">
        <v>125</v>
      </c>
      <c r="DB127" s="33" t="s">
        <v>2128</v>
      </c>
      <c r="DC127" s="33">
        <v>5</v>
      </c>
      <c r="DD127" s="33" t="s">
        <v>2129</v>
      </c>
      <c r="DE127" s="33">
        <v>1</v>
      </c>
    </row>
    <row r="128" spans="1:109" ht="12.75" customHeight="1">
      <c r="A128" s="33"/>
      <c r="B128" s="33"/>
      <c r="C128" s="33"/>
      <c r="D128" s="33"/>
      <c r="E128" s="33"/>
      <c r="F128" s="33"/>
      <c r="G128" s="33"/>
      <c r="H128" s="33"/>
      <c r="I128" s="33"/>
      <c r="J128" s="33"/>
      <c r="K128" s="33"/>
      <c r="L128" s="33"/>
      <c r="M128" s="33"/>
      <c r="N128" s="33"/>
      <c r="O128" s="33"/>
      <c r="P128" s="33"/>
      <c r="Q128" s="33" t="s">
        <v>1425</v>
      </c>
      <c r="R128" s="33" t="s">
        <v>1426</v>
      </c>
      <c r="S128" s="33" t="s">
        <v>1427</v>
      </c>
      <c r="T128" s="33" t="s">
        <v>1428</v>
      </c>
      <c r="U128" s="33" t="s">
        <v>1429</v>
      </c>
      <c r="V128" s="33" t="s">
        <v>1430</v>
      </c>
      <c r="W128" s="33" t="s">
        <v>785</v>
      </c>
      <c r="X128" s="33" t="s">
        <v>796</v>
      </c>
      <c r="Y128" s="33" t="s">
        <v>1431</v>
      </c>
      <c r="Z128" s="33" t="s">
        <v>1430</v>
      </c>
      <c r="AA128" s="33" t="s">
        <v>785</v>
      </c>
      <c r="AB128" s="33" t="s">
        <v>1432</v>
      </c>
      <c r="AC128" s="33" t="s">
        <v>1430</v>
      </c>
      <c r="AD128" s="33" t="s">
        <v>785</v>
      </c>
      <c r="AE128" s="33" t="s">
        <v>1433</v>
      </c>
      <c r="AF128" s="33"/>
      <c r="AG128" s="33" t="s">
        <v>1425</v>
      </c>
      <c r="AH128" s="33" t="s">
        <v>1426</v>
      </c>
      <c r="AI128" s="33" t="s">
        <v>1427</v>
      </c>
      <c r="AJ128" s="33" t="s">
        <v>1428</v>
      </c>
      <c r="AK128" s="33" t="s">
        <v>1429</v>
      </c>
      <c r="AL128" s="33" t="s">
        <v>1430</v>
      </c>
      <c r="AM128" s="33" t="s">
        <v>785</v>
      </c>
      <c r="AN128" s="33" t="s">
        <v>796</v>
      </c>
      <c r="AO128" s="33" t="s">
        <v>1431</v>
      </c>
      <c r="AP128" s="33" t="s">
        <v>1430</v>
      </c>
      <c r="AQ128" s="33" t="s">
        <v>785</v>
      </c>
      <c r="AR128" s="33" t="s">
        <v>1432</v>
      </c>
      <c r="AS128" s="33" t="s">
        <v>1430</v>
      </c>
      <c r="AT128" s="33" t="s">
        <v>785</v>
      </c>
      <c r="AU128" s="33" t="s">
        <v>1433</v>
      </c>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t="str">
        <f t="shared" si="2"/>
        <v>Knile Davis</v>
      </c>
      <c r="CT128" s="33">
        <v>126</v>
      </c>
      <c r="CU128" s="33" t="s">
        <v>2243</v>
      </c>
      <c r="CV128" s="33">
        <v>6</v>
      </c>
      <c r="CW128" s="33" t="s">
        <v>2244</v>
      </c>
      <c r="CX128" s="33">
        <v>1</v>
      </c>
      <c r="CY128" s="33"/>
      <c r="CZ128" s="33" t="str">
        <f t="shared" si="3"/>
        <v>Andy Dalton</v>
      </c>
      <c r="DA128" s="33">
        <v>126</v>
      </c>
      <c r="DB128" s="33" t="s">
        <v>2245</v>
      </c>
      <c r="DC128" s="33">
        <v>4</v>
      </c>
      <c r="DD128" s="33" t="s">
        <v>2246</v>
      </c>
      <c r="DE128" s="33">
        <v>1</v>
      </c>
    </row>
    <row r="129" spans="1:109" ht="12.75" customHeight="1">
      <c r="A129" s="33"/>
      <c r="B129" s="33"/>
      <c r="C129" s="33"/>
      <c r="D129" s="33"/>
      <c r="E129" s="33"/>
      <c r="F129" s="33"/>
      <c r="G129" s="33"/>
      <c r="H129" s="33"/>
      <c r="I129" s="33"/>
      <c r="J129" s="33"/>
      <c r="K129" s="33"/>
      <c r="L129" s="33"/>
      <c r="M129" s="33"/>
      <c r="N129" s="33"/>
      <c r="O129" s="33"/>
      <c r="P129" s="33"/>
      <c r="Q129" s="33">
        <v>121</v>
      </c>
      <c r="R129" s="33" t="s">
        <v>2247</v>
      </c>
      <c r="S129" s="33" t="s">
        <v>1072</v>
      </c>
      <c r="T129" s="33" t="s">
        <v>804</v>
      </c>
      <c r="U129" s="33" t="s">
        <v>1439</v>
      </c>
      <c r="V129" s="33">
        <v>0</v>
      </c>
      <c r="W129" s="33">
        <v>0</v>
      </c>
      <c r="X129" s="33">
        <v>0</v>
      </c>
      <c r="Y129" s="33">
        <v>0</v>
      </c>
      <c r="Z129" s="33">
        <v>0</v>
      </c>
      <c r="AA129" s="33">
        <v>0</v>
      </c>
      <c r="AB129" s="33">
        <v>0</v>
      </c>
      <c r="AC129" s="33">
        <v>0</v>
      </c>
      <c r="AD129" s="33">
        <v>0</v>
      </c>
      <c r="AE129" s="33">
        <v>0</v>
      </c>
      <c r="AF129" s="33"/>
      <c r="AG129" s="33">
        <v>121</v>
      </c>
      <c r="AH129" s="33" t="s">
        <v>2248</v>
      </c>
      <c r="AI129" s="33" t="s">
        <v>1072</v>
      </c>
      <c r="AJ129" s="33" t="s">
        <v>804</v>
      </c>
      <c r="AK129" s="33" t="s">
        <v>1439</v>
      </c>
      <c r="AL129" s="33">
        <v>0</v>
      </c>
      <c r="AM129" s="33">
        <v>0</v>
      </c>
      <c r="AN129" s="33">
        <v>0</v>
      </c>
      <c r="AO129" s="33">
        <v>0</v>
      </c>
      <c r="AP129" s="33">
        <v>0</v>
      </c>
      <c r="AQ129" s="33">
        <v>0</v>
      </c>
      <c r="AR129" s="33">
        <v>0</v>
      </c>
      <c r="AS129" s="33">
        <v>0</v>
      </c>
      <c r="AT129" s="33">
        <v>0</v>
      </c>
      <c r="AU129" s="33">
        <v>0</v>
      </c>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t="str">
        <f t="shared" si="2"/>
        <v>C.J. Anderson</v>
      </c>
      <c r="CT129" s="33">
        <v>127</v>
      </c>
      <c r="CU129" s="33" t="s">
        <v>2249</v>
      </c>
      <c r="CV129" s="33">
        <v>4</v>
      </c>
      <c r="CW129" s="33" t="s">
        <v>2250</v>
      </c>
      <c r="CX129" s="33">
        <v>1</v>
      </c>
      <c r="CY129" s="33"/>
      <c r="CZ129" s="33" t="str">
        <f t="shared" si="3"/>
        <v>Brandin Cooks</v>
      </c>
      <c r="DA129" s="33">
        <v>127</v>
      </c>
      <c r="DB129" s="33" t="s">
        <v>2251</v>
      </c>
      <c r="DC129" s="33">
        <v>6</v>
      </c>
      <c r="DD129" s="33" t="s">
        <v>2252</v>
      </c>
      <c r="DE129" s="33">
        <v>1</v>
      </c>
    </row>
    <row r="130" spans="1:109" ht="12.75" customHeight="1">
      <c r="A130" s="33"/>
      <c r="B130" s="33"/>
      <c r="C130" s="33"/>
      <c r="D130" s="33"/>
      <c r="E130" s="33"/>
      <c r="F130" s="33"/>
      <c r="G130" s="33"/>
      <c r="H130" s="33"/>
      <c r="I130" s="33"/>
      <c r="J130" s="33"/>
      <c r="K130" s="33"/>
      <c r="L130" s="33"/>
      <c r="M130" s="33"/>
      <c r="N130" s="33"/>
      <c r="O130" s="33"/>
      <c r="P130" s="33"/>
      <c r="Q130" s="33">
        <v>122</v>
      </c>
      <c r="R130" s="33" t="s">
        <v>2253</v>
      </c>
      <c r="S130" s="33" t="s">
        <v>1072</v>
      </c>
      <c r="T130" s="33" t="s">
        <v>804</v>
      </c>
      <c r="U130" s="33" t="s">
        <v>1439</v>
      </c>
      <c r="V130" s="33">
        <v>0</v>
      </c>
      <c r="W130" s="33">
        <v>0</v>
      </c>
      <c r="X130" s="33">
        <v>0</v>
      </c>
      <c r="Y130" s="33">
        <v>0</v>
      </c>
      <c r="Z130" s="33">
        <v>0</v>
      </c>
      <c r="AA130" s="33">
        <v>0</v>
      </c>
      <c r="AB130" s="33">
        <v>0</v>
      </c>
      <c r="AC130" s="33">
        <v>0</v>
      </c>
      <c r="AD130" s="33">
        <v>0</v>
      </c>
      <c r="AE130" s="33">
        <v>0</v>
      </c>
      <c r="AF130" s="33"/>
      <c r="AG130" s="33">
        <v>122</v>
      </c>
      <c r="AH130" s="33" t="s">
        <v>2254</v>
      </c>
      <c r="AI130" s="33" t="s">
        <v>1072</v>
      </c>
      <c r="AJ130" s="33" t="s">
        <v>804</v>
      </c>
      <c r="AK130" s="33" t="s">
        <v>1439</v>
      </c>
      <c r="AL130" s="33">
        <v>0</v>
      </c>
      <c r="AM130" s="33">
        <v>0</v>
      </c>
      <c r="AN130" s="33">
        <v>0</v>
      </c>
      <c r="AO130" s="33">
        <v>0</v>
      </c>
      <c r="AP130" s="33">
        <v>0</v>
      </c>
      <c r="AQ130" s="33">
        <v>0</v>
      </c>
      <c r="AR130" s="33">
        <v>0</v>
      </c>
      <c r="AS130" s="33">
        <v>0</v>
      </c>
      <c r="AT130" s="33">
        <v>0</v>
      </c>
      <c r="AU130" s="33">
        <v>0</v>
      </c>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t="str">
        <f t="shared" si="2"/>
        <v>Roy Helu</v>
      </c>
      <c r="CT130" s="33">
        <v>128</v>
      </c>
      <c r="CU130" s="33" t="s">
        <v>2255</v>
      </c>
      <c r="CV130" s="33">
        <v>10</v>
      </c>
      <c r="CW130" s="33" t="s">
        <v>2256</v>
      </c>
      <c r="CX130" s="33">
        <v>1</v>
      </c>
      <c r="CY130" s="33"/>
      <c r="CZ130" s="33" t="str">
        <f t="shared" si="3"/>
        <v>Jeremy Hill</v>
      </c>
      <c r="DA130" s="33">
        <v>128</v>
      </c>
      <c r="DB130" s="33" t="s">
        <v>2175</v>
      </c>
      <c r="DC130" s="33">
        <v>4</v>
      </c>
      <c r="DD130" s="33" t="s">
        <v>2140</v>
      </c>
      <c r="DE130" s="33">
        <v>1</v>
      </c>
    </row>
    <row r="131" spans="1:109" ht="12.75" customHeight="1">
      <c r="A131" s="33"/>
      <c r="B131" s="33"/>
      <c r="C131" s="33"/>
      <c r="D131" s="33"/>
      <c r="E131" s="33"/>
      <c r="F131" s="33"/>
      <c r="G131" s="33"/>
      <c r="H131" s="33"/>
      <c r="I131" s="33"/>
      <c r="J131" s="33"/>
      <c r="K131" s="33"/>
      <c r="L131" s="33"/>
      <c r="M131" s="33"/>
      <c r="N131" s="33"/>
      <c r="O131" s="33"/>
      <c r="P131" s="33"/>
      <c r="Q131" s="33">
        <v>123</v>
      </c>
      <c r="R131" s="33" t="s">
        <v>1890</v>
      </c>
      <c r="S131" s="33" t="s">
        <v>1072</v>
      </c>
      <c r="T131" s="33" t="s">
        <v>804</v>
      </c>
      <c r="U131" s="33" t="s">
        <v>1439</v>
      </c>
      <c r="V131" s="33">
        <v>0</v>
      </c>
      <c r="W131" s="33">
        <v>0</v>
      </c>
      <c r="X131" s="33">
        <v>0</v>
      </c>
      <c r="Y131" s="33">
        <v>0</v>
      </c>
      <c r="Z131" s="33">
        <v>0</v>
      </c>
      <c r="AA131" s="33">
        <v>0</v>
      </c>
      <c r="AB131" s="33">
        <v>0</v>
      </c>
      <c r="AC131" s="33">
        <v>0</v>
      </c>
      <c r="AD131" s="33">
        <v>0</v>
      </c>
      <c r="AE131" s="33">
        <v>0</v>
      </c>
      <c r="AF131" s="33"/>
      <c r="AG131" s="33">
        <v>123</v>
      </c>
      <c r="AH131" s="33" t="s">
        <v>2257</v>
      </c>
      <c r="AI131" s="33" t="s">
        <v>1072</v>
      </c>
      <c r="AJ131" s="33" t="s">
        <v>804</v>
      </c>
      <c r="AK131" s="33" t="s">
        <v>1439</v>
      </c>
      <c r="AL131" s="33">
        <v>0</v>
      </c>
      <c r="AM131" s="33">
        <v>0</v>
      </c>
      <c r="AN131" s="33">
        <v>0</v>
      </c>
      <c r="AO131" s="33">
        <v>0</v>
      </c>
      <c r="AP131" s="33">
        <v>0</v>
      </c>
      <c r="AQ131" s="33">
        <v>0</v>
      </c>
      <c r="AR131" s="33">
        <v>0</v>
      </c>
      <c r="AS131" s="33">
        <v>0</v>
      </c>
      <c r="AT131" s="33">
        <v>0</v>
      </c>
      <c r="AU131" s="33">
        <v>0</v>
      </c>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t="str">
        <f t="shared" ref="CS131:CS194" si="4">IF(ISERROR(FIND("D/ST",CU131)),IF(ISERROR(FIND("*",CU131)),LEFT(CU131,(FIND(",",CU131)-1)),LEFT(CU131,(FIND("*",CU131)-1))),LEFT(CU131,(FIND("D/ST",CU131)-2)))</f>
        <v>Andre Williams</v>
      </c>
      <c r="CT131" s="33">
        <v>129</v>
      </c>
      <c r="CU131" s="33" t="s">
        <v>2258</v>
      </c>
      <c r="CV131" s="33">
        <v>8</v>
      </c>
      <c r="CW131" s="33" t="s">
        <v>2259</v>
      </c>
      <c r="CX131" s="33">
        <v>1</v>
      </c>
      <c r="CY131" s="33"/>
      <c r="CZ131" s="33" t="str">
        <f t="shared" ref="CZ131:CZ194" si="5">IF(ISERROR(FIND("D/ST",DB131)),IF(ISERROR(FIND("*",DB131)),LEFT(DB131,(FIND(",",DB131)-1)),LEFT(DB131,(FIND("*",DB131)-1))),LEFT(DB131,(FIND("D/ST",DB131)-2)))</f>
        <v>Charles Clay</v>
      </c>
      <c r="DA131" s="33">
        <v>129</v>
      </c>
      <c r="DB131" s="33" t="s">
        <v>2260</v>
      </c>
      <c r="DC131" s="33">
        <v>5</v>
      </c>
      <c r="DD131" s="33" t="s">
        <v>2261</v>
      </c>
      <c r="DE131" s="33">
        <v>1</v>
      </c>
    </row>
    <row r="132" spans="1:109" ht="12.75" customHeight="1">
      <c r="A132" s="33"/>
      <c r="B132" s="33"/>
      <c r="C132" s="33"/>
      <c r="D132" s="33"/>
      <c r="E132" s="33"/>
      <c r="F132" s="33"/>
      <c r="G132" s="33"/>
      <c r="H132" s="33"/>
      <c r="I132" s="33"/>
      <c r="J132" s="33"/>
      <c r="K132" s="33"/>
      <c r="L132" s="33"/>
      <c r="M132" s="33"/>
      <c r="N132" s="33"/>
      <c r="O132" s="33"/>
      <c r="P132" s="33"/>
      <c r="Q132" s="33">
        <v>124</v>
      </c>
      <c r="R132" s="33" t="s">
        <v>2262</v>
      </c>
      <c r="S132" s="33" t="s">
        <v>1072</v>
      </c>
      <c r="T132" s="33" t="s">
        <v>804</v>
      </c>
      <c r="U132" s="33" t="s">
        <v>1439</v>
      </c>
      <c r="V132" s="33">
        <v>0</v>
      </c>
      <c r="W132" s="33">
        <v>0</v>
      </c>
      <c r="X132" s="33">
        <v>0</v>
      </c>
      <c r="Y132" s="33">
        <v>0</v>
      </c>
      <c r="Z132" s="33">
        <v>0</v>
      </c>
      <c r="AA132" s="33">
        <v>0</v>
      </c>
      <c r="AB132" s="33">
        <v>0</v>
      </c>
      <c r="AC132" s="33">
        <v>0</v>
      </c>
      <c r="AD132" s="33">
        <v>0</v>
      </c>
      <c r="AE132" s="33">
        <v>0</v>
      </c>
      <c r="AF132" s="33"/>
      <c r="AG132" s="33">
        <v>124</v>
      </c>
      <c r="AH132" s="33" t="s">
        <v>2263</v>
      </c>
      <c r="AI132" s="33" t="s">
        <v>1072</v>
      </c>
      <c r="AJ132" s="33" t="s">
        <v>804</v>
      </c>
      <c r="AK132" s="33" t="s">
        <v>1439</v>
      </c>
      <c r="AL132" s="33">
        <v>0</v>
      </c>
      <c r="AM132" s="33">
        <v>0</v>
      </c>
      <c r="AN132" s="33">
        <v>0</v>
      </c>
      <c r="AO132" s="33">
        <v>0</v>
      </c>
      <c r="AP132" s="33">
        <v>0</v>
      </c>
      <c r="AQ132" s="33">
        <v>0</v>
      </c>
      <c r="AR132" s="33">
        <v>0</v>
      </c>
      <c r="AS132" s="33">
        <v>0</v>
      </c>
      <c r="AT132" s="33">
        <v>0</v>
      </c>
      <c r="AU132" s="33">
        <v>0</v>
      </c>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t="str">
        <f t="shared" si="4"/>
        <v>Jonathan Stewart</v>
      </c>
      <c r="CT132" s="33">
        <v>130</v>
      </c>
      <c r="CU132" s="33" t="s">
        <v>2264</v>
      </c>
      <c r="CV132" s="33">
        <v>12</v>
      </c>
      <c r="CW132" s="33" t="s">
        <v>2265</v>
      </c>
      <c r="CX132" s="33">
        <v>1</v>
      </c>
      <c r="CY132" s="33"/>
      <c r="CZ132" s="33" t="str">
        <f t="shared" si="5"/>
        <v>Tavon Austin</v>
      </c>
      <c r="DA132" s="33">
        <v>130</v>
      </c>
      <c r="DB132" s="33" t="s">
        <v>2266</v>
      </c>
      <c r="DC132" s="33">
        <v>4</v>
      </c>
      <c r="DD132" s="33" t="s">
        <v>2267</v>
      </c>
      <c r="DE132" s="33">
        <v>1</v>
      </c>
    </row>
    <row r="133" spans="1:109" ht="12.75" customHeight="1">
      <c r="A133" s="33"/>
      <c r="B133" s="33"/>
      <c r="C133" s="33"/>
      <c r="D133" s="33"/>
      <c r="E133" s="33"/>
      <c r="F133" s="33"/>
      <c r="G133" s="33"/>
      <c r="H133" s="33"/>
      <c r="I133" s="33"/>
      <c r="J133" s="33"/>
      <c r="K133" s="33"/>
      <c r="L133" s="33"/>
      <c r="M133" s="33"/>
      <c r="N133" s="33"/>
      <c r="O133" s="33"/>
      <c r="P133" s="33"/>
      <c r="Q133" s="33">
        <v>125</v>
      </c>
      <c r="R133" s="33" t="s">
        <v>2268</v>
      </c>
      <c r="S133" s="33" t="s">
        <v>1072</v>
      </c>
      <c r="T133" s="33" t="s">
        <v>804</v>
      </c>
      <c r="U133" s="33" t="s">
        <v>1439</v>
      </c>
      <c r="V133" s="33">
        <v>0</v>
      </c>
      <c r="W133" s="33">
        <v>0</v>
      </c>
      <c r="X133" s="33">
        <v>0</v>
      </c>
      <c r="Y133" s="33">
        <v>0</v>
      </c>
      <c r="Z133" s="33">
        <v>0</v>
      </c>
      <c r="AA133" s="33">
        <v>0</v>
      </c>
      <c r="AB133" s="33">
        <v>0</v>
      </c>
      <c r="AC133" s="33">
        <v>0</v>
      </c>
      <c r="AD133" s="33">
        <v>0</v>
      </c>
      <c r="AE133" s="33">
        <v>0</v>
      </c>
      <c r="AF133" s="33"/>
      <c r="AG133" s="33">
        <v>125</v>
      </c>
      <c r="AH133" s="33" t="s">
        <v>2269</v>
      </c>
      <c r="AI133" s="33" t="s">
        <v>1072</v>
      </c>
      <c r="AJ133" s="33" t="s">
        <v>804</v>
      </c>
      <c r="AK133" s="33" t="s">
        <v>1439</v>
      </c>
      <c r="AL133" s="33">
        <v>0</v>
      </c>
      <c r="AM133" s="33">
        <v>0</v>
      </c>
      <c r="AN133" s="33">
        <v>0</v>
      </c>
      <c r="AO133" s="33">
        <v>0</v>
      </c>
      <c r="AP133" s="33">
        <v>0</v>
      </c>
      <c r="AQ133" s="33">
        <v>0</v>
      </c>
      <c r="AR133" s="33">
        <v>0</v>
      </c>
      <c r="AS133" s="33">
        <v>0</v>
      </c>
      <c r="AT133" s="33">
        <v>0</v>
      </c>
      <c r="AU133" s="33">
        <v>0</v>
      </c>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t="str">
        <f t="shared" si="4"/>
        <v>Tavon Austin</v>
      </c>
      <c r="CT133" s="33">
        <v>131</v>
      </c>
      <c r="CU133" s="33" t="s">
        <v>2266</v>
      </c>
      <c r="CV133" s="33">
        <v>4</v>
      </c>
      <c r="CW133" s="33" t="s">
        <v>2171</v>
      </c>
      <c r="CX133" s="33">
        <v>1</v>
      </c>
      <c r="CY133" s="33"/>
      <c r="CZ133" s="33" t="str">
        <f t="shared" si="5"/>
        <v>Brian Hartline</v>
      </c>
      <c r="DA133" s="33">
        <v>131</v>
      </c>
      <c r="DB133" s="33" t="s">
        <v>2270</v>
      </c>
      <c r="DC133" s="33">
        <v>5</v>
      </c>
      <c r="DD133" s="33" t="s">
        <v>2271</v>
      </c>
      <c r="DE133" s="33">
        <v>1</v>
      </c>
    </row>
    <row r="134" spans="1:109" ht="12.75" customHeight="1">
      <c r="A134" s="33"/>
      <c r="B134" s="33"/>
      <c r="C134" s="33"/>
      <c r="D134" s="33"/>
      <c r="E134" s="33"/>
      <c r="F134" s="33"/>
      <c r="G134" s="33"/>
      <c r="H134" s="33"/>
      <c r="I134" s="33"/>
      <c r="J134" s="33"/>
      <c r="K134" s="33"/>
      <c r="L134" s="33"/>
      <c r="M134" s="33"/>
      <c r="N134" s="33"/>
      <c r="O134" s="33"/>
      <c r="P134" s="33"/>
      <c r="Q134" s="33">
        <v>126</v>
      </c>
      <c r="R134" s="33" t="s">
        <v>2272</v>
      </c>
      <c r="S134" s="33" t="s">
        <v>1072</v>
      </c>
      <c r="T134" s="33" t="s">
        <v>804</v>
      </c>
      <c r="U134" s="33" t="s">
        <v>1754</v>
      </c>
      <c r="V134" s="33" t="s">
        <v>1755</v>
      </c>
      <c r="W134" s="33" t="s">
        <v>1755</v>
      </c>
      <c r="X134" s="33" t="s">
        <v>1755</v>
      </c>
      <c r="Y134" s="33" t="s">
        <v>1755</v>
      </c>
      <c r="Z134" s="33" t="s">
        <v>1755</v>
      </c>
      <c r="AA134" s="33" t="s">
        <v>1755</v>
      </c>
      <c r="AB134" s="33" t="s">
        <v>1755</v>
      </c>
      <c r="AC134" s="33" t="s">
        <v>1755</v>
      </c>
      <c r="AD134" s="33" t="s">
        <v>1755</v>
      </c>
      <c r="AE134" s="33" t="s">
        <v>1755</v>
      </c>
      <c r="AF134" s="33"/>
      <c r="AG134" s="33">
        <v>126</v>
      </c>
      <c r="AH134" s="33" t="s">
        <v>2273</v>
      </c>
      <c r="AI134" s="33" t="s">
        <v>1072</v>
      </c>
      <c r="AJ134" s="33" t="s">
        <v>804</v>
      </c>
      <c r="AK134" s="33" t="s">
        <v>1439</v>
      </c>
      <c r="AL134" s="33">
        <v>0</v>
      </c>
      <c r="AM134" s="33">
        <v>0</v>
      </c>
      <c r="AN134" s="33">
        <v>0</v>
      </c>
      <c r="AO134" s="33">
        <v>0</v>
      </c>
      <c r="AP134" s="33">
        <v>0</v>
      </c>
      <c r="AQ134" s="33">
        <v>0</v>
      </c>
      <c r="AR134" s="33">
        <v>0</v>
      </c>
      <c r="AS134" s="33">
        <v>0</v>
      </c>
      <c r="AT134" s="33">
        <v>0</v>
      </c>
      <c r="AU134" s="33">
        <v>0</v>
      </c>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t="str">
        <f t="shared" si="4"/>
        <v>Andy Dalton</v>
      </c>
      <c r="CT134" s="33">
        <v>132</v>
      </c>
      <c r="CU134" s="33" t="s">
        <v>2245</v>
      </c>
      <c r="CV134" s="33">
        <v>4</v>
      </c>
      <c r="CW134" s="33" t="s">
        <v>2246</v>
      </c>
      <c r="CX134" s="33">
        <v>1</v>
      </c>
      <c r="CY134" s="33"/>
      <c r="CZ134" s="33" t="str">
        <f t="shared" si="5"/>
        <v>Roy Helu</v>
      </c>
      <c r="DA134" s="33">
        <v>132</v>
      </c>
      <c r="DB134" s="33" t="s">
        <v>2255</v>
      </c>
      <c r="DC134" s="33">
        <v>10</v>
      </c>
      <c r="DD134" s="33" t="s">
        <v>2149</v>
      </c>
      <c r="DE134" s="33">
        <v>1</v>
      </c>
    </row>
    <row r="135" spans="1:109" ht="12.75" customHeight="1">
      <c r="A135" s="33"/>
      <c r="B135" s="33"/>
      <c r="C135" s="33"/>
      <c r="D135" s="33"/>
      <c r="E135" s="33"/>
      <c r="F135" s="33"/>
      <c r="G135" s="33"/>
      <c r="H135" s="33"/>
      <c r="I135" s="33"/>
      <c r="J135" s="33"/>
      <c r="K135" s="33"/>
      <c r="L135" s="33"/>
      <c r="M135" s="33"/>
      <c r="N135" s="33"/>
      <c r="O135" s="33"/>
      <c r="P135" s="33"/>
      <c r="Q135" s="33">
        <v>127</v>
      </c>
      <c r="R135" s="33" t="s">
        <v>2274</v>
      </c>
      <c r="S135" s="33" t="s">
        <v>1072</v>
      </c>
      <c r="T135" s="33" t="s">
        <v>804</v>
      </c>
      <c r="U135" s="33" t="s">
        <v>1754</v>
      </c>
      <c r="V135" s="33" t="s">
        <v>1755</v>
      </c>
      <c r="W135" s="33" t="s">
        <v>1755</v>
      </c>
      <c r="X135" s="33" t="s">
        <v>1755</v>
      </c>
      <c r="Y135" s="33" t="s">
        <v>1755</v>
      </c>
      <c r="Z135" s="33" t="s">
        <v>1755</v>
      </c>
      <c r="AA135" s="33" t="s">
        <v>1755</v>
      </c>
      <c r="AB135" s="33" t="s">
        <v>1755</v>
      </c>
      <c r="AC135" s="33" t="s">
        <v>1755</v>
      </c>
      <c r="AD135" s="33" t="s">
        <v>1755</v>
      </c>
      <c r="AE135" s="33" t="s">
        <v>1755</v>
      </c>
      <c r="AF135" s="33"/>
      <c r="AG135" s="33">
        <v>127</v>
      </c>
      <c r="AH135" s="33" t="s">
        <v>2275</v>
      </c>
      <c r="AI135" s="33" t="s">
        <v>1072</v>
      </c>
      <c r="AJ135" s="33" t="s">
        <v>804</v>
      </c>
      <c r="AK135" s="33" t="s">
        <v>1439</v>
      </c>
      <c r="AL135" s="33">
        <v>0</v>
      </c>
      <c r="AM135" s="33">
        <v>0</v>
      </c>
      <c r="AN135" s="33">
        <v>0</v>
      </c>
      <c r="AO135" s="33">
        <v>0</v>
      </c>
      <c r="AP135" s="33">
        <v>0</v>
      </c>
      <c r="AQ135" s="33">
        <v>0</v>
      </c>
      <c r="AR135" s="33">
        <v>0</v>
      </c>
      <c r="AS135" s="33">
        <v>0</v>
      </c>
      <c r="AT135" s="33">
        <v>0</v>
      </c>
      <c r="AU135" s="33">
        <v>0</v>
      </c>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t="str">
        <f t="shared" si="4"/>
        <v>Jarrett Boykin</v>
      </c>
      <c r="CT135" s="33">
        <v>133</v>
      </c>
      <c r="CU135" s="33" t="s">
        <v>2177</v>
      </c>
      <c r="CV135" s="33">
        <v>9</v>
      </c>
      <c r="CW135" s="33" t="s">
        <v>2178</v>
      </c>
      <c r="CX135" s="33">
        <v>1</v>
      </c>
      <c r="CY135" s="33"/>
      <c r="CZ135" s="33" t="str">
        <f t="shared" si="5"/>
        <v>Doug Baldwin</v>
      </c>
      <c r="DA135" s="33">
        <v>133</v>
      </c>
      <c r="DB135" s="33" t="s">
        <v>2276</v>
      </c>
      <c r="DC135" s="33">
        <v>4</v>
      </c>
      <c r="DD135" s="33" t="s">
        <v>2277</v>
      </c>
      <c r="DE135" s="33">
        <v>1</v>
      </c>
    </row>
    <row r="136" spans="1:109" ht="12.75" customHeight="1">
      <c r="A136" s="33"/>
      <c r="B136" s="33"/>
      <c r="C136" s="33"/>
      <c r="D136" s="33"/>
      <c r="E136" s="33"/>
      <c r="F136" s="33"/>
      <c r="G136" s="33"/>
      <c r="H136" s="33"/>
      <c r="I136" s="33"/>
      <c r="J136" s="33"/>
      <c r="K136" s="33"/>
      <c r="L136" s="33"/>
      <c r="M136" s="33"/>
      <c r="N136" s="33"/>
      <c r="O136" s="33"/>
      <c r="P136" s="33"/>
      <c r="Q136" s="33">
        <v>128</v>
      </c>
      <c r="R136" s="33" t="s">
        <v>2278</v>
      </c>
      <c r="S136" s="33" t="s">
        <v>1072</v>
      </c>
      <c r="T136" s="33" t="s">
        <v>804</v>
      </c>
      <c r="U136" s="33" t="s">
        <v>1754</v>
      </c>
      <c r="V136" s="33" t="s">
        <v>1755</v>
      </c>
      <c r="W136" s="33" t="s">
        <v>1755</v>
      </c>
      <c r="X136" s="33" t="s">
        <v>1755</v>
      </c>
      <c r="Y136" s="33" t="s">
        <v>1755</v>
      </c>
      <c r="Z136" s="33" t="s">
        <v>1755</v>
      </c>
      <c r="AA136" s="33" t="s">
        <v>1755</v>
      </c>
      <c r="AB136" s="33" t="s">
        <v>1755</v>
      </c>
      <c r="AC136" s="33" t="s">
        <v>1755</v>
      </c>
      <c r="AD136" s="33" t="s">
        <v>1755</v>
      </c>
      <c r="AE136" s="33" t="s">
        <v>1755</v>
      </c>
      <c r="AF136" s="33"/>
      <c r="AG136" s="33">
        <v>128</v>
      </c>
      <c r="AH136" s="33" t="s">
        <v>2279</v>
      </c>
      <c r="AI136" s="33" t="s">
        <v>1072</v>
      </c>
      <c r="AJ136" s="33" t="s">
        <v>804</v>
      </c>
      <c r="AK136" s="33" t="s">
        <v>1439</v>
      </c>
      <c r="AL136" s="33">
        <v>0</v>
      </c>
      <c r="AM136" s="33">
        <v>0</v>
      </c>
      <c r="AN136" s="33">
        <v>0</v>
      </c>
      <c r="AO136" s="33">
        <v>0</v>
      </c>
      <c r="AP136" s="33">
        <v>0</v>
      </c>
      <c r="AQ136" s="33">
        <v>0</v>
      </c>
      <c r="AR136" s="33">
        <v>0</v>
      </c>
      <c r="AS136" s="33">
        <v>0</v>
      </c>
      <c r="AT136" s="33">
        <v>0</v>
      </c>
      <c r="AU136" s="33">
        <v>0</v>
      </c>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t="str">
        <f t="shared" si="4"/>
        <v>Devonta Freeman</v>
      </c>
      <c r="CT136" s="33">
        <v>134</v>
      </c>
      <c r="CU136" s="33" t="s">
        <v>2280</v>
      </c>
      <c r="CV136" s="33">
        <v>9</v>
      </c>
      <c r="CW136" s="33" t="s">
        <v>2281</v>
      </c>
      <c r="CX136" s="33">
        <v>1</v>
      </c>
      <c r="CY136" s="33"/>
      <c r="CZ136" s="33" t="str">
        <f t="shared" si="5"/>
        <v>Zach Ertz</v>
      </c>
      <c r="DA136" s="33">
        <v>134</v>
      </c>
      <c r="DB136" s="33" t="s">
        <v>2282</v>
      </c>
      <c r="DC136" s="33">
        <v>7</v>
      </c>
      <c r="DD136" s="33" t="s">
        <v>2283</v>
      </c>
      <c r="DE136" s="33">
        <v>1</v>
      </c>
    </row>
    <row r="137" spans="1:109" ht="12.75" customHeight="1">
      <c r="A137" s="33"/>
      <c r="B137" s="33"/>
      <c r="C137" s="33"/>
      <c r="D137" s="33"/>
      <c r="E137" s="33"/>
      <c r="F137" s="33"/>
      <c r="G137" s="33"/>
      <c r="H137" s="33"/>
      <c r="I137" s="33"/>
      <c r="J137" s="33"/>
      <c r="K137" s="33"/>
      <c r="L137" s="33"/>
      <c r="M137" s="33"/>
      <c r="N137" s="33"/>
      <c r="O137" s="33"/>
      <c r="P137" s="33"/>
      <c r="Q137" s="33">
        <v>129</v>
      </c>
      <c r="R137" s="33" t="s">
        <v>2284</v>
      </c>
      <c r="S137" s="33" t="s">
        <v>1072</v>
      </c>
      <c r="T137" s="33" t="s">
        <v>804</v>
      </c>
      <c r="U137" s="33" t="s">
        <v>1754</v>
      </c>
      <c r="V137" s="33" t="s">
        <v>1755</v>
      </c>
      <c r="W137" s="33" t="s">
        <v>1755</v>
      </c>
      <c r="X137" s="33" t="s">
        <v>1755</v>
      </c>
      <c r="Y137" s="33" t="s">
        <v>1755</v>
      </c>
      <c r="Z137" s="33" t="s">
        <v>1755</v>
      </c>
      <c r="AA137" s="33" t="s">
        <v>1755</v>
      </c>
      <c r="AB137" s="33" t="s">
        <v>1755</v>
      </c>
      <c r="AC137" s="33" t="s">
        <v>1755</v>
      </c>
      <c r="AD137" s="33" t="s">
        <v>1755</v>
      </c>
      <c r="AE137" s="33" t="s">
        <v>1755</v>
      </c>
      <c r="AF137" s="33"/>
      <c r="AG137" s="33">
        <v>129</v>
      </c>
      <c r="AH137" s="33" t="s">
        <v>2285</v>
      </c>
      <c r="AI137" s="33" t="s">
        <v>1072</v>
      </c>
      <c r="AJ137" s="33" t="s">
        <v>804</v>
      </c>
      <c r="AK137" s="33" t="s">
        <v>1439</v>
      </c>
      <c r="AL137" s="33">
        <v>0</v>
      </c>
      <c r="AM137" s="33">
        <v>0</v>
      </c>
      <c r="AN137" s="33">
        <v>0</v>
      </c>
      <c r="AO137" s="33">
        <v>0</v>
      </c>
      <c r="AP137" s="33">
        <v>0</v>
      </c>
      <c r="AQ137" s="33">
        <v>0</v>
      </c>
      <c r="AR137" s="33">
        <v>0</v>
      </c>
      <c r="AS137" s="33">
        <v>0</v>
      </c>
      <c r="AT137" s="33">
        <v>0</v>
      </c>
      <c r="AU137" s="33">
        <v>0</v>
      </c>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t="str">
        <f t="shared" si="4"/>
        <v>Eli Manning</v>
      </c>
      <c r="CT137" s="33">
        <v>135</v>
      </c>
      <c r="CU137" s="33" t="s">
        <v>2286</v>
      </c>
      <c r="CV137" s="33">
        <v>8</v>
      </c>
      <c r="CW137" s="33" t="s">
        <v>2287</v>
      </c>
      <c r="CX137" s="33">
        <v>1</v>
      </c>
      <c r="CY137" s="33"/>
      <c r="CZ137" s="33" t="str">
        <f t="shared" si="5"/>
        <v>Eli Manning</v>
      </c>
      <c r="DA137" s="33">
        <v>135</v>
      </c>
      <c r="DB137" s="33" t="s">
        <v>2286</v>
      </c>
      <c r="DC137" s="33">
        <v>8</v>
      </c>
      <c r="DD137" s="33" t="s">
        <v>2287</v>
      </c>
      <c r="DE137" s="33">
        <v>1</v>
      </c>
    </row>
    <row r="138" spans="1:109" ht="12.75" customHeight="1">
      <c r="A138" s="33"/>
      <c r="B138" s="33"/>
      <c r="C138" s="33"/>
      <c r="D138" s="33"/>
      <c r="E138" s="33"/>
      <c r="F138" s="33"/>
      <c r="G138" s="33"/>
      <c r="H138" s="33"/>
      <c r="I138" s="33"/>
      <c r="J138" s="33"/>
      <c r="K138" s="33"/>
      <c r="L138" s="33"/>
      <c r="M138" s="33"/>
      <c r="N138" s="33"/>
      <c r="O138" s="33"/>
      <c r="P138" s="33"/>
      <c r="Q138" s="33">
        <v>130</v>
      </c>
      <c r="R138" s="33" t="s">
        <v>2288</v>
      </c>
      <c r="S138" s="33" t="s">
        <v>1072</v>
      </c>
      <c r="T138" s="33" t="s">
        <v>804</v>
      </c>
      <c r="U138" s="33" t="s">
        <v>1754</v>
      </c>
      <c r="V138" s="33" t="s">
        <v>1755</v>
      </c>
      <c r="W138" s="33" t="s">
        <v>1755</v>
      </c>
      <c r="X138" s="33" t="s">
        <v>1755</v>
      </c>
      <c r="Y138" s="33" t="s">
        <v>1755</v>
      </c>
      <c r="Z138" s="33" t="s">
        <v>1755</v>
      </c>
      <c r="AA138" s="33" t="s">
        <v>1755</v>
      </c>
      <c r="AB138" s="33" t="s">
        <v>1755</v>
      </c>
      <c r="AC138" s="33" t="s">
        <v>1755</v>
      </c>
      <c r="AD138" s="33" t="s">
        <v>1755</v>
      </c>
      <c r="AE138" s="33" t="s">
        <v>1755</v>
      </c>
      <c r="AF138" s="33"/>
      <c r="AG138" s="33">
        <v>130</v>
      </c>
      <c r="AH138" s="33" t="s">
        <v>2289</v>
      </c>
      <c r="AI138" s="33" t="s">
        <v>1072</v>
      </c>
      <c r="AJ138" s="33" t="s">
        <v>804</v>
      </c>
      <c r="AK138" s="33" t="s">
        <v>1439</v>
      </c>
      <c r="AL138" s="33">
        <v>0</v>
      </c>
      <c r="AM138" s="33">
        <v>0</v>
      </c>
      <c r="AN138" s="33">
        <v>0</v>
      </c>
      <c r="AO138" s="33">
        <v>0</v>
      </c>
      <c r="AP138" s="33">
        <v>0</v>
      </c>
      <c r="AQ138" s="33">
        <v>0</v>
      </c>
      <c r="AR138" s="33">
        <v>0</v>
      </c>
      <c r="AS138" s="33">
        <v>0</v>
      </c>
      <c r="AT138" s="33">
        <v>0</v>
      </c>
      <c r="AU138" s="33">
        <v>0</v>
      </c>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t="str">
        <f t="shared" si="4"/>
        <v>Brandin Cooks</v>
      </c>
      <c r="CT138" s="33">
        <v>136</v>
      </c>
      <c r="CU138" s="33" t="s">
        <v>2251</v>
      </c>
      <c r="CV138" s="33">
        <v>6</v>
      </c>
      <c r="CW138" s="33" t="s">
        <v>2203</v>
      </c>
      <c r="CX138" s="33">
        <v>1</v>
      </c>
      <c r="CY138" s="33"/>
      <c r="CZ138" s="33" t="str">
        <f t="shared" si="5"/>
        <v>Steve Johnson</v>
      </c>
      <c r="DA138" s="33">
        <v>136</v>
      </c>
      <c r="DB138" s="33" t="s">
        <v>2290</v>
      </c>
      <c r="DC138" s="33">
        <v>8</v>
      </c>
      <c r="DD138" s="33" t="s">
        <v>2291</v>
      </c>
      <c r="DE138" s="33">
        <v>1</v>
      </c>
    </row>
    <row r="139" spans="1:109" ht="12.75" customHeight="1">
      <c r="A139" s="33"/>
      <c r="B139" s="33"/>
      <c r="C139" s="33"/>
      <c r="D139" s="33"/>
      <c r="E139" s="33"/>
      <c r="F139" s="33"/>
      <c r="G139" s="33"/>
      <c r="H139" s="33"/>
      <c r="I139" s="33"/>
      <c r="J139" s="33"/>
      <c r="K139" s="33"/>
      <c r="L139" s="33"/>
      <c r="M139" s="33"/>
      <c r="N139" s="33"/>
      <c r="O139" s="33"/>
      <c r="P139" s="33"/>
      <c r="Q139" s="33">
        <v>131</v>
      </c>
      <c r="R139" s="33" t="s">
        <v>2292</v>
      </c>
      <c r="S139" s="33" t="s">
        <v>1072</v>
      </c>
      <c r="T139" s="33" t="s">
        <v>804</v>
      </c>
      <c r="U139" s="33" t="s">
        <v>1754</v>
      </c>
      <c r="V139" s="33" t="s">
        <v>1755</v>
      </c>
      <c r="W139" s="33" t="s">
        <v>1755</v>
      </c>
      <c r="X139" s="33" t="s">
        <v>1755</v>
      </c>
      <c r="Y139" s="33" t="s">
        <v>1755</v>
      </c>
      <c r="Z139" s="33" t="s">
        <v>1755</v>
      </c>
      <c r="AA139" s="33" t="s">
        <v>1755</v>
      </c>
      <c r="AB139" s="33" t="s">
        <v>1755</v>
      </c>
      <c r="AC139" s="33" t="s">
        <v>1755</v>
      </c>
      <c r="AD139" s="33" t="s">
        <v>1755</v>
      </c>
      <c r="AE139" s="33" t="s">
        <v>1755</v>
      </c>
      <c r="AF139" s="33"/>
      <c r="AG139" s="33">
        <v>131</v>
      </c>
      <c r="AH139" s="33" t="s">
        <v>2293</v>
      </c>
      <c r="AI139" s="33" t="s">
        <v>1072</v>
      </c>
      <c r="AJ139" s="33" t="s">
        <v>804</v>
      </c>
      <c r="AK139" s="33" t="s">
        <v>1439</v>
      </c>
      <c r="AL139" s="33">
        <v>0</v>
      </c>
      <c r="AM139" s="33">
        <v>0</v>
      </c>
      <c r="AN139" s="33">
        <v>0</v>
      </c>
      <c r="AO139" s="33">
        <v>0</v>
      </c>
      <c r="AP139" s="33">
        <v>0</v>
      </c>
      <c r="AQ139" s="33">
        <v>0</v>
      </c>
      <c r="AR139" s="33">
        <v>0</v>
      </c>
      <c r="AS139" s="33">
        <v>0</v>
      </c>
      <c r="AT139" s="33">
        <v>0</v>
      </c>
      <c r="AU139" s="33">
        <v>0</v>
      </c>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t="str">
        <f t="shared" si="4"/>
        <v>Carolina Panthers</v>
      </c>
      <c r="CT139" s="33">
        <v>137</v>
      </c>
      <c r="CU139" s="33" t="s">
        <v>2294</v>
      </c>
      <c r="CV139" s="33">
        <v>12</v>
      </c>
      <c r="CW139" s="33" t="s">
        <v>2295</v>
      </c>
      <c r="CX139" s="33">
        <v>1</v>
      </c>
      <c r="CY139" s="33"/>
      <c r="CZ139" s="33" t="str">
        <f t="shared" si="5"/>
        <v>Jerricho Cotchery</v>
      </c>
      <c r="DA139" s="33">
        <v>137</v>
      </c>
      <c r="DB139" s="33" t="s">
        <v>2296</v>
      </c>
      <c r="DC139" s="33">
        <v>12</v>
      </c>
      <c r="DD139" s="33" t="s">
        <v>2297</v>
      </c>
      <c r="DE139" s="33">
        <v>1</v>
      </c>
    </row>
    <row r="140" spans="1:109" ht="12.75" customHeight="1">
      <c r="A140" s="33"/>
      <c r="B140" s="33"/>
      <c r="C140" s="33"/>
      <c r="D140" s="33"/>
      <c r="E140" s="33"/>
      <c r="F140" s="33"/>
      <c r="G140" s="33"/>
      <c r="H140" s="33"/>
      <c r="I140" s="33"/>
      <c r="J140" s="33"/>
      <c r="K140" s="33"/>
      <c r="L140" s="33"/>
      <c r="M140" s="33"/>
      <c r="N140" s="33"/>
      <c r="O140" s="33"/>
      <c r="P140" s="33"/>
      <c r="Q140" s="33">
        <v>132</v>
      </c>
      <c r="R140" s="33" t="s">
        <v>2298</v>
      </c>
      <c r="S140" s="33" t="s">
        <v>1072</v>
      </c>
      <c r="T140" s="33" t="s">
        <v>804</v>
      </c>
      <c r="U140" s="33" t="s">
        <v>1754</v>
      </c>
      <c r="V140" s="33" t="s">
        <v>1755</v>
      </c>
      <c r="W140" s="33" t="s">
        <v>1755</v>
      </c>
      <c r="X140" s="33" t="s">
        <v>1755</v>
      </c>
      <c r="Y140" s="33" t="s">
        <v>1755</v>
      </c>
      <c r="Z140" s="33" t="s">
        <v>1755</v>
      </c>
      <c r="AA140" s="33" t="s">
        <v>1755</v>
      </c>
      <c r="AB140" s="33" t="s">
        <v>1755</v>
      </c>
      <c r="AC140" s="33" t="s">
        <v>1755</v>
      </c>
      <c r="AD140" s="33" t="s">
        <v>1755</v>
      </c>
      <c r="AE140" s="33" t="s">
        <v>1755</v>
      </c>
      <c r="AF140" s="33"/>
      <c r="AG140" s="33">
        <v>132</v>
      </c>
      <c r="AH140" s="33" t="s">
        <v>2299</v>
      </c>
      <c r="AI140" s="33" t="s">
        <v>1072</v>
      </c>
      <c r="AJ140" s="33" t="s">
        <v>804</v>
      </c>
      <c r="AK140" s="33" t="s">
        <v>1439</v>
      </c>
      <c r="AL140" s="33">
        <v>0</v>
      </c>
      <c r="AM140" s="33">
        <v>0</v>
      </c>
      <c r="AN140" s="33">
        <v>0</v>
      </c>
      <c r="AO140" s="33">
        <v>0</v>
      </c>
      <c r="AP140" s="33">
        <v>0</v>
      </c>
      <c r="AQ140" s="33">
        <v>0</v>
      </c>
      <c r="AR140" s="33">
        <v>0</v>
      </c>
      <c r="AS140" s="33">
        <v>0</v>
      </c>
      <c r="AT140" s="33">
        <v>0</v>
      </c>
      <c r="AU140" s="33">
        <v>0</v>
      </c>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t="str">
        <f t="shared" si="4"/>
        <v>Kyle Rudolph</v>
      </c>
      <c r="CT140" s="33">
        <v>138</v>
      </c>
      <c r="CU140" s="33" t="s">
        <v>2192</v>
      </c>
      <c r="CV140" s="33">
        <v>10</v>
      </c>
      <c r="CW140" s="33" t="s">
        <v>2166</v>
      </c>
      <c r="CX140" s="33">
        <v>1</v>
      </c>
      <c r="CY140" s="33"/>
      <c r="CZ140" s="33" t="str">
        <f t="shared" si="5"/>
        <v>Shonn Greene</v>
      </c>
      <c r="DA140" s="33">
        <v>138</v>
      </c>
      <c r="DB140" s="33" t="s">
        <v>2121</v>
      </c>
      <c r="DC140" s="33">
        <v>9</v>
      </c>
      <c r="DD140" s="33" t="s">
        <v>2154</v>
      </c>
      <c r="DE140" s="33">
        <v>1</v>
      </c>
    </row>
    <row r="141" spans="1:109" ht="12.75" customHeight="1">
      <c r="A141" s="33"/>
      <c r="B141" s="33"/>
      <c r="C141" s="33"/>
      <c r="D141" s="33"/>
      <c r="E141" s="33"/>
      <c r="F141" s="33"/>
      <c r="G141" s="33"/>
      <c r="H141" s="33"/>
      <c r="I141" s="33"/>
      <c r="J141" s="33"/>
      <c r="K141" s="33"/>
      <c r="L141" s="33"/>
      <c r="M141" s="33"/>
      <c r="N141" s="33"/>
      <c r="O141" s="33"/>
      <c r="P141" s="33"/>
      <c r="Q141" s="33">
        <v>133</v>
      </c>
      <c r="R141" s="33" t="s">
        <v>2300</v>
      </c>
      <c r="S141" s="33" t="s">
        <v>1072</v>
      </c>
      <c r="T141" s="33" t="s">
        <v>804</v>
      </c>
      <c r="U141" s="33" t="s">
        <v>1754</v>
      </c>
      <c r="V141" s="33" t="s">
        <v>1755</v>
      </c>
      <c r="W141" s="33" t="s">
        <v>1755</v>
      </c>
      <c r="X141" s="33" t="s">
        <v>1755</v>
      </c>
      <c r="Y141" s="33" t="s">
        <v>1755</v>
      </c>
      <c r="Z141" s="33" t="s">
        <v>1755</v>
      </c>
      <c r="AA141" s="33" t="s">
        <v>1755</v>
      </c>
      <c r="AB141" s="33" t="s">
        <v>1755</v>
      </c>
      <c r="AC141" s="33" t="s">
        <v>1755</v>
      </c>
      <c r="AD141" s="33" t="s">
        <v>1755</v>
      </c>
      <c r="AE141" s="33" t="s">
        <v>1755</v>
      </c>
      <c r="AF141" s="33"/>
      <c r="AG141" s="33">
        <v>133</v>
      </c>
      <c r="AH141" s="33" t="s">
        <v>2301</v>
      </c>
      <c r="AI141" s="33" t="s">
        <v>1072</v>
      </c>
      <c r="AJ141" s="33" t="s">
        <v>804</v>
      </c>
      <c r="AK141" s="33" t="s">
        <v>1439</v>
      </c>
      <c r="AL141" s="33">
        <v>0</v>
      </c>
      <c r="AM141" s="33">
        <v>0</v>
      </c>
      <c r="AN141" s="33">
        <v>0</v>
      </c>
      <c r="AO141" s="33">
        <v>0</v>
      </c>
      <c r="AP141" s="33">
        <v>0</v>
      </c>
      <c r="AQ141" s="33">
        <v>0</v>
      </c>
      <c r="AR141" s="33">
        <v>0</v>
      </c>
      <c r="AS141" s="33">
        <v>0</v>
      </c>
      <c r="AT141" s="33">
        <v>0</v>
      </c>
      <c r="AU141" s="33">
        <v>0</v>
      </c>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t="str">
        <f t="shared" si="4"/>
        <v>Markus Wheaton</v>
      </c>
      <c r="CT141" s="33">
        <v>139</v>
      </c>
      <c r="CU141" s="33" t="s">
        <v>2170</v>
      </c>
      <c r="CV141" s="33">
        <v>12</v>
      </c>
      <c r="CW141" s="33" t="s">
        <v>2230</v>
      </c>
      <c r="CX141" s="33">
        <v>1</v>
      </c>
      <c r="CY141" s="33"/>
      <c r="CZ141" s="33" t="str">
        <f t="shared" si="5"/>
        <v>Brandon LaFell</v>
      </c>
      <c r="DA141" s="33">
        <v>139</v>
      </c>
      <c r="DB141" s="33" t="s">
        <v>2302</v>
      </c>
      <c r="DC141" s="33">
        <v>10</v>
      </c>
      <c r="DD141" s="33" t="s">
        <v>2303</v>
      </c>
      <c r="DE141" s="33">
        <v>1</v>
      </c>
    </row>
    <row r="142" spans="1:109" ht="12.75" customHeight="1">
      <c r="A142" s="33"/>
      <c r="B142" s="33"/>
      <c r="C142" s="33"/>
      <c r="D142" s="33"/>
      <c r="E142" s="33"/>
      <c r="F142" s="33"/>
      <c r="G142" s="33"/>
      <c r="H142" s="33"/>
      <c r="I142" s="33"/>
      <c r="J142" s="33"/>
      <c r="K142" s="33"/>
      <c r="L142" s="33"/>
      <c r="M142" s="33"/>
      <c r="N142" s="33"/>
      <c r="O142" s="33"/>
      <c r="P142" s="33"/>
      <c r="Q142" s="33">
        <v>134</v>
      </c>
      <c r="R142" s="33" t="s">
        <v>2304</v>
      </c>
      <c r="S142" s="33" t="s">
        <v>1072</v>
      </c>
      <c r="T142" s="33" t="s">
        <v>804</v>
      </c>
      <c r="U142" s="33" t="s">
        <v>1754</v>
      </c>
      <c r="V142" s="33" t="s">
        <v>1755</v>
      </c>
      <c r="W142" s="33" t="s">
        <v>1755</v>
      </c>
      <c r="X142" s="33" t="s">
        <v>1755</v>
      </c>
      <c r="Y142" s="33" t="s">
        <v>1755</v>
      </c>
      <c r="Z142" s="33" t="s">
        <v>1755</v>
      </c>
      <c r="AA142" s="33" t="s">
        <v>1755</v>
      </c>
      <c r="AB142" s="33" t="s">
        <v>1755</v>
      </c>
      <c r="AC142" s="33" t="s">
        <v>1755</v>
      </c>
      <c r="AD142" s="33" t="s">
        <v>1755</v>
      </c>
      <c r="AE142" s="33" t="s">
        <v>1755</v>
      </c>
      <c r="AF142" s="33"/>
      <c r="AG142" s="33">
        <v>134</v>
      </c>
      <c r="AH142" s="33" t="s">
        <v>2305</v>
      </c>
      <c r="AI142" s="33" t="s">
        <v>1072</v>
      </c>
      <c r="AJ142" s="33" t="s">
        <v>804</v>
      </c>
      <c r="AK142" s="33" t="s">
        <v>1439</v>
      </c>
      <c r="AL142" s="33">
        <v>0</v>
      </c>
      <c r="AM142" s="33">
        <v>0</v>
      </c>
      <c r="AN142" s="33">
        <v>0</v>
      </c>
      <c r="AO142" s="33">
        <v>0</v>
      </c>
      <c r="AP142" s="33">
        <v>0</v>
      </c>
      <c r="AQ142" s="33">
        <v>0</v>
      </c>
      <c r="AR142" s="33">
        <v>0</v>
      </c>
      <c r="AS142" s="33">
        <v>0</v>
      </c>
      <c r="AT142" s="33">
        <v>0</v>
      </c>
      <c r="AU142" s="33">
        <v>0</v>
      </c>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t="str">
        <f t="shared" si="4"/>
        <v>San Francisco 49ers</v>
      </c>
      <c r="CT142" s="33">
        <v>140</v>
      </c>
      <c r="CU142" s="33" t="s">
        <v>2212</v>
      </c>
      <c r="CV142" s="33">
        <v>8</v>
      </c>
      <c r="CW142" s="33" t="s">
        <v>2213</v>
      </c>
      <c r="CX142" s="33">
        <v>1</v>
      </c>
      <c r="CY142" s="33"/>
      <c r="CZ142" s="33" t="str">
        <f t="shared" si="5"/>
        <v>Arizona Cardinals</v>
      </c>
      <c r="DA142" s="33">
        <v>140</v>
      </c>
      <c r="DB142" s="33" t="s">
        <v>2306</v>
      </c>
      <c r="DC142" s="33">
        <v>4</v>
      </c>
      <c r="DD142" s="33" t="s">
        <v>2307</v>
      </c>
      <c r="DE142" s="33">
        <v>1</v>
      </c>
    </row>
    <row r="143" spans="1:109" ht="12.75" customHeight="1">
      <c r="A143" s="33"/>
      <c r="B143" s="33"/>
      <c r="C143" s="33"/>
      <c r="D143" s="33"/>
      <c r="E143" s="33"/>
      <c r="F143" s="33"/>
      <c r="G143" s="33"/>
      <c r="H143" s="33"/>
      <c r="I143" s="33"/>
      <c r="J143" s="33"/>
      <c r="K143" s="33"/>
      <c r="L143" s="33"/>
      <c r="M143" s="33"/>
      <c r="N143" s="33"/>
      <c r="O143" s="33"/>
      <c r="P143" s="33"/>
      <c r="Q143" s="33">
        <v>135</v>
      </c>
      <c r="R143" s="33" t="s">
        <v>2308</v>
      </c>
      <c r="S143" s="33" t="s">
        <v>1072</v>
      </c>
      <c r="T143" s="33" t="s">
        <v>804</v>
      </c>
      <c r="U143" s="33" t="s">
        <v>1754</v>
      </c>
      <c r="V143" s="33" t="s">
        <v>1755</v>
      </c>
      <c r="W143" s="33" t="s">
        <v>1755</v>
      </c>
      <c r="X143" s="33" t="s">
        <v>1755</v>
      </c>
      <c r="Y143" s="33" t="s">
        <v>1755</v>
      </c>
      <c r="Z143" s="33" t="s">
        <v>1755</v>
      </c>
      <c r="AA143" s="33" t="s">
        <v>1755</v>
      </c>
      <c r="AB143" s="33" t="s">
        <v>1755</v>
      </c>
      <c r="AC143" s="33" t="s">
        <v>1755</v>
      </c>
      <c r="AD143" s="33" t="s">
        <v>1755</v>
      </c>
      <c r="AE143" s="33" t="s">
        <v>1755</v>
      </c>
      <c r="AF143" s="33"/>
      <c r="AG143" s="33">
        <v>135</v>
      </c>
      <c r="AH143" s="33" t="s">
        <v>2309</v>
      </c>
      <c r="AI143" s="33" t="s">
        <v>1072</v>
      </c>
      <c r="AJ143" s="33" t="s">
        <v>804</v>
      </c>
      <c r="AK143" s="33" t="s">
        <v>1439</v>
      </c>
      <c r="AL143" s="33">
        <v>0</v>
      </c>
      <c r="AM143" s="33">
        <v>0</v>
      </c>
      <c r="AN143" s="33">
        <v>0</v>
      </c>
      <c r="AO143" s="33">
        <v>0</v>
      </c>
      <c r="AP143" s="33">
        <v>0</v>
      </c>
      <c r="AQ143" s="33">
        <v>0</v>
      </c>
      <c r="AR143" s="33">
        <v>0</v>
      </c>
      <c r="AS143" s="33">
        <v>0</v>
      </c>
      <c r="AT143" s="33">
        <v>0</v>
      </c>
      <c r="AU143" s="33">
        <v>0</v>
      </c>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t="str">
        <f t="shared" si="4"/>
        <v>Denver Broncos</v>
      </c>
      <c r="CT143" s="33">
        <v>141</v>
      </c>
      <c r="CU143" s="33" t="s">
        <v>2234</v>
      </c>
      <c r="CV143" s="33">
        <v>4</v>
      </c>
      <c r="CW143" s="33" t="s">
        <v>2235</v>
      </c>
      <c r="CX143" s="33">
        <v>1</v>
      </c>
      <c r="CY143" s="33"/>
      <c r="CZ143" s="33" t="str">
        <f t="shared" si="5"/>
        <v>Donald Brown</v>
      </c>
      <c r="DA143" s="33">
        <v>141</v>
      </c>
      <c r="DB143" s="33" t="s">
        <v>2160</v>
      </c>
      <c r="DC143" s="33">
        <v>10</v>
      </c>
      <c r="DD143" s="33" t="s">
        <v>2161</v>
      </c>
      <c r="DE143" s="33">
        <v>1</v>
      </c>
    </row>
    <row r="144" spans="1:109" ht="12.75" customHeight="1">
      <c r="A144" s="33"/>
      <c r="B144" s="33"/>
      <c r="C144" s="33"/>
      <c r="D144" s="33"/>
      <c r="E144" s="33"/>
      <c r="F144" s="33"/>
      <c r="G144" s="33"/>
      <c r="H144" s="33"/>
      <c r="I144" s="33"/>
      <c r="J144" s="33"/>
      <c r="K144" s="33"/>
      <c r="L144" s="33"/>
      <c r="M144" s="33"/>
      <c r="N144" s="33"/>
      <c r="O144" s="33"/>
      <c r="P144" s="33"/>
      <c r="Q144" s="33">
        <v>136</v>
      </c>
      <c r="R144" s="33" t="s">
        <v>2310</v>
      </c>
      <c r="S144" s="33" t="s">
        <v>1072</v>
      </c>
      <c r="T144" s="33" t="s">
        <v>804</v>
      </c>
      <c r="U144" s="33" t="s">
        <v>1754</v>
      </c>
      <c r="V144" s="33" t="s">
        <v>1755</v>
      </c>
      <c r="W144" s="33" t="s">
        <v>1755</v>
      </c>
      <c r="X144" s="33" t="s">
        <v>1755</v>
      </c>
      <c r="Y144" s="33" t="s">
        <v>1755</v>
      </c>
      <c r="Z144" s="33" t="s">
        <v>1755</v>
      </c>
      <c r="AA144" s="33" t="s">
        <v>1755</v>
      </c>
      <c r="AB144" s="33" t="s">
        <v>1755</v>
      </c>
      <c r="AC144" s="33" t="s">
        <v>1755</v>
      </c>
      <c r="AD144" s="33" t="s">
        <v>1755</v>
      </c>
      <c r="AE144" s="33" t="s">
        <v>1755</v>
      </c>
      <c r="AF144" s="33"/>
      <c r="AG144" s="33">
        <v>136</v>
      </c>
      <c r="AH144" s="33" t="s">
        <v>2311</v>
      </c>
      <c r="AI144" s="33" t="s">
        <v>1072</v>
      </c>
      <c r="AJ144" s="33" t="s">
        <v>804</v>
      </c>
      <c r="AK144" s="33" t="s">
        <v>1439</v>
      </c>
      <c r="AL144" s="33">
        <v>0</v>
      </c>
      <c r="AM144" s="33">
        <v>0</v>
      </c>
      <c r="AN144" s="33">
        <v>0</v>
      </c>
      <c r="AO144" s="33">
        <v>0</v>
      </c>
      <c r="AP144" s="33">
        <v>0</v>
      </c>
      <c r="AQ144" s="33">
        <v>0</v>
      </c>
      <c r="AR144" s="33">
        <v>0</v>
      </c>
      <c r="AS144" s="33">
        <v>0</v>
      </c>
      <c r="AT144" s="33">
        <v>0</v>
      </c>
      <c r="AU144" s="33">
        <v>0</v>
      </c>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t="str">
        <f t="shared" si="4"/>
        <v>Arizona Cardinals</v>
      </c>
      <c r="CT144" s="33">
        <v>142</v>
      </c>
      <c r="CU144" s="33" t="s">
        <v>2306</v>
      </c>
      <c r="CV144" s="33">
        <v>4</v>
      </c>
      <c r="CW144" s="33" t="s">
        <v>2307</v>
      </c>
      <c r="CX144" s="33">
        <v>1</v>
      </c>
      <c r="CY144" s="33"/>
      <c r="CZ144" s="33" t="str">
        <f t="shared" si="5"/>
        <v>Mike Williams</v>
      </c>
      <c r="DA144" s="33">
        <v>142</v>
      </c>
      <c r="DB144" s="33" t="s">
        <v>2312</v>
      </c>
      <c r="DC144" s="33">
        <v>9</v>
      </c>
      <c r="DD144" s="33" t="s">
        <v>2313</v>
      </c>
      <c r="DE144" s="33">
        <v>1</v>
      </c>
    </row>
    <row r="145" spans="1:109" ht="12.75" customHeight="1">
      <c r="A145" s="33"/>
      <c r="B145" s="33"/>
      <c r="C145" s="33"/>
      <c r="D145" s="33"/>
      <c r="E145" s="33"/>
      <c r="F145" s="33"/>
      <c r="G145" s="33"/>
      <c r="H145" s="33"/>
      <c r="I145" s="33"/>
      <c r="J145" s="33"/>
      <c r="K145" s="33"/>
      <c r="L145" s="33"/>
      <c r="M145" s="33"/>
      <c r="N145" s="33"/>
      <c r="O145" s="33"/>
      <c r="P145" s="33"/>
      <c r="Q145" s="33">
        <v>137</v>
      </c>
      <c r="R145" s="33" t="s">
        <v>2314</v>
      </c>
      <c r="S145" s="33" t="s">
        <v>1072</v>
      </c>
      <c r="T145" s="33" t="s">
        <v>804</v>
      </c>
      <c r="U145" s="33" t="s">
        <v>1754</v>
      </c>
      <c r="V145" s="33" t="s">
        <v>1755</v>
      </c>
      <c r="W145" s="33" t="s">
        <v>1755</v>
      </c>
      <c r="X145" s="33" t="s">
        <v>1755</v>
      </c>
      <c r="Y145" s="33" t="s">
        <v>1755</v>
      </c>
      <c r="Z145" s="33" t="s">
        <v>1755</v>
      </c>
      <c r="AA145" s="33" t="s">
        <v>1755</v>
      </c>
      <c r="AB145" s="33" t="s">
        <v>1755</v>
      </c>
      <c r="AC145" s="33" t="s">
        <v>1755</v>
      </c>
      <c r="AD145" s="33" t="s">
        <v>1755</v>
      </c>
      <c r="AE145" s="33" t="s">
        <v>1755</v>
      </c>
      <c r="AF145" s="33"/>
      <c r="AG145" s="33">
        <v>137</v>
      </c>
      <c r="AH145" s="33" t="s">
        <v>2315</v>
      </c>
      <c r="AI145" s="33" t="s">
        <v>1072</v>
      </c>
      <c r="AJ145" s="33" t="s">
        <v>804</v>
      </c>
      <c r="AK145" s="33" t="s">
        <v>1439</v>
      </c>
      <c r="AL145" s="33">
        <v>0</v>
      </c>
      <c r="AM145" s="33">
        <v>0</v>
      </c>
      <c r="AN145" s="33">
        <v>0</v>
      </c>
      <c r="AO145" s="33">
        <v>0</v>
      </c>
      <c r="AP145" s="33">
        <v>0</v>
      </c>
      <c r="AQ145" s="33">
        <v>0</v>
      </c>
      <c r="AR145" s="33">
        <v>0</v>
      </c>
      <c r="AS145" s="33">
        <v>0</v>
      </c>
      <c r="AT145" s="33">
        <v>0</v>
      </c>
      <c r="AU145" s="33">
        <v>0</v>
      </c>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t="str">
        <f t="shared" si="4"/>
        <v>Cincinnati Bengals</v>
      </c>
      <c r="CT145" s="33">
        <v>143</v>
      </c>
      <c r="CU145" s="33" t="s">
        <v>2316</v>
      </c>
      <c r="CV145" s="33">
        <v>4</v>
      </c>
      <c r="CW145" s="33" t="s">
        <v>2317</v>
      </c>
      <c r="CX145" s="33">
        <v>1</v>
      </c>
      <c r="CY145" s="33"/>
      <c r="CZ145" s="33" t="str">
        <f t="shared" si="5"/>
        <v>Carolina Panthers</v>
      </c>
      <c r="DA145" s="33">
        <v>143</v>
      </c>
      <c r="DB145" s="33" t="s">
        <v>2294</v>
      </c>
      <c r="DC145" s="33">
        <v>12</v>
      </c>
      <c r="DD145" s="33" t="s">
        <v>2295</v>
      </c>
      <c r="DE145" s="33">
        <v>1</v>
      </c>
    </row>
    <row r="146" spans="1:109" ht="12.75" customHeight="1">
      <c r="A146" s="33"/>
      <c r="B146" s="33"/>
      <c r="C146" s="33"/>
      <c r="D146" s="33"/>
      <c r="E146" s="33"/>
      <c r="F146" s="33"/>
      <c r="G146" s="33"/>
      <c r="H146" s="33"/>
      <c r="I146" s="33"/>
      <c r="J146" s="33"/>
      <c r="K146" s="33"/>
      <c r="L146" s="33"/>
      <c r="M146" s="33"/>
      <c r="N146" s="33"/>
      <c r="O146" s="33"/>
      <c r="P146" s="33"/>
      <c r="Q146" s="33">
        <v>138</v>
      </c>
      <c r="R146" s="33" t="s">
        <v>2318</v>
      </c>
      <c r="S146" s="33" t="s">
        <v>1072</v>
      </c>
      <c r="T146" s="33" t="s">
        <v>804</v>
      </c>
      <c r="U146" s="33" t="s">
        <v>1754</v>
      </c>
      <c r="V146" s="33" t="s">
        <v>1755</v>
      </c>
      <c r="W146" s="33" t="s">
        <v>1755</v>
      </c>
      <c r="X146" s="33" t="s">
        <v>1755</v>
      </c>
      <c r="Y146" s="33" t="s">
        <v>1755</v>
      </c>
      <c r="Z146" s="33" t="s">
        <v>1755</v>
      </c>
      <c r="AA146" s="33" t="s">
        <v>1755</v>
      </c>
      <c r="AB146" s="33" t="s">
        <v>1755</v>
      </c>
      <c r="AC146" s="33" t="s">
        <v>1755</v>
      </c>
      <c r="AD146" s="33" t="s">
        <v>1755</v>
      </c>
      <c r="AE146" s="33" t="s">
        <v>1755</v>
      </c>
      <c r="AF146" s="33"/>
      <c r="AG146" s="33">
        <v>138</v>
      </c>
      <c r="AH146" s="33" t="s">
        <v>2319</v>
      </c>
      <c r="AI146" s="33" t="s">
        <v>1072</v>
      </c>
      <c r="AJ146" s="33" t="s">
        <v>804</v>
      </c>
      <c r="AK146" s="33" t="s">
        <v>1439</v>
      </c>
      <c r="AL146" s="33">
        <v>0</v>
      </c>
      <c r="AM146" s="33">
        <v>0</v>
      </c>
      <c r="AN146" s="33">
        <v>0</v>
      </c>
      <c r="AO146" s="33">
        <v>0</v>
      </c>
      <c r="AP146" s="33">
        <v>0</v>
      </c>
      <c r="AQ146" s="33">
        <v>0</v>
      </c>
      <c r="AR146" s="33">
        <v>0</v>
      </c>
      <c r="AS146" s="33">
        <v>0</v>
      </c>
      <c r="AT146" s="33">
        <v>0</v>
      </c>
      <c r="AU146" s="33">
        <v>-1</v>
      </c>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t="str">
        <f t="shared" si="4"/>
        <v>St. Louis Rams</v>
      </c>
      <c r="CT146" s="33">
        <v>144</v>
      </c>
      <c r="CU146" s="33" t="s">
        <v>2320</v>
      </c>
      <c r="CV146" s="33">
        <v>4</v>
      </c>
      <c r="CW146" s="33" t="s">
        <v>2321</v>
      </c>
      <c r="CX146" s="33">
        <v>1</v>
      </c>
      <c r="CY146" s="33"/>
      <c r="CZ146" s="33" t="str">
        <f t="shared" si="5"/>
        <v>Antonio Gates</v>
      </c>
      <c r="DA146" s="33">
        <v>144</v>
      </c>
      <c r="DB146" s="33" t="s">
        <v>2322</v>
      </c>
      <c r="DC146" s="33">
        <v>10</v>
      </c>
      <c r="DD146" s="33" t="s">
        <v>2323</v>
      </c>
      <c r="DE146" s="33">
        <v>1</v>
      </c>
    </row>
    <row r="147" spans="1:109" ht="12.75" customHeight="1">
      <c r="A147" s="33"/>
      <c r="B147" s="33"/>
      <c r="C147" s="33"/>
      <c r="D147" s="33"/>
      <c r="E147" s="33"/>
      <c r="F147" s="33"/>
      <c r="G147" s="33"/>
      <c r="H147" s="33"/>
      <c r="I147" s="33"/>
      <c r="J147" s="33"/>
      <c r="K147" s="33"/>
      <c r="L147" s="33"/>
      <c r="M147" s="33"/>
      <c r="N147" s="33"/>
      <c r="O147" s="33"/>
      <c r="P147" s="33"/>
      <c r="Q147" s="33">
        <v>139</v>
      </c>
      <c r="R147" s="33" t="s">
        <v>2324</v>
      </c>
      <c r="S147" s="33" t="s">
        <v>1072</v>
      </c>
      <c r="T147" s="33" t="s">
        <v>804</v>
      </c>
      <c r="U147" s="33" t="s">
        <v>1754</v>
      </c>
      <c r="V147" s="33" t="s">
        <v>1755</v>
      </c>
      <c r="W147" s="33" t="s">
        <v>1755</v>
      </c>
      <c r="X147" s="33" t="s">
        <v>1755</v>
      </c>
      <c r="Y147" s="33" t="s">
        <v>1755</v>
      </c>
      <c r="Z147" s="33" t="s">
        <v>1755</v>
      </c>
      <c r="AA147" s="33" t="s">
        <v>1755</v>
      </c>
      <c r="AB147" s="33" t="s">
        <v>1755</v>
      </c>
      <c r="AC147" s="33" t="s">
        <v>1755</v>
      </c>
      <c r="AD147" s="33" t="s">
        <v>1755</v>
      </c>
      <c r="AE147" s="33" t="s">
        <v>1755</v>
      </c>
      <c r="AF147" s="33"/>
      <c r="AG147" s="33">
        <v>139</v>
      </c>
      <c r="AH147" s="33" t="s">
        <v>2325</v>
      </c>
      <c r="AI147" s="33" t="s">
        <v>1072</v>
      </c>
      <c r="AJ147" s="33" t="s">
        <v>804</v>
      </c>
      <c r="AK147" s="33" t="s">
        <v>1439</v>
      </c>
      <c r="AL147" s="33">
        <v>0</v>
      </c>
      <c r="AM147" s="33">
        <v>0</v>
      </c>
      <c r="AN147" s="33">
        <v>0</v>
      </c>
      <c r="AO147" s="33">
        <v>0</v>
      </c>
      <c r="AP147" s="33">
        <v>0</v>
      </c>
      <c r="AQ147" s="33">
        <v>0</v>
      </c>
      <c r="AR147" s="33">
        <v>0</v>
      </c>
      <c r="AS147" s="33">
        <v>0</v>
      </c>
      <c r="AT147" s="33">
        <v>0</v>
      </c>
      <c r="AU147" s="33">
        <v>0</v>
      </c>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t="str">
        <f t="shared" si="4"/>
        <v>Kansas City Chiefs</v>
      </c>
      <c r="CT147" s="33">
        <v>145</v>
      </c>
      <c r="CU147" s="33" t="s">
        <v>2326</v>
      </c>
      <c r="CV147" s="33">
        <v>6</v>
      </c>
      <c r="CW147" s="33" t="s">
        <v>2327</v>
      </c>
      <c r="CX147" s="33">
        <v>1</v>
      </c>
      <c r="CY147" s="33"/>
      <c r="CZ147" s="33" t="str">
        <f t="shared" si="5"/>
        <v>Cincinnati Bengals</v>
      </c>
      <c r="DA147" s="33">
        <v>145</v>
      </c>
      <c r="DB147" s="33" t="s">
        <v>2316</v>
      </c>
      <c r="DC147" s="33">
        <v>4</v>
      </c>
      <c r="DD147" s="33" t="s">
        <v>2317</v>
      </c>
      <c r="DE147" s="33">
        <v>1</v>
      </c>
    </row>
    <row r="148" spans="1:109" ht="12.75" customHeight="1">
      <c r="A148" s="33"/>
      <c r="B148" s="33"/>
      <c r="C148" s="33"/>
      <c r="D148" s="33"/>
      <c r="E148" s="33"/>
      <c r="F148" s="33"/>
      <c r="G148" s="33"/>
      <c r="H148" s="33"/>
      <c r="I148" s="33"/>
      <c r="J148" s="33"/>
      <c r="K148" s="33"/>
      <c r="L148" s="33"/>
      <c r="M148" s="33"/>
      <c r="N148" s="33"/>
      <c r="O148" s="33"/>
      <c r="P148" s="33"/>
      <c r="Q148" s="33">
        <v>140</v>
      </c>
      <c r="R148" s="33" t="s">
        <v>2328</v>
      </c>
      <c r="S148" s="33" t="s">
        <v>1072</v>
      </c>
      <c r="T148" s="33" t="s">
        <v>804</v>
      </c>
      <c r="U148" s="33" t="s">
        <v>1754</v>
      </c>
      <c r="V148" s="33" t="s">
        <v>1755</v>
      </c>
      <c r="W148" s="33" t="s">
        <v>1755</v>
      </c>
      <c r="X148" s="33" t="s">
        <v>1755</v>
      </c>
      <c r="Y148" s="33" t="s">
        <v>1755</v>
      </c>
      <c r="Z148" s="33" t="s">
        <v>1755</v>
      </c>
      <c r="AA148" s="33" t="s">
        <v>1755</v>
      </c>
      <c r="AB148" s="33" t="s">
        <v>1755</v>
      </c>
      <c r="AC148" s="33" t="s">
        <v>1755</v>
      </c>
      <c r="AD148" s="33" t="s">
        <v>1755</v>
      </c>
      <c r="AE148" s="33" t="s">
        <v>1755</v>
      </c>
      <c r="AF148" s="33"/>
      <c r="AG148" s="33">
        <v>140</v>
      </c>
      <c r="AH148" s="33" t="s">
        <v>2329</v>
      </c>
      <c r="AI148" s="33" t="s">
        <v>1072</v>
      </c>
      <c r="AJ148" s="33" t="s">
        <v>804</v>
      </c>
      <c r="AK148" s="33" t="s">
        <v>1439</v>
      </c>
      <c r="AL148" s="33">
        <v>0</v>
      </c>
      <c r="AM148" s="33">
        <v>0</v>
      </c>
      <c r="AN148" s="33">
        <v>0</v>
      </c>
      <c r="AO148" s="33">
        <v>0</v>
      </c>
      <c r="AP148" s="33">
        <v>0</v>
      </c>
      <c r="AQ148" s="33">
        <v>0</v>
      </c>
      <c r="AR148" s="33">
        <v>0</v>
      </c>
      <c r="AS148" s="33">
        <v>0</v>
      </c>
      <c r="AT148" s="33">
        <v>0</v>
      </c>
      <c r="AU148" s="33">
        <v>0</v>
      </c>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t="str">
        <f t="shared" si="4"/>
        <v>Jordan Reed</v>
      </c>
      <c r="CT148" s="33">
        <v>146</v>
      </c>
      <c r="CU148" s="33" t="s">
        <v>2165</v>
      </c>
      <c r="CV148" s="33">
        <v>10</v>
      </c>
      <c r="CW148" s="33" t="s">
        <v>2193</v>
      </c>
      <c r="CX148" s="33">
        <v>1</v>
      </c>
      <c r="CY148" s="33"/>
      <c r="CZ148" s="33" t="str">
        <f t="shared" si="5"/>
        <v>Carson Palmer</v>
      </c>
      <c r="DA148" s="33">
        <v>146</v>
      </c>
      <c r="DB148" s="33" t="s">
        <v>2330</v>
      </c>
      <c r="DC148" s="33">
        <v>4</v>
      </c>
      <c r="DD148" s="33" t="s">
        <v>2331</v>
      </c>
      <c r="DE148" s="33">
        <v>1</v>
      </c>
    </row>
    <row r="149" spans="1:109" ht="12.75" customHeight="1">
      <c r="A149" s="33"/>
      <c r="B149" s="33"/>
      <c r="C149" s="33"/>
      <c r="D149" s="33"/>
      <c r="E149" s="33"/>
      <c r="F149" s="33"/>
      <c r="G149" s="33"/>
      <c r="H149" s="33"/>
      <c r="I149" s="33"/>
      <c r="J149" s="33"/>
      <c r="K149" s="33"/>
      <c r="L149" s="33"/>
      <c r="M149" s="33"/>
      <c r="N149" s="33"/>
      <c r="O149" s="33"/>
      <c r="P149" s="33"/>
      <c r="Q149" s="33">
        <v>141</v>
      </c>
      <c r="R149" s="33" t="s">
        <v>2332</v>
      </c>
      <c r="S149" s="33" t="s">
        <v>1072</v>
      </c>
      <c r="T149" s="33" t="s">
        <v>804</v>
      </c>
      <c r="U149" s="33" t="s">
        <v>1754</v>
      </c>
      <c r="V149" s="33" t="s">
        <v>1755</v>
      </c>
      <c r="W149" s="33" t="s">
        <v>1755</v>
      </c>
      <c r="X149" s="33" t="s">
        <v>1755</v>
      </c>
      <c r="Y149" s="33" t="s">
        <v>1755</v>
      </c>
      <c r="Z149" s="33" t="s">
        <v>1755</v>
      </c>
      <c r="AA149" s="33" t="s">
        <v>1755</v>
      </c>
      <c r="AB149" s="33" t="s">
        <v>1755</v>
      </c>
      <c r="AC149" s="33" t="s">
        <v>1755</v>
      </c>
      <c r="AD149" s="33" t="s">
        <v>1755</v>
      </c>
      <c r="AE149" s="33" t="s">
        <v>1755</v>
      </c>
      <c r="AF149" s="33"/>
      <c r="AG149" s="33">
        <v>141</v>
      </c>
      <c r="AH149" s="33" t="s">
        <v>2333</v>
      </c>
      <c r="AI149" s="33" t="s">
        <v>1072</v>
      </c>
      <c r="AJ149" s="33" t="s">
        <v>804</v>
      </c>
      <c r="AK149" s="33" t="s">
        <v>1439</v>
      </c>
      <c r="AL149" s="33">
        <v>0</v>
      </c>
      <c r="AM149" s="33">
        <v>0</v>
      </c>
      <c r="AN149" s="33">
        <v>0</v>
      </c>
      <c r="AO149" s="33">
        <v>0</v>
      </c>
      <c r="AP149" s="33">
        <v>0</v>
      </c>
      <c r="AQ149" s="33">
        <v>0</v>
      </c>
      <c r="AR149" s="33">
        <v>0</v>
      </c>
      <c r="AS149" s="33">
        <v>0</v>
      </c>
      <c r="AT149" s="33">
        <v>0</v>
      </c>
      <c r="AU149" s="33">
        <v>0</v>
      </c>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t="str">
        <f t="shared" si="4"/>
        <v>James Jones</v>
      </c>
      <c r="CT149" s="33">
        <v>147</v>
      </c>
      <c r="CU149" s="33" t="s">
        <v>2113</v>
      </c>
      <c r="CV149" s="33">
        <v>5</v>
      </c>
      <c r="CW149" s="33" t="s">
        <v>2252</v>
      </c>
      <c r="CX149" s="33">
        <v>1</v>
      </c>
      <c r="CY149" s="33"/>
      <c r="CZ149" s="33" t="str">
        <f t="shared" si="5"/>
        <v>St. Louis Rams</v>
      </c>
      <c r="DA149" s="33">
        <v>147</v>
      </c>
      <c r="DB149" s="33" t="s">
        <v>2320</v>
      </c>
      <c r="DC149" s="33">
        <v>4</v>
      </c>
      <c r="DD149" s="33" t="s">
        <v>2321</v>
      </c>
      <c r="DE149" s="33">
        <v>1</v>
      </c>
    </row>
    <row r="150" spans="1:109" ht="12.75" customHeight="1">
      <c r="A150" s="33"/>
      <c r="B150" s="33"/>
      <c r="C150" s="33"/>
      <c r="D150" s="33"/>
      <c r="E150" s="33"/>
      <c r="F150" s="33"/>
      <c r="G150" s="33"/>
      <c r="H150" s="33"/>
      <c r="I150" s="33"/>
      <c r="J150" s="33"/>
      <c r="K150" s="33"/>
      <c r="L150" s="33"/>
      <c r="M150" s="33"/>
      <c r="N150" s="33"/>
      <c r="O150" s="33"/>
      <c r="P150" s="33"/>
      <c r="Q150" s="33">
        <v>142</v>
      </c>
      <c r="R150" s="33" t="s">
        <v>2334</v>
      </c>
      <c r="S150" s="33" t="s">
        <v>1072</v>
      </c>
      <c r="T150" s="33" t="s">
        <v>804</v>
      </c>
      <c r="U150" s="33" t="s">
        <v>1754</v>
      </c>
      <c r="V150" s="33" t="s">
        <v>1755</v>
      </c>
      <c r="W150" s="33" t="s">
        <v>1755</v>
      </c>
      <c r="X150" s="33" t="s">
        <v>1755</v>
      </c>
      <c r="Y150" s="33" t="s">
        <v>1755</v>
      </c>
      <c r="Z150" s="33" t="s">
        <v>1755</v>
      </c>
      <c r="AA150" s="33" t="s">
        <v>1755</v>
      </c>
      <c r="AB150" s="33" t="s">
        <v>1755</v>
      </c>
      <c r="AC150" s="33" t="s">
        <v>1755</v>
      </c>
      <c r="AD150" s="33" t="s">
        <v>1755</v>
      </c>
      <c r="AE150" s="33" t="s">
        <v>1755</v>
      </c>
      <c r="AF150" s="33"/>
      <c r="AG150" s="33">
        <v>142</v>
      </c>
      <c r="AH150" s="33" t="s">
        <v>2335</v>
      </c>
      <c r="AI150" s="33" t="s">
        <v>1072</v>
      </c>
      <c r="AJ150" s="33" t="s">
        <v>804</v>
      </c>
      <c r="AK150" s="33" t="s">
        <v>1439</v>
      </c>
      <c r="AL150" s="33">
        <v>0</v>
      </c>
      <c r="AM150" s="33">
        <v>0</v>
      </c>
      <c r="AN150" s="33">
        <v>0</v>
      </c>
      <c r="AO150" s="33">
        <v>0</v>
      </c>
      <c r="AP150" s="33">
        <v>0</v>
      </c>
      <c r="AQ150" s="33">
        <v>0</v>
      </c>
      <c r="AR150" s="33">
        <v>0</v>
      </c>
      <c r="AS150" s="33">
        <v>0</v>
      </c>
      <c r="AT150" s="33">
        <v>0</v>
      </c>
      <c r="AU150" s="33">
        <v>0</v>
      </c>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t="str">
        <f t="shared" si="4"/>
        <v>New England Patriots</v>
      </c>
      <c r="CT150" s="33">
        <v>148</v>
      </c>
      <c r="CU150" s="33" t="s">
        <v>2336</v>
      </c>
      <c r="CV150" s="33">
        <v>10</v>
      </c>
      <c r="CW150" s="33" t="s">
        <v>2337</v>
      </c>
      <c r="CX150" s="33">
        <v>1</v>
      </c>
      <c r="CY150" s="33"/>
      <c r="CZ150" s="33" t="str">
        <f t="shared" si="5"/>
        <v>Kansas City Chiefs</v>
      </c>
      <c r="DA150" s="33">
        <v>148</v>
      </c>
      <c r="DB150" s="33" t="s">
        <v>2326</v>
      </c>
      <c r="DC150" s="33">
        <v>6</v>
      </c>
      <c r="DD150" s="33" t="s">
        <v>2327</v>
      </c>
      <c r="DE150" s="33">
        <v>1</v>
      </c>
    </row>
    <row r="151" spans="1:109" ht="12.75" customHeight="1">
      <c r="A151" s="33"/>
      <c r="B151" s="33"/>
      <c r="C151" s="33"/>
      <c r="D151" s="33"/>
      <c r="E151" s="33"/>
      <c r="F151" s="33"/>
      <c r="G151" s="33"/>
      <c r="H151" s="33"/>
      <c r="I151" s="33"/>
      <c r="J151" s="33"/>
      <c r="K151" s="33"/>
      <c r="L151" s="33"/>
      <c r="M151" s="33"/>
      <c r="N151" s="33"/>
      <c r="O151" s="33"/>
      <c r="P151" s="33"/>
      <c r="Q151" s="33">
        <v>143</v>
      </c>
      <c r="R151" s="33" t="s">
        <v>2338</v>
      </c>
      <c r="S151" s="33" t="s">
        <v>1072</v>
      </c>
      <c r="T151" s="33" t="s">
        <v>804</v>
      </c>
      <c r="U151" s="33" t="s">
        <v>1754</v>
      </c>
      <c r="V151" s="33" t="s">
        <v>1755</v>
      </c>
      <c r="W151" s="33" t="s">
        <v>1755</v>
      </c>
      <c r="X151" s="33" t="s">
        <v>1755</v>
      </c>
      <c r="Y151" s="33" t="s">
        <v>1755</v>
      </c>
      <c r="Z151" s="33" t="s">
        <v>1755</v>
      </c>
      <c r="AA151" s="33" t="s">
        <v>1755</v>
      </c>
      <c r="AB151" s="33" t="s">
        <v>1755</v>
      </c>
      <c r="AC151" s="33" t="s">
        <v>1755</v>
      </c>
      <c r="AD151" s="33" t="s">
        <v>1755</v>
      </c>
      <c r="AE151" s="33" t="s">
        <v>1755</v>
      </c>
      <c r="AF151" s="33"/>
      <c r="AG151" s="33">
        <v>143</v>
      </c>
      <c r="AH151" s="33" t="s">
        <v>2339</v>
      </c>
      <c r="AI151" s="33" t="s">
        <v>1072</v>
      </c>
      <c r="AJ151" s="33" t="s">
        <v>804</v>
      </c>
      <c r="AK151" s="33" t="s">
        <v>1439</v>
      </c>
      <c r="AL151" s="33">
        <v>0</v>
      </c>
      <c r="AM151" s="33">
        <v>0</v>
      </c>
      <c r="AN151" s="33">
        <v>0</v>
      </c>
      <c r="AO151" s="33">
        <v>0</v>
      </c>
      <c r="AP151" s="33">
        <v>0</v>
      </c>
      <c r="AQ151" s="33">
        <v>0</v>
      </c>
      <c r="AR151" s="33">
        <v>0</v>
      </c>
      <c r="AS151" s="33">
        <v>0</v>
      </c>
      <c r="AT151" s="33">
        <v>0</v>
      </c>
      <c r="AU151" s="33">
        <v>0</v>
      </c>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t="str">
        <f t="shared" si="4"/>
        <v>Buffalo Bills</v>
      </c>
      <c r="CT151" s="33">
        <v>149</v>
      </c>
      <c r="CU151" s="33" t="s">
        <v>2340</v>
      </c>
      <c r="CV151" s="33">
        <v>9</v>
      </c>
      <c r="CW151" s="33" t="s">
        <v>2341</v>
      </c>
      <c r="CX151" s="33">
        <v>1</v>
      </c>
      <c r="CY151" s="33"/>
      <c r="CZ151" s="33" t="str">
        <f t="shared" si="5"/>
        <v>New England Patriots</v>
      </c>
      <c r="DA151" s="33">
        <v>149</v>
      </c>
      <c r="DB151" s="33" t="s">
        <v>2336</v>
      </c>
      <c r="DC151" s="33">
        <v>10</v>
      </c>
      <c r="DD151" s="33" t="s">
        <v>2337</v>
      </c>
      <c r="DE151" s="33">
        <v>1</v>
      </c>
    </row>
    <row r="152" spans="1:109" ht="12.75" customHeight="1">
      <c r="A152" s="33"/>
      <c r="B152" s="33"/>
      <c r="C152" s="33"/>
      <c r="D152" s="33"/>
      <c r="E152" s="33"/>
      <c r="F152" s="33"/>
      <c r="G152" s="33"/>
      <c r="H152" s="33"/>
      <c r="I152" s="33"/>
      <c r="J152" s="33"/>
      <c r="K152" s="33"/>
      <c r="L152" s="33"/>
      <c r="M152" s="33"/>
      <c r="N152" s="33"/>
      <c r="O152" s="33"/>
      <c r="P152" s="33"/>
      <c r="Q152" s="33">
        <v>144</v>
      </c>
      <c r="R152" s="33" t="s">
        <v>2342</v>
      </c>
      <c r="S152" s="33" t="s">
        <v>1072</v>
      </c>
      <c r="T152" s="33" t="s">
        <v>804</v>
      </c>
      <c r="U152" s="33" t="s">
        <v>1754</v>
      </c>
      <c r="V152" s="33" t="s">
        <v>1755</v>
      </c>
      <c r="W152" s="33" t="s">
        <v>1755</v>
      </c>
      <c r="X152" s="33" t="s">
        <v>1755</v>
      </c>
      <c r="Y152" s="33" t="s">
        <v>1755</v>
      </c>
      <c r="Z152" s="33" t="s">
        <v>1755</v>
      </c>
      <c r="AA152" s="33" t="s">
        <v>1755</v>
      </c>
      <c r="AB152" s="33" t="s">
        <v>1755</v>
      </c>
      <c r="AC152" s="33" t="s">
        <v>1755</v>
      </c>
      <c r="AD152" s="33" t="s">
        <v>1755</v>
      </c>
      <c r="AE152" s="33" t="s">
        <v>1755</v>
      </c>
      <c r="AF152" s="33"/>
      <c r="AG152" s="33">
        <v>144</v>
      </c>
      <c r="AH152" s="33" t="s">
        <v>2343</v>
      </c>
      <c r="AI152" s="33" t="s">
        <v>1072</v>
      </c>
      <c r="AJ152" s="33" t="s">
        <v>804</v>
      </c>
      <c r="AK152" s="33" t="s">
        <v>1439</v>
      </c>
      <c r="AL152" s="33">
        <v>0</v>
      </c>
      <c r="AM152" s="33">
        <v>0</v>
      </c>
      <c r="AN152" s="33">
        <v>0</v>
      </c>
      <c r="AO152" s="33">
        <v>0</v>
      </c>
      <c r="AP152" s="33">
        <v>0</v>
      </c>
      <c r="AQ152" s="33">
        <v>0</v>
      </c>
      <c r="AR152" s="33">
        <v>0</v>
      </c>
      <c r="AS152" s="33">
        <v>0</v>
      </c>
      <c r="AT152" s="33">
        <v>0</v>
      </c>
      <c r="AU152" s="33">
        <v>0</v>
      </c>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t="str">
        <f t="shared" si="4"/>
        <v>Ahmad Bradshaw</v>
      </c>
      <c r="CT152" s="33">
        <v>150</v>
      </c>
      <c r="CU152" s="33" t="s">
        <v>2344</v>
      </c>
      <c r="CV152" s="33">
        <v>10</v>
      </c>
      <c r="CW152" s="33" t="s">
        <v>2345</v>
      </c>
      <c r="CX152" s="33">
        <v>1</v>
      </c>
      <c r="CY152" s="33"/>
      <c r="CZ152" s="33" t="str">
        <f t="shared" si="5"/>
        <v>Buffalo Bills</v>
      </c>
      <c r="DA152" s="33">
        <v>150</v>
      </c>
      <c r="DB152" s="33" t="s">
        <v>2340</v>
      </c>
      <c r="DC152" s="33">
        <v>9</v>
      </c>
      <c r="DD152" s="33" t="s">
        <v>2341</v>
      </c>
      <c r="DE152" s="33">
        <v>1</v>
      </c>
    </row>
    <row r="153" spans="1:109" ht="12.75" customHeight="1">
      <c r="A153" s="33"/>
      <c r="B153" s="33"/>
      <c r="C153" s="33"/>
      <c r="D153" s="33"/>
      <c r="E153" s="33"/>
      <c r="F153" s="33"/>
      <c r="G153" s="33"/>
      <c r="H153" s="33"/>
      <c r="I153" s="33"/>
      <c r="J153" s="33"/>
      <c r="K153" s="33"/>
      <c r="L153" s="33"/>
      <c r="M153" s="33"/>
      <c r="N153" s="33"/>
      <c r="O153" s="33"/>
      <c r="P153" s="33"/>
      <c r="Q153" s="33">
        <v>145</v>
      </c>
      <c r="R153" s="33" t="s">
        <v>2346</v>
      </c>
      <c r="S153" s="33" t="s">
        <v>1072</v>
      </c>
      <c r="T153" s="33" t="s">
        <v>804</v>
      </c>
      <c r="U153" s="33" t="s">
        <v>1754</v>
      </c>
      <c r="V153" s="33" t="s">
        <v>1755</v>
      </c>
      <c r="W153" s="33" t="s">
        <v>1755</v>
      </c>
      <c r="X153" s="33" t="s">
        <v>1755</v>
      </c>
      <c r="Y153" s="33" t="s">
        <v>1755</v>
      </c>
      <c r="Z153" s="33" t="s">
        <v>1755</v>
      </c>
      <c r="AA153" s="33" t="s">
        <v>1755</v>
      </c>
      <c r="AB153" s="33" t="s">
        <v>1755</v>
      </c>
      <c r="AC153" s="33" t="s">
        <v>1755</v>
      </c>
      <c r="AD153" s="33" t="s">
        <v>1755</v>
      </c>
      <c r="AE153" s="33" t="s">
        <v>1755</v>
      </c>
      <c r="AF153" s="33"/>
      <c r="AG153" s="33">
        <v>145</v>
      </c>
      <c r="AH153" s="33" t="s">
        <v>2347</v>
      </c>
      <c r="AI153" s="33" t="s">
        <v>1072</v>
      </c>
      <c r="AJ153" s="33" t="s">
        <v>804</v>
      </c>
      <c r="AK153" s="33" t="s">
        <v>1439</v>
      </c>
      <c r="AL153" s="33">
        <v>0</v>
      </c>
      <c r="AM153" s="33">
        <v>0</v>
      </c>
      <c r="AN153" s="33">
        <v>0</v>
      </c>
      <c r="AO153" s="33">
        <v>0</v>
      </c>
      <c r="AP153" s="33">
        <v>0</v>
      </c>
      <c r="AQ153" s="33">
        <v>0</v>
      </c>
      <c r="AR153" s="33">
        <v>0</v>
      </c>
      <c r="AS153" s="33">
        <v>0</v>
      </c>
      <c r="AT153" s="33">
        <v>0</v>
      </c>
      <c r="AU153" s="33">
        <v>0</v>
      </c>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t="str">
        <f t="shared" si="4"/>
        <v>Matt Prater</v>
      </c>
      <c r="CT153" s="33">
        <v>151</v>
      </c>
      <c r="CU153" s="33" t="s">
        <v>2348</v>
      </c>
      <c r="CV153" s="33">
        <v>4</v>
      </c>
      <c r="CW153" s="33" t="s">
        <v>227</v>
      </c>
      <c r="CX153" s="33">
        <v>1</v>
      </c>
      <c r="CY153" s="33"/>
      <c r="CZ153" s="33" t="str">
        <f t="shared" si="5"/>
        <v>Matt Prater</v>
      </c>
      <c r="DA153" s="33">
        <v>151</v>
      </c>
      <c r="DB153" s="33" t="s">
        <v>2348</v>
      </c>
      <c r="DC153" s="33">
        <v>4</v>
      </c>
      <c r="DD153" s="33" t="s">
        <v>227</v>
      </c>
      <c r="DE153" s="33">
        <v>1</v>
      </c>
    </row>
    <row r="154" spans="1:109" ht="12.75" customHeight="1">
      <c r="A154" s="33"/>
      <c r="B154" s="33"/>
      <c r="C154" s="33"/>
      <c r="D154" s="33"/>
      <c r="E154" s="33"/>
      <c r="F154" s="33"/>
      <c r="G154" s="33"/>
      <c r="H154" s="33"/>
      <c r="I154" s="33"/>
      <c r="J154" s="33"/>
      <c r="K154" s="33"/>
      <c r="L154" s="33"/>
      <c r="M154" s="33"/>
      <c r="N154" s="33"/>
      <c r="O154" s="33"/>
      <c r="P154" s="33"/>
      <c r="Q154" s="33">
        <v>146</v>
      </c>
      <c r="R154" s="33" t="s">
        <v>2349</v>
      </c>
      <c r="S154" s="33" t="s">
        <v>1072</v>
      </c>
      <c r="T154" s="33" t="s">
        <v>804</v>
      </c>
      <c r="U154" s="33" t="s">
        <v>1754</v>
      </c>
      <c r="V154" s="33" t="s">
        <v>1755</v>
      </c>
      <c r="W154" s="33" t="s">
        <v>1755</v>
      </c>
      <c r="X154" s="33" t="s">
        <v>1755</v>
      </c>
      <c r="Y154" s="33" t="s">
        <v>1755</v>
      </c>
      <c r="Z154" s="33" t="s">
        <v>1755</v>
      </c>
      <c r="AA154" s="33" t="s">
        <v>1755</v>
      </c>
      <c r="AB154" s="33" t="s">
        <v>1755</v>
      </c>
      <c r="AC154" s="33" t="s">
        <v>1755</v>
      </c>
      <c r="AD154" s="33" t="s">
        <v>1755</v>
      </c>
      <c r="AE154" s="33" t="s">
        <v>1755</v>
      </c>
      <c r="AF154" s="33"/>
      <c r="AG154" s="33">
        <v>146</v>
      </c>
      <c r="AH154" s="33" t="s">
        <v>2350</v>
      </c>
      <c r="AI154" s="33" t="s">
        <v>1072</v>
      </c>
      <c r="AJ154" s="33" t="s">
        <v>804</v>
      </c>
      <c r="AK154" s="33" t="s">
        <v>1439</v>
      </c>
      <c r="AL154" s="33">
        <v>0</v>
      </c>
      <c r="AM154" s="33">
        <v>0</v>
      </c>
      <c r="AN154" s="33">
        <v>0</v>
      </c>
      <c r="AO154" s="33">
        <v>0</v>
      </c>
      <c r="AP154" s="33">
        <v>0</v>
      </c>
      <c r="AQ154" s="33">
        <v>0</v>
      </c>
      <c r="AR154" s="33">
        <v>0</v>
      </c>
      <c r="AS154" s="33">
        <v>0</v>
      </c>
      <c r="AT154" s="33">
        <v>0</v>
      </c>
      <c r="AU154" s="33">
        <v>0</v>
      </c>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t="str">
        <f t="shared" si="4"/>
        <v>Stephen Gostkowski</v>
      </c>
      <c r="CT154" s="33">
        <v>152</v>
      </c>
      <c r="CU154" s="33" t="s">
        <v>2351</v>
      </c>
      <c r="CV154" s="33">
        <v>10</v>
      </c>
      <c r="CW154" s="33" t="s">
        <v>228</v>
      </c>
      <c r="CX154" s="33">
        <v>1</v>
      </c>
      <c r="CY154" s="33"/>
      <c r="CZ154" s="33" t="str">
        <f t="shared" si="5"/>
        <v>Stephen Gostkowski</v>
      </c>
      <c r="DA154" s="33">
        <v>152</v>
      </c>
      <c r="DB154" s="33" t="s">
        <v>2351</v>
      </c>
      <c r="DC154" s="33">
        <v>10</v>
      </c>
      <c r="DD154" s="33" t="s">
        <v>228</v>
      </c>
      <c r="DE154" s="33">
        <v>1</v>
      </c>
    </row>
    <row r="155" spans="1:109" ht="12.75" customHeight="1">
      <c r="A155" s="33"/>
      <c r="B155" s="33"/>
      <c r="C155" s="33"/>
      <c r="D155" s="33"/>
      <c r="E155" s="33"/>
      <c r="F155" s="33"/>
      <c r="G155" s="33"/>
      <c r="H155" s="33"/>
      <c r="I155" s="33"/>
      <c r="J155" s="33"/>
      <c r="K155" s="33"/>
      <c r="L155" s="33"/>
      <c r="M155" s="33"/>
      <c r="N155" s="33"/>
      <c r="O155" s="33"/>
      <c r="P155" s="33"/>
      <c r="Q155" s="33">
        <v>147</v>
      </c>
      <c r="R155" s="33" t="s">
        <v>2352</v>
      </c>
      <c r="S155" s="33" t="s">
        <v>1072</v>
      </c>
      <c r="T155" s="33" t="s">
        <v>804</v>
      </c>
      <c r="U155" s="33" t="s">
        <v>1754</v>
      </c>
      <c r="V155" s="33" t="s">
        <v>1755</v>
      </c>
      <c r="W155" s="33" t="s">
        <v>1755</v>
      </c>
      <c r="X155" s="33" t="s">
        <v>1755</v>
      </c>
      <c r="Y155" s="33" t="s">
        <v>1755</v>
      </c>
      <c r="Z155" s="33" t="s">
        <v>1755</v>
      </c>
      <c r="AA155" s="33" t="s">
        <v>1755</v>
      </c>
      <c r="AB155" s="33" t="s">
        <v>1755</v>
      </c>
      <c r="AC155" s="33" t="s">
        <v>1755</v>
      </c>
      <c r="AD155" s="33" t="s">
        <v>1755</v>
      </c>
      <c r="AE155" s="33" t="s">
        <v>1755</v>
      </c>
      <c r="AF155" s="33"/>
      <c r="AG155" s="33">
        <v>147</v>
      </c>
      <c r="AH155" s="33" t="s">
        <v>2353</v>
      </c>
      <c r="AI155" s="33" t="s">
        <v>1072</v>
      </c>
      <c r="AJ155" s="33" t="s">
        <v>804</v>
      </c>
      <c r="AK155" s="33" t="s">
        <v>1439</v>
      </c>
      <c r="AL155" s="33">
        <v>0</v>
      </c>
      <c r="AM155" s="33">
        <v>0</v>
      </c>
      <c r="AN155" s="33">
        <v>0</v>
      </c>
      <c r="AO155" s="33">
        <v>0</v>
      </c>
      <c r="AP155" s="33">
        <v>0</v>
      </c>
      <c r="AQ155" s="33">
        <v>0</v>
      </c>
      <c r="AR155" s="33">
        <v>0</v>
      </c>
      <c r="AS155" s="33">
        <v>0</v>
      </c>
      <c r="AT155" s="33">
        <v>0</v>
      </c>
      <c r="AU155" s="33">
        <v>0</v>
      </c>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t="str">
        <f t="shared" si="4"/>
        <v>Justin Tucker</v>
      </c>
      <c r="CT155" s="33">
        <v>153</v>
      </c>
      <c r="CU155" s="33" t="s">
        <v>2354</v>
      </c>
      <c r="CV155" s="33">
        <v>11</v>
      </c>
      <c r="CW155" s="33" t="s">
        <v>745</v>
      </c>
      <c r="CX155" s="33">
        <v>1</v>
      </c>
      <c r="CY155" s="33"/>
      <c r="CZ155" s="33" t="str">
        <f t="shared" si="5"/>
        <v>Justin Tucker</v>
      </c>
      <c r="DA155" s="33">
        <v>153</v>
      </c>
      <c r="DB155" s="33" t="s">
        <v>2354</v>
      </c>
      <c r="DC155" s="33">
        <v>11</v>
      </c>
      <c r="DD155" s="33" t="s">
        <v>745</v>
      </c>
      <c r="DE155" s="33">
        <v>1</v>
      </c>
    </row>
    <row r="156" spans="1:109" ht="12.75" customHeight="1">
      <c r="A156" s="33"/>
      <c r="B156" s="33"/>
      <c r="C156" s="33"/>
      <c r="D156" s="33"/>
      <c r="E156" s="33"/>
      <c r="F156" s="33"/>
      <c r="G156" s="33"/>
      <c r="H156" s="33"/>
      <c r="I156" s="33"/>
      <c r="J156" s="33"/>
      <c r="K156" s="33"/>
      <c r="L156" s="33"/>
      <c r="M156" s="33"/>
      <c r="N156" s="33"/>
      <c r="O156" s="33"/>
      <c r="P156" s="33"/>
      <c r="Q156" s="33">
        <v>148</v>
      </c>
      <c r="R156" s="33" t="s">
        <v>2355</v>
      </c>
      <c r="S156" s="33" t="s">
        <v>1072</v>
      </c>
      <c r="T156" s="33" t="s">
        <v>804</v>
      </c>
      <c r="U156" s="33" t="s">
        <v>1754</v>
      </c>
      <c r="V156" s="33" t="s">
        <v>1755</v>
      </c>
      <c r="W156" s="33" t="s">
        <v>1755</v>
      </c>
      <c r="X156" s="33" t="s">
        <v>1755</v>
      </c>
      <c r="Y156" s="33" t="s">
        <v>1755</v>
      </c>
      <c r="Z156" s="33" t="s">
        <v>1755</v>
      </c>
      <c r="AA156" s="33" t="s">
        <v>1755</v>
      </c>
      <c r="AB156" s="33" t="s">
        <v>1755</v>
      </c>
      <c r="AC156" s="33" t="s">
        <v>1755</v>
      </c>
      <c r="AD156" s="33" t="s">
        <v>1755</v>
      </c>
      <c r="AE156" s="33" t="s">
        <v>1755</v>
      </c>
      <c r="AF156" s="33"/>
      <c r="AG156" s="33">
        <v>148</v>
      </c>
      <c r="AH156" s="33" t="s">
        <v>2356</v>
      </c>
      <c r="AI156" s="33" t="s">
        <v>1072</v>
      </c>
      <c r="AJ156" s="33" t="s">
        <v>804</v>
      </c>
      <c r="AK156" s="33" t="s">
        <v>1439</v>
      </c>
      <c r="AL156" s="33">
        <v>0</v>
      </c>
      <c r="AM156" s="33">
        <v>0</v>
      </c>
      <c r="AN156" s="33">
        <v>0</v>
      </c>
      <c r="AO156" s="33">
        <v>0</v>
      </c>
      <c r="AP156" s="33">
        <v>0</v>
      </c>
      <c r="AQ156" s="33">
        <v>0</v>
      </c>
      <c r="AR156" s="33">
        <v>0</v>
      </c>
      <c r="AS156" s="33">
        <v>0</v>
      </c>
      <c r="AT156" s="33">
        <v>0</v>
      </c>
      <c r="AU156" s="33">
        <v>0</v>
      </c>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t="str">
        <f t="shared" si="4"/>
        <v>Mason Crosby</v>
      </c>
      <c r="CT156" s="33">
        <v>154</v>
      </c>
      <c r="CU156" s="33" t="s">
        <v>2357</v>
      </c>
      <c r="CV156" s="33">
        <v>9</v>
      </c>
      <c r="CW156" s="33" t="s">
        <v>2358</v>
      </c>
      <c r="CX156" s="33">
        <v>1</v>
      </c>
      <c r="CY156" s="33"/>
      <c r="CZ156" s="33" t="str">
        <f t="shared" si="5"/>
        <v>Mason Crosby</v>
      </c>
      <c r="DA156" s="33">
        <v>154</v>
      </c>
      <c r="DB156" s="33" t="s">
        <v>2357</v>
      </c>
      <c r="DC156" s="33">
        <v>9</v>
      </c>
      <c r="DD156" s="33" t="s">
        <v>2358</v>
      </c>
      <c r="DE156" s="33">
        <v>1</v>
      </c>
    </row>
    <row r="157" spans="1:109" ht="12.75" customHeight="1">
      <c r="A157" s="33"/>
      <c r="B157" s="33"/>
      <c r="C157" s="33"/>
      <c r="D157" s="33"/>
      <c r="E157" s="33"/>
      <c r="F157" s="33"/>
      <c r="G157" s="33"/>
      <c r="H157" s="33"/>
      <c r="I157" s="33"/>
      <c r="J157" s="33"/>
      <c r="K157" s="33"/>
      <c r="L157" s="33"/>
      <c r="M157" s="33"/>
      <c r="N157" s="33"/>
      <c r="O157" s="33"/>
      <c r="P157" s="33"/>
      <c r="Q157" s="33">
        <v>149</v>
      </c>
      <c r="R157" s="33" t="s">
        <v>2359</v>
      </c>
      <c r="S157" s="33" t="s">
        <v>1072</v>
      </c>
      <c r="T157" s="33" t="s">
        <v>804</v>
      </c>
      <c r="U157" s="33" t="s">
        <v>1754</v>
      </c>
      <c r="V157" s="33" t="s">
        <v>1755</v>
      </c>
      <c r="W157" s="33" t="s">
        <v>1755</v>
      </c>
      <c r="X157" s="33" t="s">
        <v>1755</v>
      </c>
      <c r="Y157" s="33" t="s">
        <v>1755</v>
      </c>
      <c r="Z157" s="33" t="s">
        <v>1755</v>
      </c>
      <c r="AA157" s="33" t="s">
        <v>1755</v>
      </c>
      <c r="AB157" s="33" t="s">
        <v>1755</v>
      </c>
      <c r="AC157" s="33" t="s">
        <v>1755</v>
      </c>
      <c r="AD157" s="33" t="s">
        <v>1755</v>
      </c>
      <c r="AE157" s="33" t="s">
        <v>1755</v>
      </c>
      <c r="AF157" s="33"/>
      <c r="AG157" s="33">
        <v>149</v>
      </c>
      <c r="AH157" s="33" t="s">
        <v>2360</v>
      </c>
      <c r="AI157" s="33" t="s">
        <v>1072</v>
      </c>
      <c r="AJ157" s="33" t="s">
        <v>804</v>
      </c>
      <c r="AK157" s="33" t="s">
        <v>1439</v>
      </c>
      <c r="AL157" s="33">
        <v>0</v>
      </c>
      <c r="AM157" s="33">
        <v>0</v>
      </c>
      <c r="AN157" s="33">
        <v>0</v>
      </c>
      <c r="AO157" s="33">
        <v>0</v>
      </c>
      <c r="AP157" s="33">
        <v>0</v>
      </c>
      <c r="AQ157" s="33">
        <v>0</v>
      </c>
      <c r="AR157" s="33">
        <v>0</v>
      </c>
      <c r="AS157" s="33">
        <v>0</v>
      </c>
      <c r="AT157" s="33">
        <v>0</v>
      </c>
      <c r="AU157" s="33">
        <v>0</v>
      </c>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t="str">
        <f t="shared" si="4"/>
        <v>Steven Hauschka</v>
      </c>
      <c r="CT157" s="33">
        <v>155</v>
      </c>
      <c r="CU157" s="33" t="s">
        <v>2361</v>
      </c>
      <c r="CV157" s="33">
        <v>4</v>
      </c>
      <c r="CW157" s="33" t="s">
        <v>2362</v>
      </c>
      <c r="CX157" s="33">
        <v>1</v>
      </c>
      <c r="CY157" s="33"/>
      <c r="CZ157" s="33" t="str">
        <f t="shared" si="5"/>
        <v>Steven Hauschka</v>
      </c>
      <c r="DA157" s="33">
        <v>155</v>
      </c>
      <c r="DB157" s="33" t="s">
        <v>2361</v>
      </c>
      <c r="DC157" s="33">
        <v>4</v>
      </c>
      <c r="DD157" s="33" t="s">
        <v>2362</v>
      </c>
      <c r="DE157" s="33">
        <v>1</v>
      </c>
    </row>
    <row r="158" spans="1:109" ht="12.75" customHeight="1">
      <c r="A158" s="33"/>
      <c r="B158" s="33"/>
      <c r="C158" s="33"/>
      <c r="D158" s="33"/>
      <c r="E158" s="33"/>
      <c r="F158" s="33"/>
      <c r="G158" s="33"/>
      <c r="H158" s="33"/>
      <c r="I158" s="33"/>
      <c r="J158" s="33"/>
      <c r="K158" s="33"/>
      <c r="L158" s="33"/>
      <c r="M158" s="33"/>
      <c r="N158" s="33"/>
      <c r="O158" s="33"/>
      <c r="P158" s="33"/>
      <c r="Q158" s="33">
        <v>150</v>
      </c>
      <c r="R158" s="33" t="s">
        <v>2363</v>
      </c>
      <c r="S158" s="33" t="s">
        <v>1072</v>
      </c>
      <c r="T158" s="33" t="s">
        <v>804</v>
      </c>
      <c r="U158" s="33" t="s">
        <v>1754</v>
      </c>
      <c r="V158" s="33" t="s">
        <v>1755</v>
      </c>
      <c r="W158" s="33" t="s">
        <v>1755</v>
      </c>
      <c r="X158" s="33" t="s">
        <v>1755</v>
      </c>
      <c r="Y158" s="33" t="s">
        <v>1755</v>
      </c>
      <c r="Z158" s="33" t="s">
        <v>1755</v>
      </c>
      <c r="AA158" s="33" t="s">
        <v>1755</v>
      </c>
      <c r="AB158" s="33" t="s">
        <v>1755</v>
      </c>
      <c r="AC158" s="33" t="s">
        <v>1755</v>
      </c>
      <c r="AD158" s="33" t="s">
        <v>1755</v>
      </c>
      <c r="AE158" s="33" t="s">
        <v>1755</v>
      </c>
      <c r="AF158" s="33"/>
      <c r="AG158" s="33">
        <v>150</v>
      </c>
      <c r="AH158" s="33" t="s">
        <v>2364</v>
      </c>
      <c r="AI158" s="33" t="s">
        <v>1072</v>
      </c>
      <c r="AJ158" s="33" t="s">
        <v>804</v>
      </c>
      <c r="AK158" s="33" t="s">
        <v>1439</v>
      </c>
      <c r="AL158" s="33">
        <v>0</v>
      </c>
      <c r="AM158" s="33">
        <v>0</v>
      </c>
      <c r="AN158" s="33">
        <v>0</v>
      </c>
      <c r="AO158" s="33">
        <v>0</v>
      </c>
      <c r="AP158" s="33">
        <v>0</v>
      </c>
      <c r="AQ158" s="33">
        <v>0</v>
      </c>
      <c r="AR158" s="33">
        <v>0</v>
      </c>
      <c r="AS158" s="33">
        <v>0</v>
      </c>
      <c r="AT158" s="33">
        <v>0</v>
      </c>
      <c r="AU158" s="33">
        <v>0</v>
      </c>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t="str">
        <f t="shared" si="4"/>
        <v>Phil Dawson</v>
      </c>
      <c r="CT158" s="33">
        <v>156</v>
      </c>
      <c r="CU158" s="33" t="s">
        <v>2365</v>
      </c>
      <c r="CV158" s="33">
        <v>8</v>
      </c>
      <c r="CW158" s="33" t="s">
        <v>2366</v>
      </c>
      <c r="CX158" s="33">
        <v>1</v>
      </c>
      <c r="CY158" s="33"/>
      <c r="CZ158" s="33" t="str">
        <f t="shared" si="5"/>
        <v>Phil Dawson</v>
      </c>
      <c r="DA158" s="33">
        <v>156</v>
      </c>
      <c r="DB158" s="33" t="s">
        <v>2365</v>
      </c>
      <c r="DC158" s="33">
        <v>8</v>
      </c>
      <c r="DD158" s="33" t="s">
        <v>2366</v>
      </c>
      <c r="DE158" s="33">
        <v>1</v>
      </c>
    </row>
    <row r="159" spans="1:109" ht="12.75" customHeight="1">
      <c r="A159" s="33"/>
      <c r="B159" s="33"/>
      <c r="C159" s="33"/>
      <c r="D159" s="33"/>
      <c r="E159" s="33"/>
      <c r="F159" s="33"/>
      <c r="G159" s="33"/>
      <c r="H159" s="33"/>
      <c r="I159" s="33"/>
      <c r="J159" s="33"/>
      <c r="K159" s="33"/>
      <c r="L159" s="33"/>
      <c r="M159" s="33"/>
      <c r="N159" s="33"/>
      <c r="O159" s="33"/>
      <c r="P159" s="33"/>
      <c r="Q159" s="33">
        <v>151</v>
      </c>
      <c r="R159" s="33" t="s">
        <v>2367</v>
      </c>
      <c r="S159" s="33" t="s">
        <v>1072</v>
      </c>
      <c r="T159" s="33" t="s">
        <v>804</v>
      </c>
      <c r="U159" s="33" t="s">
        <v>1754</v>
      </c>
      <c r="V159" s="33" t="s">
        <v>1755</v>
      </c>
      <c r="W159" s="33" t="s">
        <v>1755</v>
      </c>
      <c r="X159" s="33" t="s">
        <v>1755</v>
      </c>
      <c r="Y159" s="33" t="s">
        <v>1755</v>
      </c>
      <c r="Z159" s="33" t="s">
        <v>1755</v>
      </c>
      <c r="AA159" s="33" t="s">
        <v>1755</v>
      </c>
      <c r="AB159" s="33" t="s">
        <v>1755</v>
      </c>
      <c r="AC159" s="33" t="s">
        <v>1755</v>
      </c>
      <c r="AD159" s="33" t="s">
        <v>1755</v>
      </c>
      <c r="AE159" s="33" t="s">
        <v>1755</v>
      </c>
      <c r="AF159" s="33"/>
      <c r="AG159" s="33">
        <v>151</v>
      </c>
      <c r="AH159" s="33" t="s">
        <v>2368</v>
      </c>
      <c r="AI159" s="33" t="s">
        <v>1072</v>
      </c>
      <c r="AJ159" s="33" t="s">
        <v>804</v>
      </c>
      <c r="AK159" s="33" t="s">
        <v>1439</v>
      </c>
      <c r="AL159" s="33">
        <v>0</v>
      </c>
      <c r="AM159" s="33">
        <v>0</v>
      </c>
      <c r="AN159" s="33">
        <v>0</v>
      </c>
      <c r="AO159" s="33">
        <v>0</v>
      </c>
      <c r="AP159" s="33">
        <v>0</v>
      </c>
      <c r="AQ159" s="33">
        <v>0</v>
      </c>
      <c r="AR159" s="33">
        <v>0</v>
      </c>
      <c r="AS159" s="33">
        <v>0</v>
      </c>
      <c r="AT159" s="33">
        <v>0</v>
      </c>
      <c r="AU159" s="33">
        <v>-1</v>
      </c>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t="str">
        <f t="shared" si="4"/>
        <v>Nick Novak</v>
      </c>
      <c r="CT159" s="33">
        <v>157</v>
      </c>
      <c r="CU159" s="33" t="s">
        <v>2369</v>
      </c>
      <c r="CV159" s="33">
        <v>10</v>
      </c>
      <c r="CW159" s="33" t="s">
        <v>2370</v>
      </c>
      <c r="CX159" s="33">
        <v>1</v>
      </c>
      <c r="CY159" s="33"/>
      <c r="CZ159" s="33" t="str">
        <f t="shared" si="5"/>
        <v>Nick Novak</v>
      </c>
      <c r="DA159" s="33">
        <v>157</v>
      </c>
      <c r="DB159" s="33" t="s">
        <v>2369</v>
      </c>
      <c r="DC159" s="33">
        <v>10</v>
      </c>
      <c r="DD159" s="33" t="s">
        <v>2370</v>
      </c>
      <c r="DE159" s="33">
        <v>1</v>
      </c>
    </row>
    <row r="160" spans="1:109" ht="12.75" customHeight="1">
      <c r="A160" s="33"/>
      <c r="B160" s="33"/>
      <c r="C160" s="33"/>
      <c r="D160" s="33"/>
      <c r="E160" s="33"/>
      <c r="F160" s="33"/>
      <c r="G160" s="33"/>
      <c r="H160" s="33"/>
      <c r="I160" s="33"/>
      <c r="J160" s="33"/>
      <c r="K160" s="33"/>
      <c r="L160" s="33"/>
      <c r="M160" s="33"/>
      <c r="N160" s="33"/>
      <c r="O160" s="33"/>
      <c r="P160" s="33"/>
      <c r="Q160" s="33">
        <v>152</v>
      </c>
      <c r="R160" s="33" t="s">
        <v>2371</v>
      </c>
      <c r="S160" s="33" t="s">
        <v>1072</v>
      </c>
      <c r="T160" s="33" t="s">
        <v>804</v>
      </c>
      <c r="U160" s="33" t="s">
        <v>1754</v>
      </c>
      <c r="V160" s="33" t="s">
        <v>1755</v>
      </c>
      <c r="W160" s="33" t="s">
        <v>1755</v>
      </c>
      <c r="X160" s="33" t="s">
        <v>1755</v>
      </c>
      <c r="Y160" s="33" t="s">
        <v>1755</v>
      </c>
      <c r="Z160" s="33" t="s">
        <v>1755</v>
      </c>
      <c r="AA160" s="33" t="s">
        <v>1755</v>
      </c>
      <c r="AB160" s="33" t="s">
        <v>1755</v>
      </c>
      <c r="AC160" s="33" t="s">
        <v>1755</v>
      </c>
      <c r="AD160" s="33" t="s">
        <v>1755</v>
      </c>
      <c r="AE160" s="33" t="s">
        <v>1755</v>
      </c>
      <c r="AF160" s="33"/>
      <c r="AG160" s="33">
        <v>152</v>
      </c>
      <c r="AH160" s="33" t="s">
        <v>2372</v>
      </c>
      <c r="AI160" s="33" t="s">
        <v>1072</v>
      </c>
      <c r="AJ160" s="33" t="s">
        <v>804</v>
      </c>
      <c r="AK160" s="33" t="s">
        <v>1754</v>
      </c>
      <c r="AL160" s="33" t="s">
        <v>1755</v>
      </c>
      <c r="AM160" s="33" t="s">
        <v>1755</v>
      </c>
      <c r="AN160" s="33" t="s">
        <v>1755</v>
      </c>
      <c r="AO160" s="33" t="s">
        <v>1755</v>
      </c>
      <c r="AP160" s="33" t="s">
        <v>1755</v>
      </c>
      <c r="AQ160" s="33" t="s">
        <v>1755</v>
      </c>
      <c r="AR160" s="33" t="s">
        <v>1755</v>
      </c>
      <c r="AS160" s="33" t="s">
        <v>1755</v>
      </c>
      <c r="AT160" s="33" t="s">
        <v>1755</v>
      </c>
      <c r="AU160" s="33" t="s">
        <v>1755</v>
      </c>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t="str">
        <f t="shared" si="4"/>
        <v>Adam Vinatieri</v>
      </c>
      <c r="CT160" s="33">
        <v>158</v>
      </c>
      <c r="CU160" s="33" t="s">
        <v>2373</v>
      </c>
      <c r="CV160" s="33">
        <v>10</v>
      </c>
      <c r="CW160" s="33" t="s">
        <v>2374</v>
      </c>
      <c r="CX160" s="33">
        <v>1</v>
      </c>
      <c r="CY160" s="33"/>
      <c r="CZ160" s="33" t="str">
        <f t="shared" si="5"/>
        <v>Adam Vinatieri</v>
      </c>
      <c r="DA160" s="33">
        <v>158</v>
      </c>
      <c r="DB160" s="33" t="s">
        <v>2373</v>
      </c>
      <c r="DC160" s="33">
        <v>10</v>
      </c>
      <c r="DD160" s="33" t="s">
        <v>2374</v>
      </c>
      <c r="DE160" s="33">
        <v>1</v>
      </c>
    </row>
    <row r="161" spans="1:109" ht="12.75" customHeight="1">
      <c r="A161" s="33"/>
      <c r="B161" s="33"/>
      <c r="C161" s="33"/>
      <c r="D161" s="33"/>
      <c r="E161" s="33"/>
      <c r="F161" s="33"/>
      <c r="G161" s="33"/>
      <c r="H161" s="33"/>
      <c r="I161" s="33"/>
      <c r="J161" s="33"/>
      <c r="K161" s="33"/>
      <c r="L161" s="33"/>
      <c r="M161" s="33"/>
      <c r="N161" s="33"/>
      <c r="O161" s="33"/>
      <c r="P161" s="33"/>
      <c r="Q161" s="33">
        <v>153</v>
      </c>
      <c r="R161" s="33" t="s">
        <v>2375</v>
      </c>
      <c r="S161" s="33" t="s">
        <v>1072</v>
      </c>
      <c r="T161" s="33" t="s">
        <v>804</v>
      </c>
      <c r="U161" s="33" t="s">
        <v>1754</v>
      </c>
      <c r="V161" s="33" t="s">
        <v>1755</v>
      </c>
      <c r="W161" s="33" t="s">
        <v>1755</v>
      </c>
      <c r="X161" s="33" t="s">
        <v>1755</v>
      </c>
      <c r="Y161" s="33" t="s">
        <v>1755</v>
      </c>
      <c r="Z161" s="33" t="s">
        <v>1755</v>
      </c>
      <c r="AA161" s="33" t="s">
        <v>1755</v>
      </c>
      <c r="AB161" s="33" t="s">
        <v>1755</v>
      </c>
      <c r="AC161" s="33" t="s">
        <v>1755</v>
      </c>
      <c r="AD161" s="33" t="s">
        <v>1755</v>
      </c>
      <c r="AE161" s="33" t="s">
        <v>1755</v>
      </c>
      <c r="AF161" s="33"/>
      <c r="AG161" s="33">
        <v>153</v>
      </c>
      <c r="AH161" s="33" t="s">
        <v>2376</v>
      </c>
      <c r="AI161" s="33" t="s">
        <v>1072</v>
      </c>
      <c r="AJ161" s="33" t="s">
        <v>804</v>
      </c>
      <c r="AK161" s="33" t="s">
        <v>1754</v>
      </c>
      <c r="AL161" s="33" t="s">
        <v>1755</v>
      </c>
      <c r="AM161" s="33" t="s">
        <v>1755</v>
      </c>
      <c r="AN161" s="33" t="s">
        <v>1755</v>
      </c>
      <c r="AO161" s="33" t="s">
        <v>1755</v>
      </c>
      <c r="AP161" s="33" t="s">
        <v>1755</v>
      </c>
      <c r="AQ161" s="33" t="s">
        <v>1755</v>
      </c>
      <c r="AR161" s="33" t="s">
        <v>1755</v>
      </c>
      <c r="AS161" s="33" t="s">
        <v>1755</v>
      </c>
      <c r="AT161" s="33" t="s">
        <v>1755</v>
      </c>
      <c r="AU161" s="33" t="s">
        <v>1755</v>
      </c>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t="str">
        <f t="shared" si="4"/>
        <v>Blair Walsh</v>
      </c>
      <c r="CT161" s="33">
        <v>159</v>
      </c>
      <c r="CU161" s="33" t="s">
        <v>2377</v>
      </c>
      <c r="CV161" s="33">
        <v>10</v>
      </c>
      <c r="CW161" s="33" t="s">
        <v>2378</v>
      </c>
      <c r="CX161" s="33">
        <v>1</v>
      </c>
      <c r="CY161" s="33"/>
      <c r="CZ161" s="33" t="str">
        <f t="shared" si="5"/>
        <v>Blair Walsh</v>
      </c>
      <c r="DA161" s="33">
        <v>159</v>
      </c>
      <c r="DB161" s="33" t="s">
        <v>2377</v>
      </c>
      <c r="DC161" s="33">
        <v>10</v>
      </c>
      <c r="DD161" s="33" t="s">
        <v>2378</v>
      </c>
      <c r="DE161" s="33">
        <v>1</v>
      </c>
    </row>
    <row r="162" spans="1:109" ht="12.75" customHeight="1">
      <c r="A162" s="33"/>
      <c r="B162" s="33"/>
      <c r="C162" s="33"/>
      <c r="D162" s="33"/>
      <c r="E162" s="33"/>
      <c r="F162" s="33"/>
      <c r="G162" s="33"/>
      <c r="H162" s="33"/>
      <c r="I162" s="33"/>
      <c r="J162" s="33"/>
      <c r="K162" s="33"/>
      <c r="L162" s="33"/>
      <c r="M162" s="33"/>
      <c r="N162" s="33"/>
      <c r="O162" s="33"/>
      <c r="P162" s="33"/>
      <c r="Q162" s="33">
        <v>154</v>
      </c>
      <c r="R162" s="33" t="s">
        <v>2379</v>
      </c>
      <c r="S162" s="33" t="s">
        <v>1072</v>
      </c>
      <c r="T162" s="33" t="s">
        <v>804</v>
      </c>
      <c r="U162" s="33" t="s">
        <v>1754</v>
      </c>
      <c r="V162" s="33" t="s">
        <v>1755</v>
      </c>
      <c r="W162" s="33" t="s">
        <v>1755</v>
      </c>
      <c r="X162" s="33" t="s">
        <v>1755</v>
      </c>
      <c r="Y162" s="33" t="s">
        <v>1755</v>
      </c>
      <c r="Z162" s="33" t="s">
        <v>1755</v>
      </c>
      <c r="AA162" s="33" t="s">
        <v>1755</v>
      </c>
      <c r="AB162" s="33" t="s">
        <v>1755</v>
      </c>
      <c r="AC162" s="33" t="s">
        <v>1755</v>
      </c>
      <c r="AD162" s="33" t="s">
        <v>1755</v>
      </c>
      <c r="AE162" s="33" t="s">
        <v>1755</v>
      </c>
      <c r="AF162" s="33"/>
      <c r="AG162" s="33">
        <v>154</v>
      </c>
      <c r="AH162" s="33" t="s">
        <v>2380</v>
      </c>
      <c r="AI162" s="33" t="s">
        <v>1072</v>
      </c>
      <c r="AJ162" s="33" t="s">
        <v>804</v>
      </c>
      <c r="AK162" s="33" t="s">
        <v>1754</v>
      </c>
      <c r="AL162" s="33" t="s">
        <v>1755</v>
      </c>
      <c r="AM162" s="33" t="s">
        <v>1755</v>
      </c>
      <c r="AN162" s="33" t="s">
        <v>1755</v>
      </c>
      <c r="AO162" s="33" t="s">
        <v>1755</v>
      </c>
      <c r="AP162" s="33" t="s">
        <v>1755</v>
      </c>
      <c r="AQ162" s="33" t="s">
        <v>1755</v>
      </c>
      <c r="AR162" s="33" t="s">
        <v>1755</v>
      </c>
      <c r="AS162" s="33" t="s">
        <v>1755</v>
      </c>
      <c r="AT162" s="33" t="s">
        <v>1755</v>
      </c>
      <c r="AU162" s="33" t="s">
        <v>1755</v>
      </c>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t="str">
        <f t="shared" si="4"/>
        <v>Dan Bailey</v>
      </c>
      <c r="CT162" s="33">
        <v>160</v>
      </c>
      <c r="CU162" s="33" t="s">
        <v>2381</v>
      </c>
      <c r="CV162" s="33">
        <v>11</v>
      </c>
      <c r="CW162" s="33" t="s">
        <v>2382</v>
      </c>
      <c r="CX162" s="33">
        <v>1</v>
      </c>
      <c r="CY162" s="33"/>
      <c r="CZ162" s="33" t="str">
        <f t="shared" si="5"/>
        <v>Dan Bailey</v>
      </c>
      <c r="DA162" s="33">
        <v>160</v>
      </c>
      <c r="DB162" s="33" t="s">
        <v>2381</v>
      </c>
      <c r="DC162" s="33">
        <v>11</v>
      </c>
      <c r="DD162" s="33" t="s">
        <v>2382</v>
      </c>
      <c r="DE162" s="33">
        <v>1</v>
      </c>
    </row>
    <row r="163" spans="1:109" ht="12.75" customHeight="1">
      <c r="A163" s="33"/>
      <c r="B163" s="33"/>
      <c r="C163" s="33"/>
      <c r="D163" s="33"/>
      <c r="E163" s="33"/>
      <c r="F163" s="33"/>
      <c r="G163" s="33"/>
      <c r="H163" s="33"/>
      <c r="I163" s="33"/>
      <c r="J163" s="33"/>
      <c r="K163" s="33"/>
      <c r="L163" s="33"/>
      <c r="M163" s="33"/>
      <c r="N163" s="33"/>
      <c r="O163" s="33"/>
      <c r="P163" s="33"/>
      <c r="Q163" s="33">
        <v>155</v>
      </c>
      <c r="R163" s="33" t="s">
        <v>2383</v>
      </c>
      <c r="S163" s="33" t="s">
        <v>1072</v>
      </c>
      <c r="T163" s="33" t="s">
        <v>804</v>
      </c>
      <c r="U163" s="33" t="s">
        <v>1754</v>
      </c>
      <c r="V163" s="33" t="s">
        <v>1755</v>
      </c>
      <c r="W163" s="33" t="s">
        <v>1755</v>
      </c>
      <c r="X163" s="33" t="s">
        <v>1755</v>
      </c>
      <c r="Y163" s="33" t="s">
        <v>1755</v>
      </c>
      <c r="Z163" s="33" t="s">
        <v>1755</v>
      </c>
      <c r="AA163" s="33" t="s">
        <v>1755</v>
      </c>
      <c r="AB163" s="33" t="s">
        <v>1755</v>
      </c>
      <c r="AC163" s="33" t="s">
        <v>1755</v>
      </c>
      <c r="AD163" s="33" t="s">
        <v>1755</v>
      </c>
      <c r="AE163" s="33" t="s">
        <v>1755</v>
      </c>
      <c r="AF163" s="33"/>
      <c r="AG163" s="33">
        <v>155</v>
      </c>
      <c r="AH163" s="33" t="s">
        <v>2384</v>
      </c>
      <c r="AI163" s="33" t="s">
        <v>1072</v>
      </c>
      <c r="AJ163" s="33" t="s">
        <v>804</v>
      </c>
      <c r="AK163" s="33" t="s">
        <v>1754</v>
      </c>
      <c r="AL163" s="33" t="s">
        <v>1755</v>
      </c>
      <c r="AM163" s="33" t="s">
        <v>1755</v>
      </c>
      <c r="AN163" s="33" t="s">
        <v>1755</v>
      </c>
      <c r="AO163" s="33" t="s">
        <v>1755</v>
      </c>
      <c r="AP163" s="33" t="s">
        <v>1755</v>
      </c>
      <c r="AQ163" s="33" t="s">
        <v>1755</v>
      </c>
      <c r="AR163" s="33" t="s">
        <v>1755</v>
      </c>
      <c r="AS163" s="33" t="s">
        <v>1755</v>
      </c>
      <c r="AT163" s="33" t="s">
        <v>1755</v>
      </c>
      <c r="AU163" s="33" t="s">
        <v>1755</v>
      </c>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t="str">
        <f t="shared" si="4"/>
        <v>Steve Johnson</v>
      </c>
      <c r="CT163" s="33">
        <v>161</v>
      </c>
      <c r="CU163" s="33" t="s">
        <v>2290</v>
      </c>
      <c r="CV163" s="33">
        <v>8</v>
      </c>
      <c r="CW163" s="33" t="s">
        <v>2267</v>
      </c>
      <c r="CX163" s="33" t="s">
        <v>1755</v>
      </c>
      <c r="CY163" s="33"/>
      <c r="CZ163" s="33" t="str">
        <f t="shared" si="5"/>
        <v>Denarius Moore</v>
      </c>
      <c r="DA163" s="33">
        <v>161</v>
      </c>
      <c r="DB163" s="33" t="s">
        <v>2385</v>
      </c>
      <c r="DC163" s="33">
        <v>5</v>
      </c>
      <c r="DD163" s="33" t="s">
        <v>2386</v>
      </c>
      <c r="DE163" s="33" t="s">
        <v>1755</v>
      </c>
    </row>
    <row r="164" spans="1:109" ht="12.75" customHeight="1">
      <c r="A164" s="33"/>
      <c r="B164" s="33"/>
      <c r="C164" s="33"/>
      <c r="D164" s="33"/>
      <c r="E164" s="33"/>
      <c r="F164" s="33"/>
      <c r="G164" s="33"/>
      <c r="H164" s="33"/>
      <c r="I164" s="33"/>
      <c r="J164" s="33"/>
      <c r="K164" s="33"/>
      <c r="L164" s="33"/>
      <c r="M164" s="33"/>
      <c r="N164" s="33"/>
      <c r="O164" s="33"/>
      <c r="P164" s="33"/>
      <c r="Q164" s="33">
        <v>156</v>
      </c>
      <c r="R164" s="33" t="s">
        <v>2387</v>
      </c>
      <c r="S164" s="33" t="s">
        <v>1072</v>
      </c>
      <c r="T164" s="33" t="s">
        <v>804</v>
      </c>
      <c r="U164" s="33" t="s">
        <v>1754</v>
      </c>
      <c r="V164" s="33" t="s">
        <v>1755</v>
      </c>
      <c r="W164" s="33" t="s">
        <v>1755</v>
      </c>
      <c r="X164" s="33" t="s">
        <v>1755</v>
      </c>
      <c r="Y164" s="33" t="s">
        <v>1755</v>
      </c>
      <c r="Z164" s="33" t="s">
        <v>1755</v>
      </c>
      <c r="AA164" s="33" t="s">
        <v>1755</v>
      </c>
      <c r="AB164" s="33" t="s">
        <v>1755</v>
      </c>
      <c r="AC164" s="33" t="s">
        <v>1755</v>
      </c>
      <c r="AD164" s="33" t="s">
        <v>1755</v>
      </c>
      <c r="AE164" s="33" t="s">
        <v>1755</v>
      </c>
      <c r="AF164" s="33"/>
      <c r="AG164" s="33">
        <v>156</v>
      </c>
      <c r="AH164" s="33" t="s">
        <v>2388</v>
      </c>
      <c r="AI164" s="33" t="s">
        <v>1072</v>
      </c>
      <c r="AJ164" s="33" t="s">
        <v>804</v>
      </c>
      <c r="AK164" s="33" t="s">
        <v>1754</v>
      </c>
      <c r="AL164" s="33" t="s">
        <v>1755</v>
      </c>
      <c r="AM164" s="33" t="s">
        <v>1755</v>
      </c>
      <c r="AN164" s="33" t="s">
        <v>1755</v>
      </c>
      <c r="AO164" s="33" t="s">
        <v>1755</v>
      </c>
      <c r="AP164" s="33" t="s">
        <v>1755</v>
      </c>
      <c r="AQ164" s="33" t="s">
        <v>1755</v>
      </c>
      <c r="AR164" s="33" t="s">
        <v>1755</v>
      </c>
      <c r="AS164" s="33" t="s">
        <v>1755</v>
      </c>
      <c r="AT164" s="33" t="s">
        <v>1755</v>
      </c>
      <c r="AU164" s="33" t="s">
        <v>1755</v>
      </c>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t="str">
        <f t="shared" si="4"/>
        <v>Carson Palmer</v>
      </c>
      <c r="CT164" s="33">
        <v>162</v>
      </c>
      <c r="CU164" s="33" t="s">
        <v>2330</v>
      </c>
      <c r="CV164" s="33">
        <v>4</v>
      </c>
      <c r="CW164" s="33" t="s">
        <v>2331</v>
      </c>
      <c r="CX164" s="33" t="s">
        <v>1755</v>
      </c>
      <c r="CY164" s="33"/>
      <c r="CZ164" s="33" t="str">
        <f t="shared" si="5"/>
        <v>Terrance West</v>
      </c>
      <c r="DA164" s="33">
        <v>162</v>
      </c>
      <c r="DB164" s="33" t="s">
        <v>2187</v>
      </c>
      <c r="DC164" s="33">
        <v>4</v>
      </c>
      <c r="DD164" s="33" t="s">
        <v>2176</v>
      </c>
      <c r="DE164" s="33" t="s">
        <v>1755</v>
      </c>
    </row>
    <row r="165" spans="1:109" ht="12.75" customHeight="1">
      <c r="A165" s="33"/>
      <c r="B165" s="33"/>
      <c r="C165" s="33"/>
      <c r="D165" s="33"/>
      <c r="E165" s="33"/>
      <c r="F165" s="33"/>
      <c r="G165" s="33"/>
      <c r="H165" s="33"/>
      <c r="I165" s="33"/>
      <c r="J165" s="33"/>
      <c r="K165" s="33"/>
      <c r="L165" s="33"/>
      <c r="M165" s="33"/>
      <c r="N165" s="33"/>
      <c r="O165" s="33"/>
      <c r="P165" s="33"/>
      <c r="Q165" s="33">
        <v>157</v>
      </c>
      <c r="R165" s="33" t="s">
        <v>2389</v>
      </c>
      <c r="S165" s="33" t="s">
        <v>1072</v>
      </c>
      <c r="T165" s="33" t="s">
        <v>804</v>
      </c>
      <c r="U165" s="33" t="s">
        <v>1754</v>
      </c>
      <c r="V165" s="33" t="s">
        <v>1755</v>
      </c>
      <c r="W165" s="33" t="s">
        <v>1755</v>
      </c>
      <c r="X165" s="33" t="s">
        <v>1755</v>
      </c>
      <c r="Y165" s="33" t="s">
        <v>1755</v>
      </c>
      <c r="Z165" s="33" t="s">
        <v>1755</v>
      </c>
      <c r="AA165" s="33" t="s">
        <v>1755</v>
      </c>
      <c r="AB165" s="33" t="s">
        <v>1755</v>
      </c>
      <c r="AC165" s="33" t="s">
        <v>1755</v>
      </c>
      <c r="AD165" s="33" t="s">
        <v>1755</v>
      </c>
      <c r="AE165" s="33" t="s">
        <v>1755</v>
      </c>
      <c r="AF165" s="33"/>
      <c r="AG165" s="33">
        <v>157</v>
      </c>
      <c r="AH165" s="33" t="s">
        <v>2390</v>
      </c>
      <c r="AI165" s="33" t="s">
        <v>1072</v>
      </c>
      <c r="AJ165" s="33" t="s">
        <v>804</v>
      </c>
      <c r="AK165" s="33" t="s">
        <v>1754</v>
      </c>
      <c r="AL165" s="33" t="s">
        <v>1755</v>
      </c>
      <c r="AM165" s="33" t="s">
        <v>1755</v>
      </c>
      <c r="AN165" s="33" t="s">
        <v>1755</v>
      </c>
      <c r="AO165" s="33" t="s">
        <v>1755</v>
      </c>
      <c r="AP165" s="33" t="s">
        <v>1755</v>
      </c>
      <c r="AQ165" s="33" t="s">
        <v>1755</v>
      </c>
      <c r="AR165" s="33" t="s">
        <v>1755</v>
      </c>
      <c r="AS165" s="33" t="s">
        <v>1755</v>
      </c>
      <c r="AT165" s="33" t="s">
        <v>1755</v>
      </c>
      <c r="AU165" s="33" t="s">
        <v>1755</v>
      </c>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t="str">
        <f t="shared" si="4"/>
        <v>Jordan Todman</v>
      </c>
      <c r="CT165" s="33">
        <v>163</v>
      </c>
      <c r="CU165" s="33" t="s">
        <v>2391</v>
      </c>
      <c r="CV165" s="33">
        <v>11</v>
      </c>
      <c r="CW165" s="33" t="s">
        <v>2392</v>
      </c>
      <c r="CX165" s="33" t="s">
        <v>1755</v>
      </c>
      <c r="CY165" s="33"/>
      <c r="CZ165" s="33" t="str">
        <f t="shared" si="5"/>
        <v>Ladarius Green</v>
      </c>
      <c r="DA165" s="33">
        <v>163</v>
      </c>
      <c r="DB165" s="33" t="s">
        <v>2393</v>
      </c>
      <c r="DC165" s="33">
        <v>10</v>
      </c>
      <c r="DD165" s="33" t="s">
        <v>2394</v>
      </c>
      <c r="DE165" s="33" t="s">
        <v>1755</v>
      </c>
    </row>
    <row r="166" spans="1:109" ht="12.75" customHeight="1">
      <c r="A166" s="33"/>
      <c r="B166" s="33"/>
      <c r="C166" s="33"/>
      <c r="D166" s="33"/>
      <c r="E166" s="33"/>
      <c r="F166" s="33"/>
      <c r="G166" s="33"/>
      <c r="H166" s="33"/>
      <c r="I166" s="33"/>
      <c r="J166" s="33"/>
      <c r="K166" s="33"/>
      <c r="L166" s="33"/>
      <c r="M166" s="33"/>
      <c r="N166" s="33"/>
      <c r="O166" s="33"/>
      <c r="P166" s="33"/>
      <c r="Q166" s="33">
        <v>158</v>
      </c>
      <c r="R166" s="33" t="s">
        <v>2395</v>
      </c>
      <c r="S166" s="33" t="s">
        <v>1072</v>
      </c>
      <c r="T166" s="33" t="s">
        <v>804</v>
      </c>
      <c r="U166" s="33" t="s">
        <v>1754</v>
      </c>
      <c r="V166" s="33" t="s">
        <v>1755</v>
      </c>
      <c r="W166" s="33" t="s">
        <v>1755</v>
      </c>
      <c r="X166" s="33" t="s">
        <v>1755</v>
      </c>
      <c r="Y166" s="33" t="s">
        <v>1755</v>
      </c>
      <c r="Z166" s="33" t="s">
        <v>1755</v>
      </c>
      <c r="AA166" s="33" t="s">
        <v>1755</v>
      </c>
      <c r="AB166" s="33" t="s">
        <v>1755</v>
      </c>
      <c r="AC166" s="33" t="s">
        <v>1755</v>
      </c>
      <c r="AD166" s="33" t="s">
        <v>1755</v>
      </c>
      <c r="AE166" s="33" t="s">
        <v>1755</v>
      </c>
      <c r="AF166" s="33"/>
      <c r="AG166" s="33">
        <v>158</v>
      </c>
      <c r="AH166" s="33" t="s">
        <v>2396</v>
      </c>
      <c r="AI166" s="33" t="s">
        <v>1072</v>
      </c>
      <c r="AJ166" s="33" t="s">
        <v>804</v>
      </c>
      <c r="AK166" s="33" t="s">
        <v>1754</v>
      </c>
      <c r="AL166" s="33" t="s">
        <v>1755</v>
      </c>
      <c r="AM166" s="33" t="s">
        <v>1755</v>
      </c>
      <c r="AN166" s="33" t="s">
        <v>1755</v>
      </c>
      <c r="AO166" s="33" t="s">
        <v>1755</v>
      </c>
      <c r="AP166" s="33" t="s">
        <v>1755</v>
      </c>
      <c r="AQ166" s="33" t="s">
        <v>1755</v>
      </c>
      <c r="AR166" s="33" t="s">
        <v>1755</v>
      </c>
      <c r="AS166" s="33" t="s">
        <v>1755</v>
      </c>
      <c r="AT166" s="33" t="s">
        <v>1755</v>
      </c>
      <c r="AU166" s="33" t="s">
        <v>1755</v>
      </c>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t="str">
        <f t="shared" si="4"/>
        <v>Latavius Murray</v>
      </c>
      <c r="CT166" s="33">
        <v>164</v>
      </c>
      <c r="CU166" s="33" t="s">
        <v>2397</v>
      </c>
      <c r="CV166" s="33">
        <v>5</v>
      </c>
      <c r="CW166" s="33" t="s">
        <v>2398</v>
      </c>
      <c r="CX166" s="33" t="s">
        <v>1755</v>
      </c>
      <c r="CY166" s="33"/>
      <c r="CZ166" s="33" t="str">
        <f t="shared" si="5"/>
        <v>Aaron Dobson</v>
      </c>
      <c r="DA166" s="33">
        <v>164</v>
      </c>
      <c r="DB166" s="33" t="s">
        <v>2399</v>
      </c>
      <c r="DC166" s="33">
        <v>10</v>
      </c>
      <c r="DD166" s="33" t="s">
        <v>2400</v>
      </c>
      <c r="DE166" s="33" t="s">
        <v>1755</v>
      </c>
    </row>
    <row r="167" spans="1:109" ht="12.75" customHeight="1">
      <c r="A167" s="33"/>
      <c r="B167" s="33"/>
      <c r="C167" s="33"/>
      <c r="D167" s="33"/>
      <c r="E167" s="33"/>
      <c r="F167" s="33"/>
      <c r="G167" s="33"/>
      <c r="H167" s="33"/>
      <c r="I167" s="33"/>
      <c r="J167" s="33"/>
      <c r="K167" s="33"/>
      <c r="L167" s="33"/>
      <c r="M167" s="33"/>
      <c r="N167" s="33"/>
      <c r="O167" s="33"/>
      <c r="P167" s="33"/>
      <c r="Q167" s="33">
        <v>159</v>
      </c>
      <c r="R167" s="33" t="s">
        <v>2401</v>
      </c>
      <c r="S167" s="33" t="s">
        <v>1072</v>
      </c>
      <c r="T167" s="33" t="s">
        <v>804</v>
      </c>
      <c r="U167" s="33" t="s">
        <v>1754</v>
      </c>
      <c r="V167" s="33" t="s">
        <v>1755</v>
      </c>
      <c r="W167" s="33" t="s">
        <v>1755</v>
      </c>
      <c r="X167" s="33" t="s">
        <v>1755</v>
      </c>
      <c r="Y167" s="33" t="s">
        <v>1755</v>
      </c>
      <c r="Z167" s="33" t="s">
        <v>1755</v>
      </c>
      <c r="AA167" s="33" t="s">
        <v>1755</v>
      </c>
      <c r="AB167" s="33" t="s">
        <v>1755</v>
      </c>
      <c r="AC167" s="33" t="s">
        <v>1755</v>
      </c>
      <c r="AD167" s="33" t="s">
        <v>1755</v>
      </c>
      <c r="AE167" s="33" t="s">
        <v>1755</v>
      </c>
      <c r="AF167" s="33"/>
      <c r="AG167" s="33">
        <v>159</v>
      </c>
      <c r="AH167" s="33" t="s">
        <v>2402</v>
      </c>
      <c r="AI167" s="33" t="s">
        <v>1072</v>
      </c>
      <c r="AJ167" s="33" t="s">
        <v>804</v>
      </c>
      <c r="AK167" s="33" t="s">
        <v>1754</v>
      </c>
      <c r="AL167" s="33" t="s">
        <v>1755</v>
      </c>
      <c r="AM167" s="33" t="s">
        <v>1755</v>
      </c>
      <c r="AN167" s="33" t="s">
        <v>1755</v>
      </c>
      <c r="AO167" s="33" t="s">
        <v>1755</v>
      </c>
      <c r="AP167" s="33" t="s">
        <v>1755</v>
      </c>
      <c r="AQ167" s="33" t="s">
        <v>1755</v>
      </c>
      <c r="AR167" s="33" t="s">
        <v>1755</v>
      </c>
      <c r="AS167" s="33" t="s">
        <v>1755</v>
      </c>
      <c r="AT167" s="33" t="s">
        <v>1755</v>
      </c>
      <c r="AU167" s="33" t="s">
        <v>1755</v>
      </c>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t="str">
        <f t="shared" si="4"/>
        <v>Andrew Hawkins</v>
      </c>
      <c r="CT167" s="33">
        <v>165</v>
      </c>
      <c r="CU167" s="33" t="s">
        <v>2229</v>
      </c>
      <c r="CV167" s="33">
        <v>4</v>
      </c>
      <c r="CW167" s="33" t="s">
        <v>2271</v>
      </c>
      <c r="CX167" s="33" t="s">
        <v>1755</v>
      </c>
      <c r="CY167" s="33"/>
      <c r="CZ167" s="33" t="str">
        <f t="shared" si="5"/>
        <v>Kelvin Benjamin</v>
      </c>
      <c r="DA167" s="33">
        <v>165</v>
      </c>
      <c r="DB167" s="33" t="s">
        <v>2403</v>
      </c>
      <c r="DC167" s="33">
        <v>12</v>
      </c>
      <c r="DD167" s="33" t="s">
        <v>2404</v>
      </c>
      <c r="DE167" s="33" t="s">
        <v>1755</v>
      </c>
    </row>
    <row r="168" spans="1:109" ht="12.75" customHeight="1">
      <c r="A168" s="33"/>
      <c r="B168" s="33"/>
      <c r="C168" s="33"/>
      <c r="D168" s="33"/>
      <c r="E168" s="33"/>
      <c r="F168" s="33"/>
      <c r="G168" s="33"/>
      <c r="H168" s="33"/>
      <c r="I168" s="33"/>
      <c r="J168" s="33"/>
      <c r="K168" s="33"/>
      <c r="L168" s="33"/>
      <c r="M168" s="33"/>
      <c r="N168" s="33"/>
      <c r="O168" s="33"/>
      <c r="P168" s="33"/>
      <c r="Q168" s="33">
        <v>160</v>
      </c>
      <c r="R168" s="33" t="s">
        <v>2405</v>
      </c>
      <c r="S168" s="33" t="s">
        <v>1072</v>
      </c>
      <c r="T168" s="33" t="s">
        <v>804</v>
      </c>
      <c r="U168" s="33" t="s">
        <v>1754</v>
      </c>
      <c r="V168" s="33" t="s">
        <v>1755</v>
      </c>
      <c r="W168" s="33" t="s">
        <v>1755</v>
      </c>
      <c r="X168" s="33" t="s">
        <v>1755</v>
      </c>
      <c r="Y168" s="33" t="s">
        <v>1755</v>
      </c>
      <c r="Z168" s="33" t="s">
        <v>1755</v>
      </c>
      <c r="AA168" s="33" t="s">
        <v>1755</v>
      </c>
      <c r="AB168" s="33" t="s">
        <v>1755</v>
      </c>
      <c r="AC168" s="33" t="s">
        <v>1755</v>
      </c>
      <c r="AD168" s="33" t="s">
        <v>1755</v>
      </c>
      <c r="AE168" s="33" t="s">
        <v>1755</v>
      </c>
      <c r="AF168" s="33"/>
      <c r="AG168" s="33">
        <v>160</v>
      </c>
      <c r="AH168" s="33" t="s">
        <v>2406</v>
      </c>
      <c r="AI168" s="33" t="s">
        <v>1072</v>
      </c>
      <c r="AJ168" s="33" t="s">
        <v>804</v>
      </c>
      <c r="AK168" s="33" t="s">
        <v>1754</v>
      </c>
      <c r="AL168" s="33" t="s">
        <v>1755</v>
      </c>
      <c r="AM168" s="33" t="s">
        <v>1755</v>
      </c>
      <c r="AN168" s="33" t="s">
        <v>1755</v>
      </c>
      <c r="AO168" s="33" t="s">
        <v>1755</v>
      </c>
      <c r="AP168" s="33" t="s">
        <v>1755</v>
      </c>
      <c r="AQ168" s="33" t="s">
        <v>1755</v>
      </c>
      <c r="AR168" s="33" t="s">
        <v>1755</v>
      </c>
      <c r="AS168" s="33" t="s">
        <v>1755</v>
      </c>
      <c r="AT168" s="33" t="s">
        <v>1755</v>
      </c>
      <c r="AU168" s="33" t="s">
        <v>1755</v>
      </c>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t="str">
        <f t="shared" si="4"/>
        <v>Ka'Deem Carey</v>
      </c>
      <c r="CT168" s="33">
        <v>166</v>
      </c>
      <c r="CU168" s="33" t="s">
        <v>2407</v>
      </c>
      <c r="CV168" s="33">
        <v>9</v>
      </c>
      <c r="CW168" s="33" t="s">
        <v>2408</v>
      </c>
      <c r="CX168" s="33" t="s">
        <v>1755</v>
      </c>
      <c r="CY168" s="33"/>
      <c r="CZ168" s="33" t="str">
        <f t="shared" si="5"/>
        <v>Heath Miller</v>
      </c>
      <c r="DA168" s="33">
        <v>166</v>
      </c>
      <c r="DB168" s="33" t="s">
        <v>2409</v>
      </c>
      <c r="DC168" s="33">
        <v>12</v>
      </c>
      <c r="DD168" s="33" t="s">
        <v>2410</v>
      </c>
      <c r="DE168" s="33" t="s">
        <v>1755</v>
      </c>
    </row>
    <row r="169" spans="1:109" ht="12.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t="str">
        <f t="shared" si="4"/>
        <v>Brandon LaFell</v>
      </c>
      <c r="CT169" s="33">
        <v>167</v>
      </c>
      <c r="CU169" s="33" t="s">
        <v>2302</v>
      </c>
      <c r="CV169" s="33">
        <v>10</v>
      </c>
      <c r="CW169" s="33" t="s">
        <v>2277</v>
      </c>
      <c r="CX169" s="33" t="s">
        <v>1755</v>
      </c>
      <c r="CY169" s="33"/>
      <c r="CZ169" s="33" t="str">
        <f t="shared" si="5"/>
        <v>Mark Ingram</v>
      </c>
      <c r="DA169" s="33">
        <v>167</v>
      </c>
      <c r="DB169" s="33" t="s">
        <v>2148</v>
      </c>
      <c r="DC169" s="33">
        <v>6</v>
      </c>
      <c r="DD169" s="33" t="s">
        <v>2188</v>
      </c>
      <c r="DE169" s="33" t="s">
        <v>1755</v>
      </c>
    </row>
    <row r="170" spans="1:109" ht="12.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t="str">
        <f t="shared" si="4"/>
        <v>Josh McCown</v>
      </c>
      <c r="CT170" s="33">
        <v>168</v>
      </c>
      <c r="CU170" s="33" t="s">
        <v>2411</v>
      </c>
      <c r="CV170" s="33">
        <v>7</v>
      </c>
      <c r="CW170" s="33" t="s">
        <v>2412</v>
      </c>
      <c r="CX170" s="33" t="s">
        <v>1755</v>
      </c>
      <c r="CY170" s="33"/>
      <c r="CZ170" s="33" t="str">
        <f t="shared" si="5"/>
        <v>Josh McCown</v>
      </c>
      <c r="DA170" s="33">
        <v>168</v>
      </c>
      <c r="DB170" s="33" t="s">
        <v>2411</v>
      </c>
      <c r="DC170" s="33">
        <v>7</v>
      </c>
      <c r="DD170" s="33" t="s">
        <v>2412</v>
      </c>
      <c r="DE170" s="33" t="s">
        <v>1755</v>
      </c>
    </row>
    <row r="171" spans="1:109" ht="12.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t="str">
        <f t="shared" si="4"/>
        <v>BenJarvus Green-Ellis</v>
      </c>
      <c r="CT171" s="33">
        <v>169</v>
      </c>
      <c r="CU171" s="33" t="s">
        <v>2413</v>
      </c>
      <c r="CV171" s="33">
        <v>4</v>
      </c>
      <c r="CW171" s="33" t="s">
        <v>2414</v>
      </c>
      <c r="CX171" s="33" t="s">
        <v>1755</v>
      </c>
      <c r="CY171" s="33"/>
      <c r="CZ171" s="33" t="str">
        <f t="shared" si="5"/>
        <v>Marqise Lee</v>
      </c>
      <c r="DA171" s="33">
        <v>169</v>
      </c>
      <c r="DB171" s="33" t="s">
        <v>2415</v>
      </c>
      <c r="DC171" s="33">
        <v>11</v>
      </c>
      <c r="DD171" s="33" t="s">
        <v>2416</v>
      </c>
      <c r="DE171" s="33" t="s">
        <v>1755</v>
      </c>
    </row>
    <row r="172" spans="1:109" ht="12.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t="str">
        <f t="shared" si="4"/>
        <v>Doug Baldwin</v>
      </c>
      <c r="CT172" s="33">
        <v>170</v>
      </c>
      <c r="CU172" s="33" t="s">
        <v>2276</v>
      </c>
      <c r="CV172" s="33">
        <v>4</v>
      </c>
      <c r="CW172" s="33" t="s">
        <v>2291</v>
      </c>
      <c r="CX172" s="33" t="s">
        <v>1755</v>
      </c>
      <c r="CY172" s="33"/>
      <c r="CZ172" s="33" t="str">
        <f t="shared" si="5"/>
        <v>Rod Streater</v>
      </c>
      <c r="DA172" s="33">
        <v>170</v>
      </c>
      <c r="DB172" s="33" t="s">
        <v>2417</v>
      </c>
      <c r="DC172" s="33">
        <v>5</v>
      </c>
      <c r="DD172" s="33" t="s">
        <v>2418</v>
      </c>
      <c r="DE172" s="33" t="s">
        <v>1755</v>
      </c>
    </row>
    <row r="173" spans="1:109" ht="12.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t="str">
        <f t="shared" si="4"/>
        <v>Chris Polk</v>
      </c>
      <c r="CT173" s="33">
        <v>171</v>
      </c>
      <c r="CU173" s="33" t="s">
        <v>2419</v>
      </c>
      <c r="CV173" s="33">
        <v>7</v>
      </c>
      <c r="CW173" s="33" t="s">
        <v>2420</v>
      </c>
      <c r="CX173" s="33" t="s">
        <v>1755</v>
      </c>
      <c r="CY173" s="33"/>
      <c r="CZ173" s="33" t="str">
        <f t="shared" si="5"/>
        <v>Coby Fleener</v>
      </c>
      <c r="DA173" s="33">
        <v>171</v>
      </c>
      <c r="DB173" s="33" t="s">
        <v>2421</v>
      </c>
      <c r="DC173" s="33">
        <v>10</v>
      </c>
      <c r="DD173" s="33" t="s">
        <v>2422</v>
      </c>
      <c r="DE173" s="33" t="s">
        <v>1755</v>
      </c>
    </row>
    <row r="174" spans="1:109" ht="12.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t="str">
        <f t="shared" si="4"/>
        <v>Bryce Brown</v>
      </c>
      <c r="CT174" s="33">
        <v>172</v>
      </c>
      <c r="CU174" s="33" t="s">
        <v>2423</v>
      </c>
      <c r="CV174" s="33">
        <v>9</v>
      </c>
      <c r="CW174" s="33" t="s">
        <v>2424</v>
      </c>
      <c r="CX174" s="33" t="s">
        <v>1755</v>
      </c>
      <c r="CY174" s="33"/>
      <c r="CZ174" s="33" t="str">
        <f t="shared" si="5"/>
        <v>Kenny Stills</v>
      </c>
      <c r="DA174" s="33">
        <v>172</v>
      </c>
      <c r="DB174" s="33" t="s">
        <v>2425</v>
      </c>
      <c r="DC174" s="33">
        <v>6</v>
      </c>
      <c r="DD174" s="33" t="s">
        <v>2426</v>
      </c>
      <c r="DE174" s="33" t="s">
        <v>1755</v>
      </c>
    </row>
    <row r="175" spans="1:109" ht="12.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t="str">
        <f t="shared" si="4"/>
        <v>Joe Flacco</v>
      </c>
      <c r="CT175" s="33">
        <v>173</v>
      </c>
      <c r="CU175" s="33" t="s">
        <v>2427</v>
      </c>
      <c r="CV175" s="33">
        <v>11</v>
      </c>
      <c r="CW175" s="33" t="s">
        <v>2428</v>
      </c>
      <c r="CX175" s="33" t="s">
        <v>1755</v>
      </c>
      <c r="CY175" s="33"/>
      <c r="CZ175" s="33" t="str">
        <f t="shared" si="5"/>
        <v>Joe Flacco</v>
      </c>
      <c r="DA175" s="33">
        <v>173</v>
      </c>
      <c r="DB175" s="33" t="s">
        <v>2427</v>
      </c>
      <c r="DC175" s="33">
        <v>11</v>
      </c>
      <c r="DD175" s="33" t="s">
        <v>2428</v>
      </c>
      <c r="DE175" s="33" t="s">
        <v>1755</v>
      </c>
    </row>
    <row r="176" spans="1:109" ht="12.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t="str">
        <f t="shared" si="4"/>
        <v>Martellus Bennett</v>
      </c>
      <c r="CT176" s="33">
        <v>174</v>
      </c>
      <c r="CU176" s="33" t="s">
        <v>2207</v>
      </c>
      <c r="CV176" s="33">
        <v>9</v>
      </c>
      <c r="CW176" s="33" t="s">
        <v>2208</v>
      </c>
      <c r="CX176" s="33" t="s">
        <v>1755</v>
      </c>
      <c r="CY176" s="33"/>
      <c r="CZ176" s="33" t="str">
        <f t="shared" si="5"/>
        <v>Tre Mason</v>
      </c>
      <c r="DA176" s="33">
        <v>174</v>
      </c>
      <c r="DB176" s="33" t="s">
        <v>2227</v>
      </c>
      <c r="DC176" s="33">
        <v>4</v>
      </c>
      <c r="DD176" s="33" t="s">
        <v>2198</v>
      </c>
      <c r="DE176" s="33" t="s">
        <v>1755</v>
      </c>
    </row>
    <row r="177" spans="1:109" ht="12.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t="str">
        <f t="shared" si="4"/>
        <v>Dexter McCluster</v>
      </c>
      <c r="CT177" s="33">
        <v>175</v>
      </c>
      <c r="CU177" s="33" t="s">
        <v>2429</v>
      </c>
      <c r="CV177" s="33">
        <v>9</v>
      </c>
      <c r="CW177" s="33" t="s">
        <v>2430</v>
      </c>
      <c r="CX177" s="33" t="s">
        <v>1755</v>
      </c>
      <c r="CY177" s="33"/>
      <c r="CZ177" s="33" t="str">
        <f t="shared" si="5"/>
        <v>Odell Beckham</v>
      </c>
      <c r="DA177" s="33">
        <v>175</v>
      </c>
      <c r="DB177" s="33" t="s">
        <v>2431</v>
      </c>
      <c r="DC177" s="33">
        <v>8</v>
      </c>
      <c r="DD177" s="33" t="s">
        <v>2432</v>
      </c>
      <c r="DE177" s="33" t="s">
        <v>1755</v>
      </c>
    </row>
    <row r="178" spans="1:109" ht="12.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t="str">
        <f t="shared" si="4"/>
        <v>Kenny Stills</v>
      </c>
      <c r="CT178" s="33">
        <v>176</v>
      </c>
      <c r="CU178" s="33" t="s">
        <v>2425</v>
      </c>
      <c r="CV178" s="33">
        <v>6</v>
      </c>
      <c r="CW178" s="33" t="s">
        <v>2297</v>
      </c>
      <c r="CX178" s="33" t="s">
        <v>1755</v>
      </c>
      <c r="CY178" s="33"/>
      <c r="CZ178" s="33" t="str">
        <f t="shared" si="5"/>
        <v>Eric Ebron</v>
      </c>
      <c r="DA178" s="33">
        <v>176</v>
      </c>
      <c r="DB178" s="33" t="s">
        <v>2433</v>
      </c>
      <c r="DC178" s="33">
        <v>9</v>
      </c>
      <c r="DD178" s="33" t="s">
        <v>2434</v>
      </c>
      <c r="DE178" s="33" t="s">
        <v>1755</v>
      </c>
    </row>
    <row r="179" spans="1:109" ht="12.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t="str">
        <f t="shared" si="4"/>
        <v>Ryan Tannehill</v>
      </c>
      <c r="CT179" s="33">
        <v>177</v>
      </c>
      <c r="CU179" s="33" t="s">
        <v>2435</v>
      </c>
      <c r="CV179" s="33">
        <v>5</v>
      </c>
      <c r="CW179" s="33" t="s">
        <v>2436</v>
      </c>
      <c r="CX179" s="33" t="s">
        <v>1755</v>
      </c>
      <c r="CY179" s="33"/>
      <c r="CZ179" s="33" t="str">
        <f t="shared" si="5"/>
        <v>Tyler Eifert</v>
      </c>
      <c r="DA179" s="33">
        <v>177</v>
      </c>
      <c r="DB179" s="33" t="s">
        <v>2437</v>
      </c>
      <c r="DC179" s="33">
        <v>4</v>
      </c>
      <c r="DD179" s="33" t="s">
        <v>2438</v>
      </c>
      <c r="DE179" s="33" t="s">
        <v>1755</v>
      </c>
    </row>
    <row r="180" spans="1:109" ht="12.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t="str">
        <f t="shared" si="4"/>
        <v>Lance Dunbar</v>
      </c>
      <c r="CT180" s="33">
        <v>178</v>
      </c>
      <c r="CU180" s="33" t="s">
        <v>2439</v>
      </c>
      <c r="CV180" s="33">
        <v>11</v>
      </c>
      <c r="CW180" s="33" t="s">
        <v>2440</v>
      </c>
      <c r="CX180" s="33" t="s">
        <v>1755</v>
      </c>
      <c r="CY180" s="33"/>
      <c r="CZ180" s="33" t="str">
        <f t="shared" si="5"/>
        <v>Harry Douglas</v>
      </c>
      <c r="DA180" s="33">
        <v>178</v>
      </c>
      <c r="DB180" s="33" t="s">
        <v>2441</v>
      </c>
      <c r="DC180" s="33">
        <v>9</v>
      </c>
      <c r="DD180" s="33" t="s">
        <v>2442</v>
      </c>
      <c r="DE180" s="33" t="s">
        <v>1755</v>
      </c>
    </row>
    <row r="181" spans="1:109" ht="12.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t="str">
        <f t="shared" si="4"/>
        <v>Denarius Moore</v>
      </c>
      <c r="CT181" s="33">
        <v>179</v>
      </c>
      <c r="CU181" s="33" t="s">
        <v>2385</v>
      </c>
      <c r="CV181" s="33">
        <v>5</v>
      </c>
      <c r="CW181" s="33" t="s">
        <v>2303</v>
      </c>
      <c r="CX181" s="33" t="s">
        <v>1755</v>
      </c>
      <c r="CY181" s="33"/>
      <c r="CZ181" s="33" t="str">
        <f t="shared" si="5"/>
        <v>Carlos Hyde</v>
      </c>
      <c r="DA181" s="33">
        <v>179</v>
      </c>
      <c r="DB181" s="33" t="s">
        <v>2222</v>
      </c>
      <c r="DC181" s="33">
        <v>8</v>
      </c>
      <c r="DD181" s="33" t="s">
        <v>2223</v>
      </c>
      <c r="DE181" s="33" t="s">
        <v>1755</v>
      </c>
    </row>
    <row r="182" spans="1:109" ht="12.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t="str">
        <f t="shared" si="4"/>
        <v>Johnny Manziel</v>
      </c>
      <c r="CT182" s="33">
        <v>180</v>
      </c>
      <c r="CU182" s="33" t="s">
        <v>2443</v>
      </c>
      <c r="CV182" s="33">
        <v>4</v>
      </c>
      <c r="CW182" s="33" t="s">
        <v>2444</v>
      </c>
      <c r="CX182" s="33" t="s">
        <v>1755</v>
      </c>
      <c r="CY182" s="33"/>
      <c r="CZ182" s="33" t="str">
        <f t="shared" si="5"/>
        <v>Andre Roberts</v>
      </c>
      <c r="DA182" s="33">
        <v>180</v>
      </c>
      <c r="DB182" s="33" t="s">
        <v>2445</v>
      </c>
      <c r="DC182" s="33">
        <v>10</v>
      </c>
      <c r="DD182" s="33" t="s">
        <v>2446</v>
      </c>
      <c r="DE182" s="33" t="s">
        <v>1755</v>
      </c>
    </row>
    <row r="183" spans="1:109" ht="12.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t="str">
        <f t="shared" si="4"/>
        <v>Jonathan Dwyer</v>
      </c>
      <c r="CT183" s="33">
        <v>181</v>
      </c>
      <c r="CU183" s="33" t="s">
        <v>2447</v>
      </c>
      <c r="CV183" s="33">
        <v>4</v>
      </c>
      <c r="CW183" s="33" t="s">
        <v>2448</v>
      </c>
      <c r="CX183" s="33" t="s">
        <v>1755</v>
      </c>
      <c r="CY183" s="33"/>
      <c r="CZ183" s="33" t="str">
        <f t="shared" si="5"/>
        <v>Jared Cook</v>
      </c>
      <c r="DA183" s="33">
        <v>181</v>
      </c>
      <c r="DB183" s="33" t="s">
        <v>2449</v>
      </c>
      <c r="DC183" s="33">
        <v>4</v>
      </c>
      <c r="DD183" s="33" t="s">
        <v>2450</v>
      </c>
      <c r="DE183" s="33" t="s">
        <v>1755</v>
      </c>
    </row>
    <row r="184" spans="1:109" ht="12.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t="str">
        <f t="shared" si="4"/>
        <v>Alex Smith</v>
      </c>
      <c r="CT184" s="33">
        <v>182</v>
      </c>
      <c r="CU184" s="33" t="s">
        <v>2451</v>
      </c>
      <c r="CV184" s="33">
        <v>6</v>
      </c>
      <c r="CW184" s="33" t="s">
        <v>2452</v>
      </c>
      <c r="CX184" s="33" t="s">
        <v>1755</v>
      </c>
      <c r="CY184" s="33"/>
      <c r="CZ184" s="33" t="str">
        <f t="shared" si="5"/>
        <v>Jordan Todman</v>
      </c>
      <c r="DA184" s="33">
        <v>182</v>
      </c>
      <c r="DB184" s="33" t="s">
        <v>2391</v>
      </c>
      <c r="DC184" s="33">
        <v>11</v>
      </c>
      <c r="DD184" s="33" t="s">
        <v>2228</v>
      </c>
      <c r="DE184" s="33" t="s">
        <v>1755</v>
      </c>
    </row>
    <row r="185" spans="1:109" ht="12.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t="str">
        <f t="shared" si="4"/>
        <v>Marcel Reece</v>
      </c>
      <c r="CT185" s="33">
        <v>183</v>
      </c>
      <c r="CU185" s="33" t="s">
        <v>2453</v>
      </c>
      <c r="CV185" s="33">
        <v>5</v>
      </c>
      <c r="CW185" s="33" t="s">
        <v>2454</v>
      </c>
      <c r="CX185" s="33" t="s">
        <v>1755</v>
      </c>
      <c r="CY185" s="33"/>
      <c r="CZ185" s="33" t="str">
        <f t="shared" si="5"/>
        <v>Malcom Floyd</v>
      </c>
      <c r="DA185" s="33">
        <v>183</v>
      </c>
      <c r="DB185" s="33" t="s">
        <v>2455</v>
      </c>
      <c r="DC185" s="33">
        <v>10</v>
      </c>
      <c r="DD185" s="33" t="s">
        <v>2456</v>
      </c>
      <c r="DE185" s="33" t="s">
        <v>1755</v>
      </c>
    </row>
    <row r="186" spans="1:109" ht="12.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t="str">
        <f t="shared" si="4"/>
        <v>Delanie Walker</v>
      </c>
      <c r="CT186" s="33">
        <v>184</v>
      </c>
      <c r="CU186" s="33" t="s">
        <v>2241</v>
      </c>
      <c r="CV186" s="33">
        <v>9</v>
      </c>
      <c r="CW186" s="33" t="s">
        <v>2242</v>
      </c>
      <c r="CX186" s="33" t="s">
        <v>1755</v>
      </c>
      <c r="CY186" s="33"/>
      <c r="CZ186" s="33" t="str">
        <f t="shared" si="5"/>
        <v>Jerome Simpson</v>
      </c>
      <c r="DA186" s="33">
        <v>184</v>
      </c>
      <c r="DB186" s="33" t="s">
        <v>2457</v>
      </c>
      <c r="DC186" s="33">
        <v>10</v>
      </c>
      <c r="DD186" s="33" t="s">
        <v>2458</v>
      </c>
      <c r="DE186" s="33" t="s">
        <v>1755</v>
      </c>
    </row>
    <row r="187" spans="1:109" ht="12.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t="str">
        <f t="shared" si="4"/>
        <v>Rod Streater</v>
      </c>
      <c r="CT187" s="33">
        <v>185</v>
      </c>
      <c r="CU187" s="33" t="s">
        <v>2417</v>
      </c>
      <c r="CV187" s="33">
        <v>5</v>
      </c>
      <c r="CW187" s="33" t="s">
        <v>2313</v>
      </c>
      <c r="CX187" s="33" t="s">
        <v>1755</v>
      </c>
      <c r="CY187" s="33"/>
      <c r="CZ187" s="33" t="str">
        <f t="shared" si="5"/>
        <v>Ryan Tannehill</v>
      </c>
      <c r="DA187" s="33">
        <v>185</v>
      </c>
      <c r="DB187" s="33" t="s">
        <v>2435</v>
      </c>
      <c r="DC187" s="33">
        <v>5</v>
      </c>
      <c r="DD187" s="33" t="s">
        <v>2436</v>
      </c>
      <c r="DE187" s="33" t="s">
        <v>1755</v>
      </c>
    </row>
    <row r="188" spans="1:109" ht="12.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t="str">
        <f t="shared" si="4"/>
        <v>Robert Turbin</v>
      </c>
      <c r="CT188" s="33">
        <v>186</v>
      </c>
      <c r="CU188" s="33" t="s">
        <v>2459</v>
      </c>
      <c r="CV188" s="33">
        <v>4</v>
      </c>
      <c r="CW188" s="33" t="s">
        <v>2460</v>
      </c>
      <c r="CX188" s="33" t="s">
        <v>1755</v>
      </c>
      <c r="CY188" s="33"/>
      <c r="CZ188" s="33" t="str">
        <f t="shared" si="5"/>
        <v>Dexter McCluster</v>
      </c>
      <c r="DA188" s="33">
        <v>186</v>
      </c>
      <c r="DB188" s="33" t="s">
        <v>2429</v>
      </c>
      <c r="DC188" s="33">
        <v>9</v>
      </c>
      <c r="DD188" s="33" t="s">
        <v>2240</v>
      </c>
      <c r="DE188" s="33" t="s">
        <v>1755</v>
      </c>
    </row>
    <row r="189" spans="1:109" ht="12.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t="str">
        <f t="shared" si="4"/>
        <v>Marqise Lee</v>
      </c>
      <c r="CT189" s="33">
        <v>187</v>
      </c>
      <c r="CU189" s="33" t="s">
        <v>2415</v>
      </c>
      <c r="CV189" s="33">
        <v>11</v>
      </c>
      <c r="CW189" s="33" t="s">
        <v>2386</v>
      </c>
      <c r="CX189" s="33" t="s">
        <v>1755</v>
      </c>
      <c r="CY189" s="33"/>
      <c r="CZ189" s="33" t="str">
        <f t="shared" si="5"/>
        <v>Donnie Avery</v>
      </c>
      <c r="DA189" s="33">
        <v>187</v>
      </c>
      <c r="DB189" s="33" t="s">
        <v>2461</v>
      </c>
      <c r="DC189" s="33">
        <v>6</v>
      </c>
      <c r="DD189" s="33" t="s">
        <v>2462</v>
      </c>
      <c r="DE189" s="33" t="s">
        <v>1755</v>
      </c>
    </row>
    <row r="190" spans="1:109" ht="12.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t="str">
        <f t="shared" si="4"/>
        <v>Odell Beckham</v>
      </c>
      <c r="CT190" s="33">
        <v>188</v>
      </c>
      <c r="CU190" s="33" t="s">
        <v>2431</v>
      </c>
      <c r="CV190" s="33">
        <v>8</v>
      </c>
      <c r="CW190" s="33" t="s">
        <v>2400</v>
      </c>
      <c r="CX190" s="33" t="s">
        <v>1755</v>
      </c>
      <c r="CY190" s="33"/>
      <c r="CZ190" s="33" t="str">
        <f t="shared" si="5"/>
        <v>Dwayne Allen</v>
      </c>
      <c r="DA190" s="33">
        <v>188</v>
      </c>
      <c r="DB190" s="33" t="s">
        <v>2463</v>
      </c>
      <c r="DC190" s="33">
        <v>10</v>
      </c>
      <c r="DD190" s="33" t="s">
        <v>2464</v>
      </c>
      <c r="DE190" s="33" t="s">
        <v>1755</v>
      </c>
    </row>
    <row r="191" spans="1:109" ht="12.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t="str">
        <f t="shared" si="4"/>
        <v>Tampa Bay Buccaneers</v>
      </c>
      <c r="CT191" s="33">
        <v>189</v>
      </c>
      <c r="CU191" s="33" t="s">
        <v>2465</v>
      </c>
      <c r="CV191" s="33">
        <v>7</v>
      </c>
      <c r="CW191" s="33" t="s">
        <v>2466</v>
      </c>
      <c r="CX191" s="33" t="s">
        <v>1755</v>
      </c>
      <c r="CY191" s="33"/>
      <c r="CZ191" s="33" t="str">
        <f t="shared" si="5"/>
        <v>Kenny Britt</v>
      </c>
      <c r="DA191" s="33">
        <v>189</v>
      </c>
      <c r="DB191" s="33" t="s">
        <v>2467</v>
      </c>
      <c r="DC191" s="33">
        <v>4</v>
      </c>
      <c r="DD191" s="33" t="s">
        <v>2468</v>
      </c>
      <c r="DE191" s="33" t="s">
        <v>1755</v>
      </c>
    </row>
    <row r="192" spans="1:109" ht="12.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t="str">
        <f t="shared" si="4"/>
        <v>New Orleans Saints</v>
      </c>
      <c r="CT192" s="33">
        <v>190</v>
      </c>
      <c r="CU192" s="33" t="s">
        <v>2469</v>
      </c>
      <c r="CV192" s="33">
        <v>6</v>
      </c>
      <c r="CW192" s="33" t="s">
        <v>2470</v>
      </c>
      <c r="CX192" s="33" t="s">
        <v>1755</v>
      </c>
      <c r="CY192" s="33"/>
      <c r="CZ192" s="33" t="str">
        <f t="shared" si="5"/>
        <v>Tampa Bay Buccaneers</v>
      </c>
      <c r="DA192" s="33">
        <v>190</v>
      </c>
      <c r="DB192" s="33" t="s">
        <v>2465</v>
      </c>
      <c r="DC192" s="33">
        <v>7</v>
      </c>
      <c r="DD192" s="33" t="s">
        <v>2466</v>
      </c>
      <c r="DE192" s="33" t="s">
        <v>1755</v>
      </c>
    </row>
    <row r="193" spans="1:109" ht="12.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t="str">
        <f t="shared" si="4"/>
        <v>Nick Folk</v>
      </c>
      <c r="CT193" s="33">
        <v>191</v>
      </c>
      <c r="CU193" s="33" t="s">
        <v>2471</v>
      </c>
      <c r="CV193" s="33">
        <v>11</v>
      </c>
      <c r="CW193" s="33" t="s">
        <v>2472</v>
      </c>
      <c r="CX193" s="33" t="s">
        <v>1755</v>
      </c>
      <c r="CY193" s="33"/>
      <c r="CZ193" s="33" t="str">
        <f t="shared" si="5"/>
        <v>Lance Moore</v>
      </c>
      <c r="DA193" s="33">
        <v>191</v>
      </c>
      <c r="DB193" s="33" t="s">
        <v>2473</v>
      </c>
      <c r="DC193" s="33">
        <v>12</v>
      </c>
      <c r="DD193" s="33" t="s">
        <v>2474</v>
      </c>
      <c r="DE193" s="33" t="s">
        <v>1755</v>
      </c>
    </row>
    <row r="194" spans="1:109" ht="12.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t="str">
        <f t="shared" si="4"/>
        <v>Robbie Gould</v>
      </c>
      <c r="CT194" s="33">
        <v>192</v>
      </c>
      <c r="CU194" s="33" t="s">
        <v>2475</v>
      </c>
      <c r="CV194" s="33">
        <v>9</v>
      </c>
      <c r="CW194" s="33" t="s">
        <v>2476</v>
      </c>
      <c r="CX194" s="33" t="s">
        <v>1755</v>
      </c>
      <c r="CY194" s="33"/>
      <c r="CZ194" s="33" t="str">
        <f t="shared" si="5"/>
        <v>New Orleans Saints</v>
      </c>
      <c r="DA194" s="33">
        <v>192</v>
      </c>
      <c r="DB194" s="33" t="s">
        <v>2469</v>
      </c>
      <c r="DC194" s="33">
        <v>6</v>
      </c>
      <c r="DD194" s="33" t="s">
        <v>2470</v>
      </c>
      <c r="DE194" s="33" t="s">
        <v>1755</v>
      </c>
    </row>
    <row r="195" spans="1:109" ht="12.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t="str">
        <f t="shared" ref="CS195:CS258" si="6">IF(ISERROR(FIND("D/ST",CU195)),IF(ISERROR(FIND("*",CU195)),LEFT(CU195,(FIND(",",CU195)-1)),LEFT(CU195,(FIND("*",CU195)-1))),LEFT(CU195,(FIND("D/ST",CU195)-2)))</f>
        <v>Mike Tolbert</v>
      </c>
      <c r="CT195" s="33">
        <v>193</v>
      </c>
      <c r="CU195" s="33" t="s">
        <v>2477</v>
      </c>
      <c r="CV195" s="33">
        <v>12</v>
      </c>
      <c r="CW195" s="33" t="s">
        <v>2478</v>
      </c>
      <c r="CX195" s="33" t="s">
        <v>1755</v>
      </c>
      <c r="CY195" s="33"/>
      <c r="CZ195" s="33" t="str">
        <f t="shared" ref="CZ195:CZ258" si="7">IF(ISERROR(FIND("D/ST",DB195)),IF(ISERROR(FIND("*",DB195)),LEFT(DB195,(FIND(",",DB195)-1)),LEFT(DB195,(FIND("*",DB195)-1))),LEFT(DB195,(FIND("D/ST",DB195)-2)))</f>
        <v>Johnny Manziel</v>
      </c>
      <c r="DA195" s="33">
        <v>193</v>
      </c>
      <c r="DB195" s="33" t="s">
        <v>2443</v>
      </c>
      <c r="DC195" s="33">
        <v>4</v>
      </c>
      <c r="DD195" s="33" t="s">
        <v>2444</v>
      </c>
      <c r="DE195" s="33" t="s">
        <v>1755</v>
      </c>
    </row>
    <row r="196" spans="1:109" ht="12.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t="str">
        <f t="shared" si="6"/>
        <v>Zach Ertz</v>
      </c>
      <c r="CT196" s="33">
        <v>194</v>
      </c>
      <c r="CU196" s="33" t="s">
        <v>2282</v>
      </c>
      <c r="CV196" s="33">
        <v>7</v>
      </c>
      <c r="CW196" s="33" t="s">
        <v>2261</v>
      </c>
      <c r="CX196" s="33" t="s">
        <v>1755</v>
      </c>
      <c r="CY196" s="33"/>
      <c r="CZ196" s="33" t="str">
        <f t="shared" si="7"/>
        <v>Ryan Griffin</v>
      </c>
      <c r="DA196" s="33">
        <v>194</v>
      </c>
      <c r="DB196" s="33" t="s">
        <v>2479</v>
      </c>
      <c r="DC196" s="33">
        <v>10</v>
      </c>
      <c r="DD196" s="33" t="s">
        <v>2480</v>
      </c>
      <c r="DE196" s="33" t="s">
        <v>1755</v>
      </c>
    </row>
    <row r="197" spans="1:109" ht="12.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t="str">
        <f t="shared" si="6"/>
        <v>Brian Hartline</v>
      </c>
      <c r="CT197" s="33">
        <v>195</v>
      </c>
      <c r="CU197" s="33" t="s">
        <v>2270</v>
      </c>
      <c r="CV197" s="33">
        <v>5</v>
      </c>
      <c r="CW197" s="33" t="s">
        <v>2404</v>
      </c>
      <c r="CX197" s="33" t="s">
        <v>1755</v>
      </c>
      <c r="CY197" s="33"/>
      <c r="CZ197" s="33" t="str">
        <f t="shared" si="7"/>
        <v>C.J. Anderson</v>
      </c>
      <c r="DA197" s="33">
        <v>195</v>
      </c>
      <c r="DB197" s="33" t="s">
        <v>2249</v>
      </c>
      <c r="DC197" s="33">
        <v>4</v>
      </c>
      <c r="DD197" s="33" t="s">
        <v>2244</v>
      </c>
      <c r="DE197" s="33" t="s">
        <v>1755</v>
      </c>
    </row>
    <row r="198" spans="1:109" ht="12.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t="str">
        <f t="shared" si="6"/>
        <v>Charles Clay</v>
      </c>
      <c r="CT198" s="33">
        <v>196</v>
      </c>
      <c r="CU198" s="33" t="s">
        <v>2260</v>
      </c>
      <c r="CV198" s="33">
        <v>5</v>
      </c>
      <c r="CW198" s="33" t="s">
        <v>2283</v>
      </c>
      <c r="CX198" s="33" t="s">
        <v>1755</v>
      </c>
      <c r="CY198" s="33"/>
      <c r="CZ198" s="33" t="str">
        <f t="shared" si="7"/>
        <v>Robert Woods</v>
      </c>
      <c r="DA198" s="33">
        <v>196</v>
      </c>
      <c r="DB198" s="33" t="s">
        <v>2481</v>
      </c>
      <c r="DC198" s="33">
        <v>9</v>
      </c>
      <c r="DD198" s="33" t="s">
        <v>2482</v>
      </c>
      <c r="DE198" s="33" t="s">
        <v>1755</v>
      </c>
    </row>
    <row r="199" spans="1:109" ht="12.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t="str">
        <f t="shared" si="6"/>
        <v>Aaron Dobson</v>
      </c>
      <c r="CT199" s="33">
        <v>197</v>
      </c>
      <c r="CU199" s="33" t="s">
        <v>2399</v>
      </c>
      <c r="CV199" s="33">
        <v>10</v>
      </c>
      <c r="CW199" s="33" t="s">
        <v>2416</v>
      </c>
      <c r="CX199" s="33" t="s">
        <v>1755</v>
      </c>
      <c r="CY199" s="33"/>
      <c r="CZ199" s="33" t="str">
        <f t="shared" si="7"/>
        <v>Austin Seferian-Jenkins</v>
      </c>
      <c r="DA199" s="33">
        <v>197</v>
      </c>
      <c r="DB199" s="33" t="s">
        <v>2483</v>
      </c>
      <c r="DC199" s="33">
        <v>7</v>
      </c>
      <c r="DD199" s="33" t="s">
        <v>2484</v>
      </c>
      <c r="DE199" s="33" t="s">
        <v>1755</v>
      </c>
    </row>
    <row r="200" spans="1:109" ht="12.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t="str">
        <f t="shared" si="6"/>
        <v>Brandon Bolden</v>
      </c>
      <c r="CT200" s="33">
        <v>198</v>
      </c>
      <c r="CU200" s="33" t="s">
        <v>2485</v>
      </c>
      <c r="CV200" s="33">
        <v>10</v>
      </c>
      <c r="CW200" s="33" t="s">
        <v>2486</v>
      </c>
      <c r="CX200" s="33" t="s">
        <v>1755</v>
      </c>
      <c r="CY200" s="33"/>
      <c r="CZ200" s="33" t="str">
        <f t="shared" si="7"/>
        <v>Christine Michael</v>
      </c>
      <c r="DA200" s="33">
        <v>198</v>
      </c>
      <c r="DB200" s="33" t="s">
        <v>2153</v>
      </c>
      <c r="DC200" s="33">
        <v>4</v>
      </c>
      <c r="DD200" s="33" t="s">
        <v>2250</v>
      </c>
      <c r="DE200" s="33" t="s">
        <v>1755</v>
      </c>
    </row>
    <row r="201" spans="1:109" ht="12.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t="str">
        <f t="shared" si="6"/>
        <v>Jerricho Cotchery</v>
      </c>
      <c r="CT201" s="33">
        <v>199</v>
      </c>
      <c r="CU201" s="33" t="s">
        <v>2296</v>
      </c>
      <c r="CV201" s="33">
        <v>12</v>
      </c>
      <c r="CW201" s="33" t="s">
        <v>2418</v>
      </c>
      <c r="CX201" s="33" t="s">
        <v>1755</v>
      </c>
      <c r="CY201" s="33"/>
      <c r="CZ201" s="33" t="str">
        <f t="shared" si="7"/>
        <v>Jeremy Kerley</v>
      </c>
      <c r="DA201" s="33">
        <v>199</v>
      </c>
      <c r="DB201" s="33" t="s">
        <v>2487</v>
      </c>
      <c r="DC201" s="33">
        <v>11</v>
      </c>
      <c r="DD201" s="33" t="s">
        <v>2488</v>
      </c>
      <c r="DE201" s="33" t="s">
        <v>1755</v>
      </c>
    </row>
    <row r="202" spans="1:109" ht="12.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t="str">
        <f t="shared" si="6"/>
        <v>Kelvin Benjamin</v>
      </c>
      <c r="CT202" s="33">
        <v>200</v>
      </c>
      <c r="CU202" s="33" t="s">
        <v>2403</v>
      </c>
      <c r="CV202" s="33">
        <v>12</v>
      </c>
      <c r="CW202" s="33" t="s">
        <v>2426</v>
      </c>
      <c r="CX202" s="33" t="s">
        <v>1755</v>
      </c>
      <c r="CY202" s="33"/>
      <c r="CZ202" s="33" t="str">
        <f t="shared" si="7"/>
        <v>Alex Smith</v>
      </c>
      <c r="DA202" s="33">
        <v>200</v>
      </c>
      <c r="DB202" s="33" t="s">
        <v>2451</v>
      </c>
      <c r="DC202" s="33">
        <v>6</v>
      </c>
      <c r="DD202" s="33" t="s">
        <v>2452</v>
      </c>
      <c r="DE202" s="33" t="s">
        <v>1755</v>
      </c>
    </row>
    <row r="203" spans="1:109" ht="12.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t="str">
        <f t="shared" si="6"/>
        <v>Josh Gordon</v>
      </c>
      <c r="CT203" s="33">
        <v>201</v>
      </c>
      <c r="CU203" s="33" t="s">
        <v>2489</v>
      </c>
      <c r="CV203" s="33">
        <v>4</v>
      </c>
      <c r="CW203" s="33" t="s">
        <v>2432</v>
      </c>
      <c r="CX203" s="33" t="s">
        <v>1755</v>
      </c>
      <c r="CY203" s="33"/>
      <c r="CZ203" s="33" t="str">
        <f t="shared" si="7"/>
        <v>Marcel Reece</v>
      </c>
      <c r="DA203" s="33">
        <v>201</v>
      </c>
      <c r="DB203" s="33" t="s">
        <v>2453</v>
      </c>
      <c r="DC203" s="33">
        <v>5</v>
      </c>
      <c r="DD203" s="33" t="s">
        <v>2256</v>
      </c>
      <c r="DE203" s="33" t="s">
        <v>1755</v>
      </c>
    </row>
    <row r="204" spans="1:109" ht="12.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t="str">
        <f t="shared" si="6"/>
        <v>Jonathan Grimes</v>
      </c>
      <c r="CT204" s="33">
        <v>202</v>
      </c>
      <c r="CU204" s="33" t="s">
        <v>2490</v>
      </c>
      <c r="CV204" s="33">
        <v>10</v>
      </c>
      <c r="CW204" s="33" t="s">
        <v>2491</v>
      </c>
      <c r="CX204" s="33" t="s">
        <v>1755</v>
      </c>
      <c r="CY204" s="33"/>
      <c r="CZ204" s="33" t="str">
        <f t="shared" si="7"/>
        <v>Marvin Jones</v>
      </c>
      <c r="DA204" s="33">
        <v>202</v>
      </c>
      <c r="DB204" s="33" t="s">
        <v>2492</v>
      </c>
      <c r="DC204" s="33">
        <v>4</v>
      </c>
      <c r="DD204" s="33" t="s">
        <v>2493</v>
      </c>
      <c r="DE204" s="33" t="s">
        <v>1755</v>
      </c>
    </row>
    <row r="205" spans="1:109" ht="12.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t="str">
        <f t="shared" si="6"/>
        <v>Antonio Gates</v>
      </c>
      <c r="CT205" s="33">
        <v>203</v>
      </c>
      <c r="CU205" s="33" t="s">
        <v>2322</v>
      </c>
      <c r="CV205" s="33">
        <v>10</v>
      </c>
      <c r="CW205" s="33" t="s">
        <v>2323</v>
      </c>
      <c r="CX205" s="33" t="s">
        <v>1755</v>
      </c>
      <c r="CY205" s="33"/>
      <c r="CZ205" s="33" t="str">
        <f t="shared" si="7"/>
        <v>Owen Daniels</v>
      </c>
      <c r="DA205" s="33">
        <v>203</v>
      </c>
      <c r="DB205" s="33" t="s">
        <v>2494</v>
      </c>
      <c r="DC205" s="33">
        <v>11</v>
      </c>
      <c r="DD205" s="33" t="s">
        <v>2495</v>
      </c>
      <c r="DE205" s="33" t="s">
        <v>1755</v>
      </c>
    </row>
    <row r="206" spans="1:109" ht="12.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t="str">
        <f t="shared" si="6"/>
        <v>Bobby Rainey</v>
      </c>
      <c r="CT206" s="33">
        <v>204</v>
      </c>
      <c r="CU206" s="33" t="s">
        <v>2496</v>
      </c>
      <c r="CV206" s="33">
        <v>7</v>
      </c>
      <c r="CW206" s="33" t="s">
        <v>2497</v>
      </c>
      <c r="CX206" s="33" t="s">
        <v>1755</v>
      </c>
      <c r="CY206" s="33"/>
      <c r="CZ206" s="33" t="str">
        <f t="shared" si="7"/>
        <v>Houston Texans</v>
      </c>
      <c r="DA206" s="33">
        <v>204</v>
      </c>
      <c r="DB206" s="33" t="s">
        <v>2498</v>
      </c>
      <c r="DC206" s="33">
        <v>10</v>
      </c>
      <c r="DD206" s="33" t="s">
        <v>2499</v>
      </c>
      <c r="DE206" s="33" t="s">
        <v>1755</v>
      </c>
    </row>
    <row r="207" spans="1:109" ht="12.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t="str">
        <f t="shared" si="6"/>
        <v>Mike Williams</v>
      </c>
      <c r="CT207" s="33">
        <v>205</v>
      </c>
      <c r="CU207" s="33" t="s">
        <v>2312</v>
      </c>
      <c r="CV207" s="33">
        <v>9</v>
      </c>
      <c r="CW207" s="33" t="s">
        <v>2442</v>
      </c>
      <c r="CX207" s="33" t="s">
        <v>1755</v>
      </c>
      <c r="CY207" s="33"/>
      <c r="CZ207" s="33" t="str">
        <f t="shared" si="7"/>
        <v>Knile Davis</v>
      </c>
      <c r="DA207" s="33">
        <v>205</v>
      </c>
      <c r="DB207" s="33" t="s">
        <v>2243</v>
      </c>
      <c r="DC207" s="33">
        <v>6</v>
      </c>
      <c r="DD207" s="33" t="s">
        <v>2259</v>
      </c>
      <c r="DE207" s="33" t="s">
        <v>1755</v>
      </c>
    </row>
    <row r="208" spans="1:109" ht="12.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t="str">
        <f t="shared" si="6"/>
        <v>Andre Roberts</v>
      </c>
      <c r="CT208" s="33">
        <v>206</v>
      </c>
      <c r="CU208" s="33" t="s">
        <v>2445</v>
      </c>
      <c r="CV208" s="33">
        <v>10</v>
      </c>
      <c r="CW208" s="33" t="s">
        <v>2446</v>
      </c>
      <c r="CX208" s="33" t="s">
        <v>1755</v>
      </c>
      <c r="CY208" s="33"/>
      <c r="CZ208" s="33" t="str">
        <f t="shared" si="7"/>
        <v>James Starks</v>
      </c>
      <c r="DA208" s="33">
        <v>206</v>
      </c>
      <c r="DB208" s="33" t="s">
        <v>2239</v>
      </c>
      <c r="DC208" s="33">
        <v>9</v>
      </c>
      <c r="DD208" s="33" t="s">
        <v>2265</v>
      </c>
      <c r="DE208" s="33" t="s">
        <v>1755</v>
      </c>
    </row>
    <row r="209" spans="1:109" ht="12.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t="str">
        <f t="shared" si="6"/>
        <v>Stepfan Taylor</v>
      </c>
      <c r="CT209" s="33">
        <v>207</v>
      </c>
      <c r="CU209" s="33" t="s">
        <v>2500</v>
      </c>
      <c r="CV209" s="33">
        <v>4</v>
      </c>
      <c r="CW209" s="33" t="s">
        <v>2501</v>
      </c>
      <c r="CX209" s="33" t="s">
        <v>1755</v>
      </c>
      <c r="CY209" s="33"/>
      <c r="CZ209" s="33" t="str">
        <f t="shared" si="7"/>
        <v>Jordan Matthews</v>
      </c>
      <c r="DA209" s="33">
        <v>207</v>
      </c>
      <c r="DB209" s="33" t="s">
        <v>2502</v>
      </c>
      <c r="DC209" s="33">
        <v>7</v>
      </c>
      <c r="DD209" s="33" t="s">
        <v>2503</v>
      </c>
      <c r="DE209" s="33" t="s">
        <v>1755</v>
      </c>
    </row>
    <row r="210" spans="1:109" ht="12.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t="str">
        <f t="shared" si="6"/>
        <v>Jacquizz Rodgers</v>
      </c>
      <c r="CT210" s="33">
        <v>208</v>
      </c>
      <c r="CU210" s="33" t="s">
        <v>2504</v>
      </c>
      <c r="CV210" s="33">
        <v>9</v>
      </c>
      <c r="CW210" s="33" t="s">
        <v>2505</v>
      </c>
      <c r="CX210" s="33" t="s">
        <v>1755</v>
      </c>
      <c r="CY210" s="33"/>
      <c r="CZ210" s="33" t="str">
        <f t="shared" si="7"/>
        <v>Nick Folk</v>
      </c>
      <c r="DA210" s="33">
        <v>208</v>
      </c>
      <c r="DB210" s="33" t="s">
        <v>2471</v>
      </c>
      <c r="DC210" s="33">
        <v>11</v>
      </c>
      <c r="DD210" s="33" t="s">
        <v>2472</v>
      </c>
      <c r="DE210" s="33" t="s">
        <v>1755</v>
      </c>
    </row>
    <row r="211" spans="1:109" ht="12.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t="str">
        <f t="shared" si="6"/>
        <v>Jerick McKinnon</v>
      </c>
      <c r="CT211" s="33">
        <v>209</v>
      </c>
      <c r="CU211" s="33" t="s">
        <v>2506</v>
      </c>
      <c r="CV211" s="33">
        <v>10</v>
      </c>
      <c r="CW211" s="33" t="s">
        <v>2507</v>
      </c>
      <c r="CX211" s="33" t="s">
        <v>1755</v>
      </c>
      <c r="CY211" s="33"/>
      <c r="CZ211" s="33" t="str">
        <f t="shared" si="7"/>
        <v>Mike Tolbert</v>
      </c>
      <c r="DA211" s="33">
        <v>209</v>
      </c>
      <c r="DB211" s="33" t="s">
        <v>2477</v>
      </c>
      <c r="DC211" s="33">
        <v>12</v>
      </c>
      <c r="DD211" s="33" t="s">
        <v>2281</v>
      </c>
      <c r="DE211" s="33" t="s">
        <v>1755</v>
      </c>
    </row>
    <row r="212" spans="1:109" ht="12.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t="e">
        <f t="shared" si="6"/>
        <v>#VALUE!</v>
      </c>
      <c r="CT212" s="33">
        <v>210</v>
      </c>
      <c r="CU212" s="33" t="s">
        <v>2508</v>
      </c>
      <c r="CV212" s="33" t="s">
        <v>2508</v>
      </c>
      <c r="CW212" s="33" t="s">
        <v>2509</v>
      </c>
      <c r="CX212" s="33" t="s">
        <v>1755</v>
      </c>
      <c r="CY212" s="33"/>
      <c r="CZ212" s="33" t="str">
        <f t="shared" si="7"/>
        <v>Mychal Rivera</v>
      </c>
      <c r="DA212" s="33">
        <v>210</v>
      </c>
      <c r="DB212" s="33" t="s">
        <v>2510</v>
      </c>
      <c r="DC212" s="33">
        <v>5</v>
      </c>
      <c r="DD212" s="33" t="s">
        <v>2511</v>
      </c>
      <c r="DE212" s="33" t="s">
        <v>1755</v>
      </c>
    </row>
    <row r="213" spans="1:109" ht="12.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t="str">
        <f t="shared" si="6"/>
        <v>Benny Cunningham</v>
      </c>
      <c r="CT213" s="33">
        <v>211</v>
      </c>
      <c r="CU213" s="33" t="s">
        <v>2512</v>
      </c>
      <c r="CV213" s="33">
        <v>4</v>
      </c>
      <c r="CW213" s="33" t="s">
        <v>2513</v>
      </c>
      <c r="CX213" s="33" t="s">
        <v>1755</v>
      </c>
      <c r="CY213" s="33"/>
      <c r="CZ213" s="33" t="str">
        <f t="shared" si="7"/>
        <v>Baltimore Ravens</v>
      </c>
      <c r="DA213" s="33">
        <v>211</v>
      </c>
      <c r="DB213" s="33" t="s">
        <v>2514</v>
      </c>
      <c r="DC213" s="33">
        <v>11</v>
      </c>
      <c r="DD213" s="33" t="s">
        <v>2515</v>
      </c>
      <c r="DE213" s="33" t="s">
        <v>1755</v>
      </c>
    </row>
    <row r="214" spans="1:109" ht="12.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t="str">
        <f t="shared" si="6"/>
        <v>Ladarius Green</v>
      </c>
      <c r="CT214" s="33">
        <v>212</v>
      </c>
      <c r="CU214" s="33" t="s">
        <v>2393</v>
      </c>
      <c r="CV214" s="33">
        <v>10</v>
      </c>
      <c r="CW214" s="33" t="s">
        <v>2394</v>
      </c>
      <c r="CX214" s="33" t="s">
        <v>1755</v>
      </c>
      <c r="CY214" s="33"/>
      <c r="CZ214" s="33" t="str">
        <f t="shared" si="7"/>
        <v>Jonathan Stewart</v>
      </c>
      <c r="DA214" s="33">
        <v>212</v>
      </c>
      <c r="DB214" s="33" t="s">
        <v>2264</v>
      </c>
      <c r="DC214" s="33">
        <v>12</v>
      </c>
      <c r="DD214" s="33" t="s">
        <v>2345</v>
      </c>
      <c r="DE214" s="33" t="s">
        <v>1755</v>
      </c>
    </row>
    <row r="215" spans="1:109" ht="12.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t="str">
        <f t="shared" si="6"/>
        <v>Coby Fleener</v>
      </c>
      <c r="CT215" s="33">
        <v>213</v>
      </c>
      <c r="CU215" s="33" t="s">
        <v>2421</v>
      </c>
      <c r="CV215" s="33">
        <v>10</v>
      </c>
      <c r="CW215" s="33" t="s">
        <v>2410</v>
      </c>
      <c r="CX215" s="33" t="s">
        <v>1755</v>
      </c>
      <c r="CY215" s="33"/>
      <c r="CZ215" s="33" t="str">
        <f t="shared" si="7"/>
        <v>Kenbrell Thompkins</v>
      </c>
      <c r="DA215" s="33">
        <v>213</v>
      </c>
      <c r="DB215" s="33" t="s">
        <v>2516</v>
      </c>
      <c r="DC215" s="33">
        <v>10</v>
      </c>
      <c r="DD215" s="33" t="s">
        <v>2517</v>
      </c>
      <c r="DE215" s="33" t="s">
        <v>1755</v>
      </c>
    </row>
    <row r="216" spans="1:109" ht="12.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t="str">
        <f t="shared" si="6"/>
        <v>Daniel Thomas</v>
      </c>
      <c r="CT216" s="33">
        <v>214</v>
      </c>
      <c r="CU216" s="33" t="s">
        <v>2518</v>
      </c>
      <c r="CV216" s="33">
        <v>5</v>
      </c>
      <c r="CW216" s="33" t="s">
        <v>2519</v>
      </c>
      <c r="CX216" s="33" t="s">
        <v>1755</v>
      </c>
      <c r="CY216" s="33"/>
      <c r="CZ216" s="33" t="str">
        <f t="shared" si="7"/>
        <v>Jace Amaro</v>
      </c>
      <c r="DA216" s="33">
        <v>214</v>
      </c>
      <c r="DB216" s="33" t="s">
        <v>2520</v>
      </c>
      <c r="DC216" s="33">
        <v>11</v>
      </c>
      <c r="DD216" s="33" t="s">
        <v>2521</v>
      </c>
      <c r="DE216" s="33" t="s">
        <v>1755</v>
      </c>
    </row>
    <row r="217" spans="1:109" ht="12.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t="str">
        <f t="shared" si="6"/>
        <v>Kenny Britt</v>
      </c>
      <c r="CT217" s="33">
        <v>215</v>
      </c>
      <c r="CU217" s="33" t="s">
        <v>2467</v>
      </c>
      <c r="CV217" s="33">
        <v>4</v>
      </c>
      <c r="CW217" s="33" t="s">
        <v>2456</v>
      </c>
      <c r="CX217" s="33" t="s">
        <v>1755</v>
      </c>
      <c r="CY217" s="33"/>
      <c r="CZ217" s="33" t="str">
        <f t="shared" si="7"/>
        <v>Nate Washington</v>
      </c>
      <c r="DA217" s="33">
        <v>215</v>
      </c>
      <c r="DB217" s="33" t="s">
        <v>2522</v>
      </c>
      <c r="DC217" s="33">
        <v>9</v>
      </c>
      <c r="DD217" s="33" t="s">
        <v>2523</v>
      </c>
      <c r="DE217" s="33" t="s">
        <v>1755</v>
      </c>
    </row>
    <row r="218" spans="1:109" ht="12.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t="str">
        <f t="shared" si="6"/>
        <v>EJ Manuel</v>
      </c>
      <c r="CT218" s="33">
        <v>216</v>
      </c>
      <c r="CU218" s="33" t="s">
        <v>2524</v>
      </c>
      <c r="CV218" s="33">
        <v>9</v>
      </c>
      <c r="CW218" s="33" t="s">
        <v>2525</v>
      </c>
      <c r="CX218" s="33" t="s">
        <v>1755</v>
      </c>
      <c r="CY218" s="33"/>
      <c r="CZ218" s="33" t="str">
        <f t="shared" si="7"/>
        <v>Josh Gordon</v>
      </c>
      <c r="DA218" s="33">
        <v>216</v>
      </c>
      <c r="DB218" s="33" t="s">
        <v>2489</v>
      </c>
      <c r="DC218" s="33">
        <v>4</v>
      </c>
      <c r="DD218" s="33" t="s">
        <v>2526</v>
      </c>
      <c r="DE218" s="33" t="s">
        <v>1755</v>
      </c>
    </row>
    <row r="219" spans="1:109" ht="12.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t="str">
        <f t="shared" si="6"/>
        <v>James White</v>
      </c>
      <c r="CT219" s="33">
        <v>217</v>
      </c>
      <c r="CU219" s="33" t="s">
        <v>2527</v>
      </c>
      <c r="CV219" s="33">
        <v>10</v>
      </c>
      <c r="CW219" s="33" t="s">
        <v>2528</v>
      </c>
      <c r="CX219" s="33" t="s">
        <v>1755</v>
      </c>
      <c r="CY219" s="33"/>
      <c r="CZ219" s="33" t="str">
        <f t="shared" si="7"/>
        <v>Devonta Freeman</v>
      </c>
      <c r="DA219" s="33">
        <v>217</v>
      </c>
      <c r="DB219" s="33" t="s">
        <v>2280</v>
      </c>
      <c r="DC219" s="33">
        <v>9</v>
      </c>
      <c r="DD219" s="33" t="s">
        <v>2392</v>
      </c>
      <c r="DE219" s="33" t="s">
        <v>1755</v>
      </c>
    </row>
    <row r="220" spans="1:109" ht="12.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t="str">
        <f t="shared" si="6"/>
        <v>Eric Ebron</v>
      </c>
      <c r="CT220" s="33">
        <v>218</v>
      </c>
      <c r="CU220" s="33" t="s">
        <v>2433</v>
      </c>
      <c r="CV220" s="33">
        <v>9</v>
      </c>
      <c r="CW220" s="33" t="s">
        <v>2422</v>
      </c>
      <c r="CX220" s="33" t="s">
        <v>1755</v>
      </c>
      <c r="CY220" s="33"/>
      <c r="CZ220" s="33" t="str">
        <f t="shared" si="7"/>
        <v>Andrew Quarless</v>
      </c>
      <c r="DA220" s="33">
        <v>218</v>
      </c>
      <c r="DB220" s="33" t="s">
        <v>2529</v>
      </c>
      <c r="DC220" s="33">
        <v>9</v>
      </c>
      <c r="DD220" s="33" t="s">
        <v>2530</v>
      </c>
      <c r="DE220" s="33" t="s">
        <v>1755</v>
      </c>
    </row>
    <row r="221" spans="1:109" ht="12.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t="str">
        <f t="shared" si="6"/>
        <v>Jerome Simpson</v>
      </c>
      <c r="CT221" s="33">
        <v>219</v>
      </c>
      <c r="CU221" s="33" t="s">
        <v>2457</v>
      </c>
      <c r="CV221" s="33">
        <v>10</v>
      </c>
      <c r="CW221" s="33" t="s">
        <v>2458</v>
      </c>
      <c r="CX221" s="33" t="s">
        <v>1755</v>
      </c>
      <c r="CY221" s="33"/>
      <c r="CZ221" s="33" t="str">
        <f t="shared" si="7"/>
        <v>Andre Holmes</v>
      </c>
      <c r="DA221" s="33">
        <v>219</v>
      </c>
      <c r="DB221" s="33" t="s">
        <v>2531</v>
      </c>
      <c r="DC221" s="33">
        <v>5</v>
      </c>
      <c r="DD221" s="33" t="s">
        <v>2532</v>
      </c>
      <c r="DE221" s="33" t="s">
        <v>1755</v>
      </c>
    </row>
    <row r="222" spans="1:109" ht="12.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t="str">
        <f t="shared" si="6"/>
        <v>Robert Woods</v>
      </c>
      <c r="CT222" s="33">
        <v>220</v>
      </c>
      <c r="CU222" s="33" t="s">
        <v>2481</v>
      </c>
      <c r="CV222" s="33">
        <v>9</v>
      </c>
      <c r="CW222" s="33" t="s">
        <v>2462</v>
      </c>
      <c r="CX222" s="33" t="s">
        <v>1755</v>
      </c>
      <c r="CY222" s="33"/>
      <c r="CZ222" s="33" t="str">
        <f t="shared" si="7"/>
        <v>LeGarrette Blount</v>
      </c>
      <c r="DA222" s="33">
        <v>220</v>
      </c>
      <c r="DB222" s="33" t="s">
        <v>2197</v>
      </c>
      <c r="DC222" s="33">
        <v>12</v>
      </c>
      <c r="DD222" s="33" t="s">
        <v>2398</v>
      </c>
      <c r="DE222" s="33" t="s">
        <v>1755</v>
      </c>
    </row>
    <row r="223" spans="1:109" ht="12.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t="str">
        <f t="shared" si="6"/>
        <v>Jordan Matthews</v>
      </c>
      <c r="CT223" s="33">
        <v>221</v>
      </c>
      <c r="CU223" s="33" t="s">
        <v>2502</v>
      </c>
      <c r="CV223" s="33">
        <v>7</v>
      </c>
      <c r="CW223" s="33" t="s">
        <v>2468</v>
      </c>
      <c r="CX223" s="33" t="s">
        <v>1755</v>
      </c>
      <c r="CY223" s="33"/>
      <c r="CZ223" s="33" t="str">
        <f t="shared" si="7"/>
        <v>Chris Givens</v>
      </c>
      <c r="DA223" s="33">
        <v>221</v>
      </c>
      <c r="DB223" s="33" t="s">
        <v>2533</v>
      </c>
      <c r="DC223" s="33">
        <v>4</v>
      </c>
      <c r="DD223" s="33" t="s">
        <v>2534</v>
      </c>
      <c r="DE223" s="33" t="s">
        <v>1755</v>
      </c>
    </row>
    <row r="224" spans="1:109" ht="12.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t="str">
        <f t="shared" si="6"/>
        <v>Ronnie Hillman</v>
      </c>
      <c r="CT224" s="33">
        <v>222</v>
      </c>
      <c r="CU224" s="33" t="s">
        <v>2535</v>
      </c>
      <c r="CV224" s="33">
        <v>4</v>
      </c>
      <c r="CW224" s="33" t="s">
        <v>2536</v>
      </c>
      <c r="CX224" s="33" t="s">
        <v>1755</v>
      </c>
      <c r="CY224" s="33"/>
      <c r="CZ224" s="33" t="str">
        <f t="shared" si="7"/>
        <v>Scott Chandler</v>
      </c>
      <c r="DA224" s="33">
        <v>222</v>
      </c>
      <c r="DB224" s="33" t="s">
        <v>2537</v>
      </c>
      <c r="DC224" s="33">
        <v>9</v>
      </c>
      <c r="DD224" s="33" t="s">
        <v>2538</v>
      </c>
      <c r="DE224" s="33" t="s">
        <v>1755</v>
      </c>
    </row>
    <row r="225" spans="1:109" ht="12.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t="str">
        <f t="shared" si="6"/>
        <v>Andre Holmes</v>
      </c>
      <c r="CT225" s="33">
        <v>223</v>
      </c>
      <c r="CU225" s="33" t="s">
        <v>2531</v>
      </c>
      <c r="CV225" s="33">
        <v>5</v>
      </c>
      <c r="CW225" s="33" t="s">
        <v>2474</v>
      </c>
      <c r="CX225" s="33" t="s">
        <v>1755</v>
      </c>
      <c r="CY225" s="33"/>
      <c r="CZ225" s="33" t="str">
        <f t="shared" si="7"/>
        <v>Jermaine Kearse</v>
      </c>
      <c r="DA225" s="33">
        <v>223</v>
      </c>
      <c r="DB225" s="33" t="s">
        <v>2539</v>
      </c>
      <c r="DC225" s="33">
        <v>4</v>
      </c>
      <c r="DD225" s="33" t="s">
        <v>2540</v>
      </c>
      <c r="DE225" s="33" t="s">
        <v>1755</v>
      </c>
    </row>
    <row r="226" spans="1:109" ht="12.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t="str">
        <f t="shared" si="6"/>
        <v>Harry Douglas</v>
      </c>
      <c r="CT226" s="33">
        <v>224</v>
      </c>
      <c r="CU226" s="33" t="s">
        <v>2441</v>
      </c>
      <c r="CV226" s="33">
        <v>9</v>
      </c>
      <c r="CW226" s="33" t="s">
        <v>2482</v>
      </c>
      <c r="CX226" s="33" t="s">
        <v>1755</v>
      </c>
      <c r="CY226" s="33"/>
      <c r="CZ226" s="33" t="str">
        <f t="shared" si="7"/>
        <v>Garrett Graham</v>
      </c>
      <c r="DA226" s="33">
        <v>224</v>
      </c>
      <c r="DB226" s="33" t="s">
        <v>2541</v>
      </c>
      <c r="DC226" s="33">
        <v>10</v>
      </c>
      <c r="DD226" s="33" t="s">
        <v>2542</v>
      </c>
      <c r="DE226" s="33" t="s">
        <v>1755</v>
      </c>
    </row>
    <row r="227" spans="1:109" ht="12.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t="str">
        <f t="shared" si="6"/>
        <v>Andre Brown</v>
      </c>
      <c r="CT227" s="33">
        <v>225</v>
      </c>
      <c r="CU227" s="33" t="s">
        <v>2543</v>
      </c>
      <c r="CV227" s="33" t="s">
        <v>1755</v>
      </c>
      <c r="CW227" s="33" t="s">
        <v>2544</v>
      </c>
      <c r="CX227" s="33" t="s">
        <v>1755</v>
      </c>
      <c r="CY227" s="33"/>
      <c r="CZ227" s="33" t="str">
        <f t="shared" si="7"/>
        <v>Andre Williams</v>
      </c>
      <c r="DA227" s="33">
        <v>225</v>
      </c>
      <c r="DB227" s="33" t="s">
        <v>2258</v>
      </c>
      <c r="DC227" s="33">
        <v>8</v>
      </c>
      <c r="DD227" s="33" t="s">
        <v>2408</v>
      </c>
      <c r="DE227" s="33" t="s">
        <v>1755</v>
      </c>
    </row>
    <row r="228" spans="1:109" ht="12.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t="str">
        <f t="shared" si="6"/>
        <v>Isaiah Crowell</v>
      </c>
      <c r="CT228" s="33">
        <v>226</v>
      </c>
      <c r="CU228" s="33" t="s">
        <v>2545</v>
      </c>
      <c r="CV228" s="33">
        <v>4</v>
      </c>
      <c r="CW228" s="33" t="s">
        <v>2546</v>
      </c>
      <c r="CX228" s="33" t="s">
        <v>1755</v>
      </c>
      <c r="CY228" s="33"/>
      <c r="CZ228" s="33" t="str">
        <f t="shared" si="7"/>
        <v>Eddie Royal</v>
      </c>
      <c r="DA228" s="33">
        <v>226</v>
      </c>
      <c r="DB228" s="33" t="s">
        <v>2547</v>
      </c>
      <c r="DC228" s="33">
        <v>10</v>
      </c>
      <c r="DD228" s="33" t="s">
        <v>2548</v>
      </c>
      <c r="DE228" s="33" t="s">
        <v>1755</v>
      </c>
    </row>
    <row r="229" spans="1:109" ht="12.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t="str">
        <f t="shared" si="6"/>
        <v>Malcom Floyd</v>
      </c>
      <c r="CT229" s="33">
        <v>227</v>
      </c>
      <c r="CU229" s="33" t="s">
        <v>2455</v>
      </c>
      <c r="CV229" s="33">
        <v>10</v>
      </c>
      <c r="CW229" s="33" t="s">
        <v>2488</v>
      </c>
      <c r="CX229" s="33" t="s">
        <v>1755</v>
      </c>
      <c r="CY229" s="33"/>
      <c r="CZ229" s="33" t="str">
        <f t="shared" si="7"/>
        <v>Cleveland Browns</v>
      </c>
      <c r="DA229" s="33">
        <v>227</v>
      </c>
      <c r="DB229" s="33" t="s">
        <v>2549</v>
      </c>
      <c r="DC229" s="33">
        <v>4</v>
      </c>
      <c r="DD229" s="33" t="s">
        <v>2550</v>
      </c>
      <c r="DE229" s="33" t="s">
        <v>1755</v>
      </c>
    </row>
    <row r="230" spans="1:109" ht="12.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t="str">
        <f t="shared" si="6"/>
        <v>Kenbrell Thompkins</v>
      </c>
      <c r="CT230" s="33">
        <v>228</v>
      </c>
      <c r="CU230" s="33" t="s">
        <v>2516</v>
      </c>
      <c r="CV230" s="33">
        <v>10</v>
      </c>
      <c r="CW230" s="33" t="s">
        <v>2493</v>
      </c>
      <c r="CX230" s="33" t="s">
        <v>1755</v>
      </c>
      <c r="CY230" s="33"/>
      <c r="CZ230" s="33" t="str">
        <f t="shared" si="7"/>
        <v>Ka'Deem Carey</v>
      </c>
      <c r="DA230" s="33">
        <v>228</v>
      </c>
      <c r="DB230" s="33" t="s">
        <v>2407</v>
      </c>
      <c r="DC230" s="33">
        <v>9</v>
      </c>
      <c r="DD230" s="33" t="s">
        <v>2414</v>
      </c>
      <c r="DE230" s="33" t="s">
        <v>1755</v>
      </c>
    </row>
    <row r="231" spans="1:109" ht="12.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t="str">
        <f t="shared" si="6"/>
        <v>Lance Moore</v>
      </c>
      <c r="CT231" s="33">
        <v>229</v>
      </c>
      <c r="CU231" s="33" t="s">
        <v>2473</v>
      </c>
      <c r="CV231" s="33">
        <v>12</v>
      </c>
      <c r="CW231" s="33" t="s">
        <v>2503</v>
      </c>
      <c r="CX231" s="33" t="s">
        <v>1755</v>
      </c>
      <c r="CY231" s="33"/>
      <c r="CZ231" s="33" t="str">
        <f t="shared" si="7"/>
        <v>EJ Manuel</v>
      </c>
      <c r="DA231" s="33">
        <v>229</v>
      </c>
      <c r="DB231" s="33" t="s">
        <v>2524</v>
      </c>
      <c r="DC231" s="33">
        <v>9</v>
      </c>
      <c r="DD231" s="33" t="s">
        <v>2525</v>
      </c>
      <c r="DE231" s="33" t="s">
        <v>1755</v>
      </c>
    </row>
    <row r="232" spans="1:109" ht="12.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t="str">
        <f t="shared" si="6"/>
        <v>Denard Robinson</v>
      </c>
      <c r="CT232" s="33">
        <v>230</v>
      </c>
      <c r="CU232" s="33" t="s">
        <v>2551</v>
      </c>
      <c r="CV232" s="33">
        <v>11</v>
      </c>
      <c r="CW232" s="33" t="s">
        <v>2552</v>
      </c>
      <c r="CX232" s="33" t="s">
        <v>1755</v>
      </c>
      <c r="CY232" s="33"/>
      <c r="CZ232" s="33" t="str">
        <f t="shared" si="7"/>
        <v>Latavius Murray</v>
      </c>
      <c r="DA232" s="33">
        <v>230</v>
      </c>
      <c r="DB232" s="33" t="s">
        <v>2397</v>
      </c>
      <c r="DC232" s="33">
        <v>5</v>
      </c>
      <c r="DD232" s="33" t="s">
        <v>2420</v>
      </c>
      <c r="DE232" s="33" t="s">
        <v>1755</v>
      </c>
    </row>
    <row r="233" spans="1:109" ht="12.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t="str">
        <f t="shared" si="6"/>
        <v>Nate Washington</v>
      </c>
      <c r="CT233" s="33">
        <v>231</v>
      </c>
      <c r="CU233" s="33" t="s">
        <v>2522</v>
      </c>
      <c r="CV233" s="33">
        <v>9</v>
      </c>
      <c r="CW233" s="33" t="s">
        <v>2517</v>
      </c>
      <c r="CX233" s="33" t="s">
        <v>1755</v>
      </c>
      <c r="CY233" s="33"/>
      <c r="CZ233" s="33" t="str">
        <f t="shared" si="7"/>
        <v>Robbie Gould</v>
      </c>
      <c r="DA233" s="33">
        <v>231</v>
      </c>
      <c r="DB233" s="33" t="s">
        <v>2475</v>
      </c>
      <c r="DC233" s="33">
        <v>9</v>
      </c>
      <c r="DD233" s="33" t="s">
        <v>2476</v>
      </c>
      <c r="DE233" s="33" t="s">
        <v>1755</v>
      </c>
    </row>
    <row r="234" spans="1:109" ht="12.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t="str">
        <f t="shared" si="6"/>
        <v>Marvin Jones</v>
      </c>
      <c r="CT234" s="33">
        <v>232</v>
      </c>
      <c r="CU234" s="33" t="s">
        <v>2492</v>
      </c>
      <c r="CV234" s="33">
        <v>4</v>
      </c>
      <c r="CW234" s="33" t="s">
        <v>2523</v>
      </c>
      <c r="CX234" s="33" t="s">
        <v>1755</v>
      </c>
      <c r="CY234" s="33"/>
      <c r="CZ234" s="33" t="str">
        <f t="shared" si="7"/>
        <v>Marlon Brown</v>
      </c>
      <c r="DA234" s="33">
        <v>232</v>
      </c>
      <c r="DB234" s="33" t="s">
        <v>2553</v>
      </c>
      <c r="DC234" s="33">
        <v>11</v>
      </c>
      <c r="DD234" s="33" t="s">
        <v>2554</v>
      </c>
      <c r="DE234" s="33" t="s">
        <v>1755</v>
      </c>
    </row>
    <row r="235" spans="1:109" ht="12.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t="str">
        <f t="shared" si="6"/>
        <v>Donnie Avery</v>
      </c>
      <c r="CT235" s="33">
        <v>233</v>
      </c>
      <c r="CU235" s="33" t="s">
        <v>2461</v>
      </c>
      <c r="CV235" s="33">
        <v>6</v>
      </c>
      <c r="CW235" s="33" t="s">
        <v>2526</v>
      </c>
      <c r="CX235" s="33" t="s">
        <v>1755</v>
      </c>
      <c r="CY235" s="33"/>
      <c r="CZ235" s="33" t="str">
        <f t="shared" si="7"/>
        <v>Ahmad Bradshaw</v>
      </c>
      <c r="DA235" s="33">
        <v>233</v>
      </c>
      <c r="DB235" s="33" t="s">
        <v>2344</v>
      </c>
      <c r="DC235" s="33">
        <v>10</v>
      </c>
      <c r="DD235" s="33" t="s">
        <v>2424</v>
      </c>
      <c r="DE235" s="33" t="s">
        <v>1755</v>
      </c>
    </row>
    <row r="236" spans="1:109" ht="12.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t="str">
        <f t="shared" si="6"/>
        <v>Houston Texans</v>
      </c>
      <c r="CT236" s="33">
        <v>234</v>
      </c>
      <c r="CU236" s="33" t="s">
        <v>2498</v>
      </c>
      <c r="CV236" s="33">
        <v>10</v>
      </c>
      <c r="CW236" s="33" t="s">
        <v>2499</v>
      </c>
      <c r="CX236" s="33" t="s">
        <v>1755</v>
      </c>
      <c r="CY236" s="33"/>
      <c r="CZ236" s="33" t="str">
        <f t="shared" si="7"/>
        <v>Nate Burleson</v>
      </c>
      <c r="DA236" s="33">
        <v>234</v>
      </c>
      <c r="DB236" s="33" t="s">
        <v>2555</v>
      </c>
      <c r="DC236" s="33">
        <v>4</v>
      </c>
      <c r="DD236" s="33" t="s">
        <v>2556</v>
      </c>
      <c r="DE236" s="33" t="s">
        <v>1755</v>
      </c>
    </row>
    <row r="237" spans="1:109" ht="12.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t="str">
        <f t="shared" si="6"/>
        <v>Jermaine Kearse</v>
      </c>
      <c r="CT237" s="33">
        <v>235</v>
      </c>
      <c r="CU237" s="33" t="s">
        <v>2539</v>
      </c>
      <c r="CV237" s="33">
        <v>4</v>
      </c>
      <c r="CW237" s="33" t="s">
        <v>2532</v>
      </c>
      <c r="CX237" s="33" t="s">
        <v>1755</v>
      </c>
      <c r="CY237" s="33"/>
      <c r="CZ237" s="33" t="str">
        <f t="shared" si="7"/>
        <v>Jacquizz Rodgers</v>
      </c>
      <c r="DA237" s="33">
        <v>235</v>
      </c>
      <c r="DB237" s="33" t="s">
        <v>2504</v>
      </c>
      <c r="DC237" s="33">
        <v>9</v>
      </c>
      <c r="DD237" s="33" t="s">
        <v>2430</v>
      </c>
      <c r="DE237" s="33" t="s">
        <v>1755</v>
      </c>
    </row>
    <row r="238" spans="1:109" ht="12.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t="str">
        <f t="shared" si="6"/>
        <v>Joseph Randle</v>
      </c>
      <c r="CT238" s="33">
        <v>236</v>
      </c>
      <c r="CU238" s="33" t="s">
        <v>2557</v>
      </c>
      <c r="CV238" s="33">
        <v>11</v>
      </c>
      <c r="CW238" s="33" t="s">
        <v>2558</v>
      </c>
      <c r="CX238" s="33" t="s">
        <v>1755</v>
      </c>
      <c r="CY238" s="33"/>
      <c r="CZ238" s="33" t="str">
        <f t="shared" si="7"/>
        <v>Sam Bradford</v>
      </c>
      <c r="DA238" s="33">
        <v>236</v>
      </c>
      <c r="DB238" s="33" t="s">
        <v>2559</v>
      </c>
      <c r="DC238" s="33">
        <v>4</v>
      </c>
      <c r="DD238" s="33" t="s">
        <v>2560</v>
      </c>
      <c r="DE238" s="33" t="s">
        <v>1755</v>
      </c>
    </row>
    <row r="239" spans="1:109" ht="12.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t="str">
        <f t="shared" si="6"/>
        <v>Ronnie Brown</v>
      </c>
      <c r="CT239" s="33">
        <v>237</v>
      </c>
      <c r="CU239" s="33" t="s">
        <v>2561</v>
      </c>
      <c r="CV239" s="33">
        <v>10</v>
      </c>
      <c r="CW239" s="33" t="s">
        <v>2562</v>
      </c>
      <c r="CX239" s="33" t="s">
        <v>1755</v>
      </c>
      <c r="CY239" s="33"/>
      <c r="CZ239" s="33" t="str">
        <f t="shared" si="7"/>
        <v>Shayne Graham</v>
      </c>
      <c r="DA239" s="33">
        <v>237</v>
      </c>
      <c r="DB239" s="33" t="s">
        <v>2563</v>
      </c>
      <c r="DC239" s="33">
        <v>6</v>
      </c>
      <c r="DD239" s="33" t="s">
        <v>2564</v>
      </c>
      <c r="DE239" s="33" t="s">
        <v>1755</v>
      </c>
    </row>
    <row r="240" spans="1:109" ht="12.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t="str">
        <f t="shared" si="6"/>
        <v>Heath Miller</v>
      </c>
      <c r="CT240" s="33">
        <v>238</v>
      </c>
      <c r="CU240" s="33" t="s">
        <v>2409</v>
      </c>
      <c r="CV240" s="33">
        <v>12</v>
      </c>
      <c r="CW240" s="33" t="s">
        <v>2434</v>
      </c>
      <c r="CX240" s="33" t="s">
        <v>1755</v>
      </c>
      <c r="CY240" s="33"/>
      <c r="CZ240" s="33" t="str">
        <f t="shared" si="7"/>
        <v>Pittsburgh Steelers</v>
      </c>
      <c r="DA240" s="33">
        <v>238</v>
      </c>
      <c r="DB240" s="33" t="s">
        <v>2565</v>
      </c>
      <c r="DC240" s="33">
        <v>12</v>
      </c>
      <c r="DD240" s="33" t="s">
        <v>2566</v>
      </c>
      <c r="DE240" s="33" t="s">
        <v>1755</v>
      </c>
    </row>
    <row r="241" spans="1:109" ht="12.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t="str">
        <f t="shared" si="6"/>
        <v>Matt Asiata</v>
      </c>
      <c r="CT241" s="33">
        <v>239</v>
      </c>
      <c r="CU241" s="33" t="s">
        <v>2567</v>
      </c>
      <c r="CV241" s="33">
        <v>10</v>
      </c>
      <c r="CW241" s="33" t="s">
        <v>2568</v>
      </c>
      <c r="CX241" s="33" t="s">
        <v>1755</v>
      </c>
      <c r="CY241" s="33"/>
      <c r="CZ241" s="33" t="str">
        <f t="shared" si="7"/>
        <v>Lance Dunbar</v>
      </c>
      <c r="DA241" s="33">
        <v>239</v>
      </c>
      <c r="DB241" s="33" t="s">
        <v>2439</v>
      </c>
      <c r="DC241" s="33">
        <v>11</v>
      </c>
      <c r="DD241" s="33" t="s">
        <v>2440</v>
      </c>
      <c r="DE241" s="33" t="s">
        <v>1755</v>
      </c>
    </row>
    <row r="242" spans="1:109" ht="12.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t="str">
        <f t="shared" si="6"/>
        <v>Bilal Powell</v>
      </c>
      <c r="CT242" s="33">
        <v>240</v>
      </c>
      <c r="CU242" s="33" t="s">
        <v>2569</v>
      </c>
      <c r="CV242" s="33">
        <v>11</v>
      </c>
      <c r="CW242" s="33" t="s">
        <v>2570</v>
      </c>
      <c r="CX242" s="33" t="s">
        <v>1755</v>
      </c>
      <c r="CY242" s="33"/>
      <c r="CZ242" s="33" t="str">
        <f t="shared" si="7"/>
        <v>Jermaine Gresham</v>
      </c>
      <c r="DA242" s="33">
        <v>240</v>
      </c>
      <c r="DB242" s="33" t="s">
        <v>2571</v>
      </c>
      <c r="DC242" s="33">
        <v>4</v>
      </c>
      <c r="DD242" s="33" t="s">
        <v>2572</v>
      </c>
      <c r="DE242" s="33" t="s">
        <v>1755</v>
      </c>
    </row>
    <row r="243" spans="1:109" ht="12.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t="str">
        <f t="shared" si="6"/>
        <v>Marlon Brown</v>
      </c>
      <c r="CT243" s="33">
        <v>241</v>
      </c>
      <c r="CU243" s="33" t="s">
        <v>2553</v>
      </c>
      <c r="CV243" s="33">
        <v>11</v>
      </c>
      <c r="CW243" s="33" t="s">
        <v>2534</v>
      </c>
      <c r="CX243" s="33" t="s">
        <v>1755</v>
      </c>
      <c r="CY243" s="33"/>
      <c r="CZ243" s="33" t="str">
        <f t="shared" si="7"/>
        <v>Ted Ginn</v>
      </c>
      <c r="DA243" s="33">
        <v>241</v>
      </c>
      <c r="DB243" s="33" t="s">
        <v>2573</v>
      </c>
      <c r="DC243" s="33">
        <v>4</v>
      </c>
      <c r="DD243" s="33" t="s">
        <v>2574</v>
      </c>
      <c r="DE243" s="33" t="s">
        <v>1755</v>
      </c>
    </row>
    <row r="244" spans="1:109" ht="12.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t="str">
        <f t="shared" si="6"/>
        <v>Shaun Draughn</v>
      </c>
      <c r="CT244" s="33">
        <v>242</v>
      </c>
      <c r="CU244" s="33" t="s">
        <v>2575</v>
      </c>
      <c r="CV244" s="33">
        <v>9</v>
      </c>
      <c r="CW244" s="33" t="s">
        <v>2576</v>
      </c>
      <c r="CX244" s="33" t="s">
        <v>1755</v>
      </c>
      <c r="CY244" s="33"/>
      <c r="CZ244" s="33" t="str">
        <f t="shared" si="7"/>
        <v>Bryce Brown</v>
      </c>
      <c r="DA244" s="33">
        <v>242</v>
      </c>
      <c r="DB244" s="33" t="s">
        <v>2423</v>
      </c>
      <c r="DC244" s="33">
        <v>9</v>
      </c>
      <c r="DD244" s="33" t="s">
        <v>2448</v>
      </c>
      <c r="DE244" s="33" t="s">
        <v>1755</v>
      </c>
    </row>
    <row r="245" spans="1:109" ht="12.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t="str">
        <f t="shared" si="6"/>
        <v>Sam Bradford</v>
      </c>
      <c r="CT245" s="33">
        <v>243</v>
      </c>
      <c r="CU245" s="33" t="s">
        <v>2559</v>
      </c>
      <c r="CV245" s="33">
        <v>4</v>
      </c>
      <c r="CW245" s="33" t="s">
        <v>2560</v>
      </c>
      <c r="CX245" s="33" t="s">
        <v>1755</v>
      </c>
      <c r="CY245" s="33"/>
      <c r="CZ245" s="33" t="str">
        <f t="shared" si="7"/>
        <v>Marcedes Lewis</v>
      </c>
      <c r="DA245" s="33">
        <v>243</v>
      </c>
      <c r="DB245" s="33" t="s">
        <v>2577</v>
      </c>
      <c r="DC245" s="33">
        <v>11</v>
      </c>
      <c r="DD245" s="33" t="s">
        <v>2578</v>
      </c>
      <c r="DE245" s="33" t="s">
        <v>1755</v>
      </c>
    </row>
    <row r="246" spans="1:109" ht="12.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t="str">
        <f t="shared" si="6"/>
        <v>Mike James</v>
      </c>
      <c r="CT246" s="33">
        <v>244</v>
      </c>
      <c r="CU246" s="33" t="s">
        <v>2579</v>
      </c>
      <c r="CV246" s="33">
        <v>7</v>
      </c>
      <c r="CW246" s="33" t="s">
        <v>2580</v>
      </c>
      <c r="CX246" s="33" t="s">
        <v>1755</v>
      </c>
      <c r="CY246" s="33"/>
      <c r="CZ246" s="33" t="str">
        <f t="shared" si="7"/>
        <v>Mohamed Sanu</v>
      </c>
      <c r="DA246" s="33">
        <v>244</v>
      </c>
      <c r="DB246" s="33" t="s">
        <v>2581</v>
      </c>
      <c r="DC246" s="33">
        <v>4</v>
      </c>
      <c r="DD246" s="33" t="s">
        <v>2582</v>
      </c>
      <c r="DE246" s="33" t="s">
        <v>1755</v>
      </c>
    </row>
    <row r="247" spans="1:109" ht="12.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t="str">
        <f t="shared" si="6"/>
        <v>Dwayne Allen</v>
      </c>
      <c r="CT247" s="33">
        <v>245</v>
      </c>
      <c r="CU247" s="33" t="s">
        <v>2463</v>
      </c>
      <c r="CV247" s="33">
        <v>10</v>
      </c>
      <c r="CW247" s="33" t="s">
        <v>2438</v>
      </c>
      <c r="CX247" s="33" t="s">
        <v>1755</v>
      </c>
      <c r="CY247" s="33"/>
      <c r="CZ247" s="33" t="str">
        <f t="shared" si="7"/>
        <v>Matt Bryant</v>
      </c>
      <c r="DA247" s="33">
        <v>245</v>
      </c>
      <c r="DB247" s="33" t="s">
        <v>2583</v>
      </c>
      <c r="DC247" s="33">
        <v>9</v>
      </c>
      <c r="DD247" s="33" t="s">
        <v>2584</v>
      </c>
      <c r="DE247" s="33" t="s">
        <v>1755</v>
      </c>
    </row>
    <row r="248" spans="1:109" ht="12.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t="str">
        <f t="shared" si="6"/>
        <v>Travaris Cadet</v>
      </c>
      <c r="CT248" s="33">
        <v>246</v>
      </c>
      <c r="CU248" s="33" t="s">
        <v>2585</v>
      </c>
      <c r="CV248" s="33">
        <v>6</v>
      </c>
      <c r="CW248" s="33" t="s">
        <v>2586</v>
      </c>
      <c r="CX248" s="33" t="s">
        <v>1755</v>
      </c>
      <c r="CY248" s="33"/>
      <c r="CZ248" s="33" t="str">
        <f t="shared" si="7"/>
        <v>Jarvis Landry</v>
      </c>
      <c r="DA248" s="33">
        <v>246</v>
      </c>
      <c r="DB248" s="33" t="s">
        <v>2587</v>
      </c>
      <c r="DC248" s="33">
        <v>5</v>
      </c>
      <c r="DD248" s="33" t="s">
        <v>2588</v>
      </c>
      <c r="DE248" s="33" t="s">
        <v>1755</v>
      </c>
    </row>
    <row r="249" spans="1:109" ht="12.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t="str">
        <f t="shared" si="6"/>
        <v>Jeremy Kerley</v>
      </c>
      <c r="CT249" s="33">
        <v>247</v>
      </c>
      <c r="CU249" s="33" t="s">
        <v>2487</v>
      </c>
      <c r="CV249" s="33">
        <v>11</v>
      </c>
      <c r="CW249" s="33" t="s">
        <v>2540</v>
      </c>
      <c r="CX249" s="33" t="s">
        <v>1755</v>
      </c>
      <c r="CY249" s="33"/>
      <c r="CZ249" s="33" t="str">
        <f t="shared" si="7"/>
        <v>New York Giants</v>
      </c>
      <c r="DA249" s="33">
        <v>247</v>
      </c>
      <c r="DB249" s="33" t="s">
        <v>2589</v>
      </c>
      <c r="DC249" s="33">
        <v>8</v>
      </c>
      <c r="DD249" s="33" t="s">
        <v>2590</v>
      </c>
      <c r="DE249" s="33" t="s">
        <v>1755</v>
      </c>
    </row>
    <row r="250" spans="1:109" ht="12.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t="str">
        <f t="shared" si="6"/>
        <v>Storm Johnson</v>
      </c>
      <c r="CT250" s="33">
        <v>248</v>
      </c>
      <c r="CU250" s="33" t="s">
        <v>2591</v>
      </c>
      <c r="CV250" s="33">
        <v>11</v>
      </c>
      <c r="CW250" s="33" t="s">
        <v>2592</v>
      </c>
      <c r="CX250" s="33" t="s">
        <v>1755</v>
      </c>
      <c r="CY250" s="33"/>
      <c r="CZ250" s="33" t="str">
        <f t="shared" si="7"/>
        <v>Geno Smith</v>
      </c>
      <c r="DA250" s="33">
        <v>248</v>
      </c>
      <c r="DB250" s="33" t="s">
        <v>2593</v>
      </c>
      <c r="DC250" s="33">
        <v>11</v>
      </c>
      <c r="DD250" s="33" t="s">
        <v>2594</v>
      </c>
      <c r="DE250" s="33" t="s">
        <v>1755</v>
      </c>
    </row>
    <row r="251" spans="1:109" ht="12.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t="str">
        <f t="shared" si="6"/>
        <v>Lorenzo Taliaferro</v>
      </c>
      <c r="CT251" s="33">
        <v>249</v>
      </c>
      <c r="CU251" s="33" t="s">
        <v>2595</v>
      </c>
      <c r="CV251" s="33">
        <v>11</v>
      </c>
      <c r="CW251" s="33" t="s">
        <v>2596</v>
      </c>
      <c r="CX251" s="33" t="s">
        <v>1755</v>
      </c>
      <c r="CY251" s="33"/>
      <c r="CZ251" s="33" t="str">
        <f t="shared" si="7"/>
        <v>Jonathan Dwyer</v>
      </c>
      <c r="DA251" s="33">
        <v>249</v>
      </c>
      <c r="DB251" s="33" t="s">
        <v>2447</v>
      </c>
      <c r="DC251" s="33">
        <v>4</v>
      </c>
      <c r="DD251" s="33" t="s">
        <v>2454</v>
      </c>
      <c r="DE251" s="33" t="s">
        <v>1755</v>
      </c>
    </row>
    <row r="252" spans="1:109" ht="12.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t="str">
        <f t="shared" si="6"/>
        <v>Geno Smith</v>
      </c>
      <c r="CT252" s="33">
        <v>250</v>
      </c>
      <c r="CU252" s="33" t="s">
        <v>2593</v>
      </c>
      <c r="CV252" s="33">
        <v>11</v>
      </c>
      <c r="CW252" s="33" t="s">
        <v>2594</v>
      </c>
      <c r="CX252" s="33" t="s">
        <v>1755</v>
      </c>
      <c r="CY252" s="33"/>
      <c r="CZ252" s="33" t="str">
        <f t="shared" si="7"/>
        <v>Brandon Bolden</v>
      </c>
      <c r="DA252" s="33">
        <v>250</v>
      </c>
      <c r="DB252" s="33" t="s">
        <v>2485</v>
      </c>
      <c r="DC252" s="33">
        <v>10</v>
      </c>
      <c r="DD252" s="33" t="s">
        <v>2460</v>
      </c>
      <c r="DE252" s="33" t="s">
        <v>1755</v>
      </c>
    </row>
    <row r="253" spans="1:109" ht="12.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t="str">
        <f t="shared" si="6"/>
        <v>De'Anthony Thomas</v>
      </c>
      <c r="CT253" s="33">
        <v>251</v>
      </c>
      <c r="CU253" s="33" t="s">
        <v>2597</v>
      </c>
      <c r="CV253" s="33">
        <v>6</v>
      </c>
      <c r="CW253" s="33" t="s">
        <v>2598</v>
      </c>
      <c r="CX253" s="33" t="s">
        <v>1755</v>
      </c>
      <c r="CY253" s="33"/>
      <c r="CZ253" s="33" t="str">
        <f t="shared" si="7"/>
        <v>Alex Henery</v>
      </c>
      <c r="DA253" s="33">
        <v>251</v>
      </c>
      <c r="DB253" s="33" t="s">
        <v>2599</v>
      </c>
      <c r="DC253" s="33">
        <v>7</v>
      </c>
      <c r="DD253" s="33" t="s">
        <v>2600</v>
      </c>
      <c r="DE253" s="33" t="s">
        <v>1755</v>
      </c>
    </row>
    <row r="254" spans="1:109" ht="12.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t="str">
        <f t="shared" si="6"/>
        <v>Eddie Royal</v>
      </c>
      <c r="CT254" s="33">
        <v>252</v>
      </c>
      <c r="CU254" s="33" t="s">
        <v>2547</v>
      </c>
      <c r="CV254" s="33">
        <v>10</v>
      </c>
      <c r="CW254" s="33" t="s">
        <v>2548</v>
      </c>
      <c r="CX254" s="33" t="s">
        <v>1755</v>
      </c>
      <c r="CY254" s="33"/>
      <c r="CZ254" s="33" t="str">
        <f t="shared" si="7"/>
        <v>Jermichael Finley</v>
      </c>
      <c r="DA254" s="33">
        <v>252</v>
      </c>
      <c r="DB254" s="33" t="s">
        <v>2601</v>
      </c>
      <c r="DC254" s="33" t="s">
        <v>1755</v>
      </c>
      <c r="DD254" s="33" t="s">
        <v>2602</v>
      </c>
      <c r="DE254" s="33" t="s">
        <v>1755</v>
      </c>
    </row>
    <row r="255" spans="1:109" ht="12.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t="str">
        <f t="shared" si="6"/>
        <v>Theo Riddick</v>
      </c>
      <c r="CT255" s="33">
        <v>253</v>
      </c>
      <c r="CU255" s="33" t="s">
        <v>2603</v>
      </c>
      <c r="CV255" s="33">
        <v>9</v>
      </c>
      <c r="CW255" s="33" t="s">
        <v>2604</v>
      </c>
      <c r="CX255" s="33" t="s">
        <v>1755</v>
      </c>
      <c r="CY255" s="33"/>
      <c r="CZ255" s="33" t="str">
        <f t="shared" si="7"/>
        <v>Ronnie Hillman</v>
      </c>
      <c r="DA255" s="33">
        <v>253</v>
      </c>
      <c r="DB255" s="33" t="s">
        <v>2535</v>
      </c>
      <c r="DC255" s="33">
        <v>4</v>
      </c>
      <c r="DD255" s="33" t="s">
        <v>2478</v>
      </c>
      <c r="DE255" s="33" t="s">
        <v>1755</v>
      </c>
    </row>
    <row r="256" spans="1:109" ht="12.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t="str">
        <f t="shared" si="6"/>
        <v>Peyton Hillis</v>
      </c>
      <c r="CT256" s="33">
        <v>254</v>
      </c>
      <c r="CU256" s="33" t="s">
        <v>2605</v>
      </c>
      <c r="CV256" s="33">
        <v>8</v>
      </c>
      <c r="CW256" s="33" t="s">
        <v>2606</v>
      </c>
      <c r="CX256" s="33" t="s">
        <v>1755</v>
      </c>
      <c r="CY256" s="33"/>
      <c r="CZ256" s="33" t="str">
        <f t="shared" si="7"/>
        <v>Cole Beasley</v>
      </c>
      <c r="DA256" s="33">
        <v>254</v>
      </c>
      <c r="DB256" s="33" t="s">
        <v>2607</v>
      </c>
      <c r="DC256" s="33">
        <v>11</v>
      </c>
      <c r="DD256" s="33" t="s">
        <v>2608</v>
      </c>
      <c r="DE256" s="33" t="s">
        <v>1755</v>
      </c>
    </row>
    <row r="257" spans="1:109" ht="12.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t="str">
        <f t="shared" si="6"/>
        <v>Ted Ginn</v>
      </c>
      <c r="CT257" s="33">
        <v>255</v>
      </c>
      <c r="CU257" s="33" t="s">
        <v>2573</v>
      </c>
      <c r="CV257" s="33">
        <v>4</v>
      </c>
      <c r="CW257" s="33" t="s">
        <v>2554</v>
      </c>
      <c r="CX257" s="33" t="s">
        <v>1755</v>
      </c>
      <c r="CY257" s="33"/>
      <c r="CZ257" s="33" t="str">
        <f t="shared" si="7"/>
        <v>Philadelphia Eagles</v>
      </c>
      <c r="DA257" s="33">
        <v>255</v>
      </c>
      <c r="DB257" s="33" t="s">
        <v>2609</v>
      </c>
      <c r="DC257" s="33">
        <v>7</v>
      </c>
      <c r="DD257" s="33" t="s">
        <v>2610</v>
      </c>
      <c r="DE257" s="33" t="s">
        <v>1755</v>
      </c>
    </row>
    <row r="258" spans="1:109" ht="12.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t="str">
        <f t="shared" si="6"/>
        <v>Ryan Williams</v>
      </c>
      <c r="CT258" s="33">
        <v>256</v>
      </c>
      <c r="CU258" s="33" t="s">
        <v>2611</v>
      </c>
      <c r="CV258" s="33">
        <v>11</v>
      </c>
      <c r="CW258" s="33" t="s">
        <v>2612</v>
      </c>
      <c r="CX258" s="33" t="s">
        <v>1755</v>
      </c>
      <c r="CY258" s="33"/>
      <c r="CZ258" s="33" t="str">
        <f t="shared" si="7"/>
        <v>Chris Polk</v>
      </c>
      <c r="DA258" s="33">
        <v>256</v>
      </c>
      <c r="DB258" s="33" t="s">
        <v>2419</v>
      </c>
      <c r="DC258" s="33">
        <v>7</v>
      </c>
      <c r="DD258" s="33" t="s">
        <v>2486</v>
      </c>
      <c r="DE258" s="33" t="s">
        <v>1755</v>
      </c>
    </row>
    <row r="259" spans="1:109" ht="12.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t="str">
        <f t="shared" ref="CS259:CS302" si="8">IF(ISERROR(FIND("D/ST",CU259)),IF(ISERROR(FIND("*",CU259)),LEFT(CU259,(FIND(",",CU259)-1)),LEFT(CU259,(FIND("*",CU259)-1))),LEFT(CU259,(FIND("D/ST",CU259)-2)))</f>
        <v>Nate Burleson</v>
      </c>
      <c r="CT259" s="33">
        <v>257</v>
      </c>
      <c r="CU259" s="33" t="s">
        <v>2555</v>
      </c>
      <c r="CV259" s="33">
        <v>4</v>
      </c>
      <c r="CW259" s="33" t="s">
        <v>2556</v>
      </c>
      <c r="CX259" s="33" t="s">
        <v>1755</v>
      </c>
      <c r="CY259" s="33"/>
      <c r="CZ259" s="33" t="str">
        <f t="shared" ref="CZ259:CZ302" si="9">IF(ISERROR(FIND("D/ST",DB259)),IF(ISERROR(FIND("*",DB259)),LEFT(DB259,(FIND(",",DB259)-1)),LEFT(DB259,(FIND("*",DB259)-1))),LEFT(DB259,(FIND("D/ST",DB259)-2)))</f>
        <v>Ryan Succop</v>
      </c>
      <c r="DA259" s="33">
        <v>257</v>
      </c>
      <c r="DB259" s="33" t="s">
        <v>2613</v>
      </c>
      <c r="DC259" s="33">
        <v>6</v>
      </c>
      <c r="DD259" s="33" t="s">
        <v>2614</v>
      </c>
      <c r="DE259" s="33" t="s">
        <v>1755</v>
      </c>
    </row>
    <row r="260" spans="1:109" ht="12.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t="str">
        <f t="shared" si="8"/>
        <v>Marcus Lattimore</v>
      </c>
      <c r="CT260" s="33">
        <v>258</v>
      </c>
      <c r="CU260" s="33" t="s">
        <v>2615</v>
      </c>
      <c r="CV260" s="33">
        <v>8</v>
      </c>
      <c r="CW260" s="33" t="s">
        <v>2616</v>
      </c>
      <c r="CX260" s="33" t="s">
        <v>1755</v>
      </c>
      <c r="CY260" s="33"/>
      <c r="CZ260" s="33" t="str">
        <f t="shared" si="9"/>
        <v>Jerrel Jernigan</v>
      </c>
      <c r="DA260" s="33">
        <v>258</v>
      </c>
      <c r="DB260" s="33" t="s">
        <v>2617</v>
      </c>
      <c r="DC260" s="33">
        <v>8</v>
      </c>
      <c r="DD260" s="33" t="s">
        <v>2618</v>
      </c>
      <c r="DE260" s="33" t="s">
        <v>1755</v>
      </c>
    </row>
    <row r="261" spans="1:109" ht="12.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t="str">
        <f t="shared" si="8"/>
        <v>Jerrel Jernigan</v>
      </c>
      <c r="CT261" s="33">
        <v>259</v>
      </c>
      <c r="CU261" s="33" t="s">
        <v>2617</v>
      </c>
      <c r="CV261" s="33">
        <v>8</v>
      </c>
      <c r="CW261" s="33" t="s">
        <v>2574</v>
      </c>
      <c r="CX261" s="33" t="s">
        <v>1755</v>
      </c>
      <c r="CY261" s="33"/>
      <c r="CZ261" s="33" t="str">
        <f t="shared" si="9"/>
        <v>BenJarvus Green-Ellis</v>
      </c>
      <c r="DA261" s="33">
        <v>259</v>
      </c>
      <c r="DB261" s="33" t="s">
        <v>2413</v>
      </c>
      <c r="DC261" s="33">
        <v>4</v>
      </c>
      <c r="DD261" s="33" t="s">
        <v>2491</v>
      </c>
      <c r="DE261" s="33" t="s">
        <v>1755</v>
      </c>
    </row>
    <row r="262" spans="1:109" ht="12.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t="str">
        <f t="shared" si="8"/>
        <v>Jarvis Landry</v>
      </c>
      <c r="CT262" s="33">
        <v>260</v>
      </c>
      <c r="CU262" s="33" t="s">
        <v>2587</v>
      </c>
      <c r="CV262" s="33">
        <v>5</v>
      </c>
      <c r="CW262" s="33" t="s">
        <v>2582</v>
      </c>
      <c r="CX262" s="33" t="s">
        <v>1755</v>
      </c>
      <c r="CY262" s="33"/>
      <c r="CZ262" s="33" t="str">
        <f t="shared" si="9"/>
        <v>Jake Locker</v>
      </c>
      <c r="DA262" s="33">
        <v>260</v>
      </c>
      <c r="DB262" s="33" t="s">
        <v>2619</v>
      </c>
      <c r="DC262" s="33">
        <v>9</v>
      </c>
      <c r="DD262" s="33" t="s">
        <v>2620</v>
      </c>
      <c r="DE262" s="33" t="s">
        <v>1755</v>
      </c>
    </row>
    <row r="263" spans="1:109" ht="12.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t="str">
        <f t="shared" si="8"/>
        <v>Lache Seastrunk</v>
      </c>
      <c r="CT263" s="33">
        <v>261</v>
      </c>
      <c r="CU263" s="33" t="s">
        <v>2621</v>
      </c>
      <c r="CV263" s="33">
        <v>10</v>
      </c>
      <c r="CW263" s="33" t="s">
        <v>2622</v>
      </c>
      <c r="CX263" s="33" t="s">
        <v>1755</v>
      </c>
      <c r="CY263" s="33"/>
      <c r="CZ263" s="33" t="str">
        <f t="shared" si="9"/>
        <v>Jason Avant</v>
      </c>
      <c r="DA263" s="33">
        <v>261</v>
      </c>
      <c r="DB263" s="33" t="s">
        <v>2623</v>
      </c>
      <c r="DC263" s="33">
        <v>12</v>
      </c>
      <c r="DD263" s="33" t="s">
        <v>2624</v>
      </c>
      <c r="DE263" s="33" t="s">
        <v>1755</v>
      </c>
    </row>
    <row r="264" spans="1:109" ht="12.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t="str">
        <f t="shared" si="8"/>
        <v>Tyler Eifert</v>
      </c>
      <c r="CT264" s="33">
        <v>262</v>
      </c>
      <c r="CU264" s="33" t="s">
        <v>2437</v>
      </c>
      <c r="CV264" s="33">
        <v>4</v>
      </c>
      <c r="CW264" s="33" t="s">
        <v>2450</v>
      </c>
      <c r="CX264" s="33" t="s">
        <v>1755</v>
      </c>
      <c r="CY264" s="33"/>
      <c r="CZ264" s="33" t="str">
        <f t="shared" si="9"/>
        <v>Jonathan Grimes</v>
      </c>
      <c r="DA264" s="33">
        <v>262</v>
      </c>
      <c r="DB264" s="33" t="s">
        <v>2490</v>
      </c>
      <c r="DC264" s="33">
        <v>10</v>
      </c>
      <c r="DD264" s="33" t="s">
        <v>2497</v>
      </c>
      <c r="DE264" s="33" t="s">
        <v>1755</v>
      </c>
    </row>
    <row r="265" spans="1:109" ht="12.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t="str">
        <f t="shared" si="8"/>
        <v>Jake Locker</v>
      </c>
      <c r="CT265" s="33">
        <v>263</v>
      </c>
      <c r="CU265" s="33" t="s">
        <v>2619</v>
      </c>
      <c r="CV265" s="33">
        <v>9</v>
      </c>
      <c r="CW265" s="33" t="s">
        <v>2620</v>
      </c>
      <c r="CX265" s="33" t="s">
        <v>1755</v>
      </c>
      <c r="CY265" s="33"/>
      <c r="CZ265" s="33" t="str">
        <f t="shared" si="9"/>
        <v>Graham Gano</v>
      </c>
      <c r="DA265" s="33">
        <v>263</v>
      </c>
      <c r="DB265" s="33" t="s">
        <v>2625</v>
      </c>
      <c r="DC265" s="33">
        <v>12</v>
      </c>
      <c r="DD265" s="33" t="s">
        <v>2626</v>
      </c>
      <c r="DE265" s="33" t="s">
        <v>1755</v>
      </c>
    </row>
    <row r="266" spans="1:109" ht="12.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t="str">
        <f t="shared" si="8"/>
        <v>Owen Daniels</v>
      </c>
      <c r="CT266" s="33">
        <v>264</v>
      </c>
      <c r="CU266" s="33" t="s">
        <v>2494</v>
      </c>
      <c r="CV266" s="33">
        <v>11</v>
      </c>
      <c r="CW266" s="33" t="s">
        <v>2464</v>
      </c>
      <c r="CX266" s="33" t="s">
        <v>1755</v>
      </c>
      <c r="CY266" s="33"/>
      <c r="CZ266" s="33" t="str">
        <f t="shared" si="9"/>
        <v>Detroit Lions</v>
      </c>
      <c r="DA266" s="33">
        <v>264</v>
      </c>
      <c r="DB266" s="33" t="s">
        <v>2627</v>
      </c>
      <c r="DC266" s="33">
        <v>9</v>
      </c>
      <c r="DD266" s="33" t="s">
        <v>2628</v>
      </c>
      <c r="DE266" s="33" t="s">
        <v>1755</v>
      </c>
    </row>
    <row r="267" spans="1:109" ht="12.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t="str">
        <f t="shared" si="8"/>
        <v>Chris Givens</v>
      </c>
      <c r="CT267" s="33">
        <v>265</v>
      </c>
      <c r="CU267" s="33" t="s">
        <v>2533</v>
      </c>
      <c r="CV267" s="33">
        <v>4</v>
      </c>
      <c r="CW267" s="33" t="s">
        <v>2588</v>
      </c>
      <c r="CX267" s="33" t="s">
        <v>1755</v>
      </c>
      <c r="CY267" s="33"/>
      <c r="CZ267" s="33" t="str">
        <f t="shared" si="9"/>
        <v>Davante Adams</v>
      </c>
      <c r="DA267" s="33">
        <v>265</v>
      </c>
      <c r="DB267" s="33" t="s">
        <v>2629</v>
      </c>
      <c r="DC267" s="33">
        <v>9</v>
      </c>
      <c r="DD267" s="33" t="s">
        <v>2630</v>
      </c>
      <c r="DE267" s="33" t="s">
        <v>1755</v>
      </c>
    </row>
    <row r="268" spans="1:109" ht="12.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t="str">
        <f t="shared" si="8"/>
        <v>Davante Adams</v>
      </c>
      <c r="CT268" s="33">
        <v>266</v>
      </c>
      <c r="CU268" s="33" t="s">
        <v>2629</v>
      </c>
      <c r="CV268" s="33">
        <v>9</v>
      </c>
      <c r="CW268" s="33" t="s">
        <v>2608</v>
      </c>
      <c r="CX268" s="33" t="s">
        <v>1755</v>
      </c>
      <c r="CY268" s="33"/>
      <c r="CZ268" s="33" t="str">
        <f t="shared" si="9"/>
        <v>Stepfan Taylor</v>
      </c>
      <c r="DA268" s="33">
        <v>266</v>
      </c>
      <c r="DB268" s="33" t="s">
        <v>2500</v>
      </c>
      <c r="DC268" s="33">
        <v>4</v>
      </c>
      <c r="DD268" s="33" t="s">
        <v>2501</v>
      </c>
      <c r="DE268" s="33" t="s">
        <v>1755</v>
      </c>
    </row>
    <row r="269" spans="1:109" ht="12.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t="str">
        <f t="shared" si="8"/>
        <v>Edwin Baker</v>
      </c>
      <c r="CT269" s="33">
        <v>267</v>
      </c>
      <c r="CU269" s="33" t="s">
        <v>2631</v>
      </c>
      <c r="CV269" s="33">
        <v>4</v>
      </c>
      <c r="CW269" s="33" t="s">
        <v>2632</v>
      </c>
      <c r="CX269" s="33" t="s">
        <v>1755</v>
      </c>
      <c r="CY269" s="33"/>
      <c r="CZ269" s="33" t="str">
        <f t="shared" si="9"/>
        <v>Zach Miller</v>
      </c>
      <c r="DA269" s="33">
        <v>267</v>
      </c>
      <c r="DB269" s="33" t="s">
        <v>2633</v>
      </c>
      <c r="DC269" s="33">
        <v>4</v>
      </c>
      <c r="DD269" s="33" t="s">
        <v>2634</v>
      </c>
      <c r="DE269" s="33" t="s">
        <v>1755</v>
      </c>
    </row>
    <row r="270" spans="1:109" ht="12.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t="str">
        <f t="shared" si="8"/>
        <v>Austin Seferian-Jenkins</v>
      </c>
      <c r="CT270" s="33">
        <v>268</v>
      </c>
      <c r="CU270" s="33" t="s">
        <v>2483</v>
      </c>
      <c r="CV270" s="33">
        <v>7</v>
      </c>
      <c r="CW270" s="33" t="s">
        <v>2480</v>
      </c>
      <c r="CX270" s="33" t="s">
        <v>1755</v>
      </c>
      <c r="CY270" s="33"/>
      <c r="CZ270" s="33" t="str">
        <f t="shared" si="9"/>
        <v>Greg Little</v>
      </c>
      <c r="DA270" s="33">
        <v>268</v>
      </c>
      <c r="DB270" s="33" t="s">
        <v>2635</v>
      </c>
      <c r="DC270" s="33">
        <v>5</v>
      </c>
      <c r="DD270" s="33" t="s">
        <v>2636</v>
      </c>
      <c r="DE270" s="33" t="s">
        <v>1755</v>
      </c>
    </row>
    <row r="271" spans="1:109" ht="12.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t="str">
        <f t="shared" si="8"/>
        <v>Jace Amaro</v>
      </c>
      <c r="CT271" s="33">
        <v>269</v>
      </c>
      <c r="CU271" s="33" t="s">
        <v>2520</v>
      </c>
      <c r="CV271" s="33">
        <v>11</v>
      </c>
      <c r="CW271" s="33" t="s">
        <v>2484</v>
      </c>
      <c r="CX271" s="33" t="s">
        <v>1755</v>
      </c>
      <c r="CY271" s="33"/>
      <c r="CZ271" s="33" t="str">
        <f t="shared" si="9"/>
        <v>Jerick McKinnon</v>
      </c>
      <c r="DA271" s="33">
        <v>269</v>
      </c>
      <c r="DB271" s="33" t="s">
        <v>2506</v>
      </c>
      <c r="DC271" s="33">
        <v>10</v>
      </c>
      <c r="DD271" s="33" t="s">
        <v>2505</v>
      </c>
      <c r="DE271" s="33" t="s">
        <v>1755</v>
      </c>
    </row>
    <row r="272" spans="1:109" ht="12.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t="str">
        <f t="shared" si="8"/>
        <v>Greg Little</v>
      </c>
      <c r="CT272" s="33">
        <v>270</v>
      </c>
      <c r="CU272" s="33" t="s">
        <v>2635</v>
      </c>
      <c r="CV272" s="33">
        <v>5</v>
      </c>
      <c r="CW272" s="33" t="s">
        <v>2618</v>
      </c>
      <c r="CX272" s="33" t="s">
        <v>1755</v>
      </c>
      <c r="CY272" s="33"/>
      <c r="CZ272" s="33" t="str">
        <f t="shared" si="9"/>
        <v>Mike Nugent</v>
      </c>
      <c r="DA272" s="33">
        <v>270</v>
      </c>
      <c r="DB272" s="33" t="s">
        <v>2637</v>
      </c>
      <c r="DC272" s="33">
        <v>4</v>
      </c>
      <c r="DD272" s="33" t="s">
        <v>2638</v>
      </c>
      <c r="DE272" s="33" t="s">
        <v>1755</v>
      </c>
    </row>
    <row r="273" spans="1:109" ht="12.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t="str">
        <f t="shared" si="8"/>
        <v>Cole Beasley</v>
      </c>
      <c r="CT273" s="33">
        <v>271</v>
      </c>
      <c r="CU273" s="33" t="s">
        <v>2607</v>
      </c>
      <c r="CV273" s="33">
        <v>11</v>
      </c>
      <c r="CW273" s="33" t="s">
        <v>2624</v>
      </c>
      <c r="CX273" s="33" t="s">
        <v>1755</v>
      </c>
      <c r="CY273" s="33"/>
      <c r="CZ273" s="33" t="str">
        <f t="shared" si="9"/>
        <v>Allen Robinson</v>
      </c>
      <c r="DA273" s="33">
        <v>271</v>
      </c>
      <c r="DB273" s="33" t="s">
        <v>2639</v>
      </c>
      <c r="DC273" s="33">
        <v>11</v>
      </c>
      <c r="DD273" s="33" t="s">
        <v>2640</v>
      </c>
      <c r="DE273" s="33" t="s">
        <v>1755</v>
      </c>
    </row>
    <row r="274" spans="1:109" ht="12.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t="str">
        <f t="shared" si="8"/>
        <v>Kenjon Barner</v>
      </c>
      <c r="CT274" s="33">
        <v>272</v>
      </c>
      <c r="CU274" s="33" t="s">
        <v>2641</v>
      </c>
      <c r="CV274" s="33">
        <v>12</v>
      </c>
      <c r="CW274" s="33" t="s">
        <v>2642</v>
      </c>
      <c r="CX274" s="33" t="s">
        <v>1755</v>
      </c>
      <c r="CY274" s="33"/>
      <c r="CZ274" s="33" t="str">
        <f t="shared" si="9"/>
        <v>Brandon Bostick</v>
      </c>
      <c r="DA274" s="33">
        <v>272</v>
      </c>
      <c r="DB274" s="33" t="s">
        <v>2643</v>
      </c>
      <c r="DC274" s="33">
        <v>9</v>
      </c>
      <c r="DD274" s="33" t="s">
        <v>2644</v>
      </c>
      <c r="DE274" s="33" t="s">
        <v>1755</v>
      </c>
    </row>
    <row r="275" spans="1:109" ht="12.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t="str">
        <f t="shared" si="8"/>
        <v>Jason Avant</v>
      </c>
      <c r="CT275" s="33">
        <v>273</v>
      </c>
      <c r="CU275" s="33" t="s">
        <v>2623</v>
      </c>
      <c r="CV275" s="33">
        <v>12</v>
      </c>
      <c r="CW275" s="33" t="s">
        <v>2630</v>
      </c>
      <c r="CX275" s="33" t="s">
        <v>1755</v>
      </c>
      <c r="CY275" s="33"/>
      <c r="CZ275" s="33" t="str">
        <f t="shared" si="9"/>
        <v>Bobby Rainey</v>
      </c>
      <c r="DA275" s="33">
        <v>273</v>
      </c>
      <c r="DB275" s="33" t="s">
        <v>2496</v>
      </c>
      <c r="DC275" s="33">
        <v>7</v>
      </c>
      <c r="DD275" s="33" t="s">
        <v>2507</v>
      </c>
      <c r="DE275" s="33" t="s">
        <v>1755</v>
      </c>
    </row>
    <row r="276" spans="1:109" ht="12.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t="str">
        <f t="shared" si="8"/>
        <v>Alfred Blue</v>
      </c>
      <c r="CT276" s="33">
        <v>274</v>
      </c>
      <c r="CU276" s="33" t="s">
        <v>2645</v>
      </c>
      <c r="CV276" s="33">
        <v>10</v>
      </c>
      <c r="CW276" s="33" t="s">
        <v>2646</v>
      </c>
      <c r="CX276" s="33" t="s">
        <v>1755</v>
      </c>
      <c r="CY276" s="33"/>
      <c r="CZ276" s="33" t="str">
        <f t="shared" si="9"/>
        <v>Martavis Bryant</v>
      </c>
      <c r="DA276" s="33">
        <v>274</v>
      </c>
      <c r="DB276" s="33" t="s">
        <v>2647</v>
      </c>
      <c r="DC276" s="33">
        <v>12</v>
      </c>
      <c r="DD276" s="33" t="s">
        <v>2648</v>
      </c>
      <c r="DE276" s="33" t="s">
        <v>1755</v>
      </c>
    </row>
    <row r="277" spans="1:109" ht="12.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33"/>
      <c r="CM277" s="33"/>
      <c r="CN277" s="33"/>
      <c r="CO277" s="33"/>
      <c r="CP277" s="33"/>
      <c r="CQ277" s="33"/>
      <c r="CR277" s="33"/>
      <c r="CS277" s="33" t="str">
        <f t="shared" si="8"/>
        <v>Dan Herron</v>
      </c>
      <c r="CT277" s="33">
        <v>275</v>
      </c>
      <c r="CU277" s="33" t="s">
        <v>2649</v>
      </c>
      <c r="CV277" s="33">
        <v>10</v>
      </c>
      <c r="CW277" s="33" t="s">
        <v>2650</v>
      </c>
      <c r="CX277" s="33" t="s">
        <v>1755</v>
      </c>
      <c r="CY277" s="33"/>
      <c r="CZ277" s="33" t="str">
        <f t="shared" si="9"/>
        <v>Miles Austin</v>
      </c>
      <c r="DA277" s="33">
        <v>275</v>
      </c>
      <c r="DB277" s="33" t="s">
        <v>2651</v>
      </c>
      <c r="DC277" s="33">
        <v>4</v>
      </c>
      <c r="DD277" s="33" t="s">
        <v>2652</v>
      </c>
      <c r="DE277" s="33" t="s">
        <v>1755</v>
      </c>
    </row>
    <row r="278" spans="1:109" ht="12.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c r="CD278" s="33"/>
      <c r="CE278" s="33"/>
      <c r="CF278" s="33"/>
      <c r="CG278" s="33"/>
      <c r="CH278" s="33"/>
      <c r="CI278" s="33"/>
      <c r="CJ278" s="33"/>
      <c r="CK278" s="33"/>
      <c r="CL278" s="33"/>
      <c r="CM278" s="33"/>
      <c r="CN278" s="33"/>
      <c r="CO278" s="33"/>
      <c r="CP278" s="33"/>
      <c r="CQ278" s="33"/>
      <c r="CR278" s="33"/>
      <c r="CS278" s="33" t="str">
        <f t="shared" si="8"/>
        <v>Shayne Graham</v>
      </c>
      <c r="CT278" s="33">
        <v>276</v>
      </c>
      <c r="CU278" s="33" t="s">
        <v>2563</v>
      </c>
      <c r="CV278" s="33">
        <v>6</v>
      </c>
      <c r="CW278" s="33" t="s">
        <v>2564</v>
      </c>
      <c r="CX278" s="33" t="s">
        <v>1755</v>
      </c>
      <c r="CY278" s="33"/>
      <c r="CZ278" s="33" t="str">
        <f t="shared" si="9"/>
        <v>Benny Cunningham</v>
      </c>
      <c r="DA278" s="33">
        <v>276</v>
      </c>
      <c r="DB278" s="33" t="s">
        <v>2512</v>
      </c>
      <c r="DC278" s="33">
        <v>4</v>
      </c>
      <c r="DD278" s="33" t="s">
        <v>2509</v>
      </c>
      <c r="DE278" s="33" t="s">
        <v>1755</v>
      </c>
    </row>
    <row r="279" spans="1:109" ht="12.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t="str">
        <f t="shared" si="8"/>
        <v>Justin Forsett</v>
      </c>
      <c r="CT279" s="33">
        <v>277</v>
      </c>
      <c r="CU279" s="33" t="s">
        <v>2653</v>
      </c>
      <c r="CV279" s="33">
        <v>11</v>
      </c>
      <c r="CW279" s="33" t="s">
        <v>2654</v>
      </c>
      <c r="CX279" s="33" t="s">
        <v>1755</v>
      </c>
      <c r="CY279" s="33"/>
      <c r="CZ279" s="33" t="str">
        <f t="shared" si="9"/>
        <v>James White</v>
      </c>
      <c r="DA279" s="33">
        <v>277</v>
      </c>
      <c r="DB279" s="33" t="s">
        <v>2527</v>
      </c>
      <c r="DC279" s="33">
        <v>10</v>
      </c>
      <c r="DD279" s="33" t="s">
        <v>2513</v>
      </c>
      <c r="DE279" s="33" t="s">
        <v>1755</v>
      </c>
    </row>
    <row r="280" spans="1:109" ht="12.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t="str">
        <f t="shared" si="8"/>
        <v>Dion Lewis</v>
      </c>
      <c r="CT280" s="33">
        <v>278</v>
      </c>
      <c r="CU280" s="33" t="s">
        <v>2655</v>
      </c>
      <c r="CV280" s="33">
        <v>4</v>
      </c>
      <c r="CW280" s="33" t="s">
        <v>2656</v>
      </c>
      <c r="CX280" s="33" t="s">
        <v>1755</v>
      </c>
      <c r="CY280" s="33"/>
      <c r="CZ280" s="33" t="str">
        <f t="shared" si="9"/>
        <v>Ace Sanders</v>
      </c>
      <c r="DA280" s="33">
        <v>278</v>
      </c>
      <c r="DB280" s="33" t="s">
        <v>2657</v>
      </c>
      <c r="DC280" s="33">
        <v>11</v>
      </c>
      <c r="DD280" s="33" t="s">
        <v>2658</v>
      </c>
      <c r="DE280" s="33" t="s">
        <v>1755</v>
      </c>
    </row>
    <row r="281" spans="1:109" ht="12.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33"/>
      <c r="CM281" s="33"/>
      <c r="CN281" s="33"/>
      <c r="CO281" s="33"/>
      <c r="CP281" s="33"/>
      <c r="CQ281" s="33"/>
      <c r="CR281" s="33"/>
      <c r="CS281" s="33" t="str">
        <f t="shared" si="8"/>
        <v>Jared Cook</v>
      </c>
      <c r="CT281" s="33">
        <v>279</v>
      </c>
      <c r="CU281" s="33" t="s">
        <v>2449</v>
      </c>
      <c r="CV281" s="33">
        <v>4</v>
      </c>
      <c r="CW281" s="33" t="s">
        <v>2495</v>
      </c>
      <c r="CX281" s="33" t="s">
        <v>1755</v>
      </c>
      <c r="CY281" s="33"/>
      <c r="CZ281" s="33" t="str">
        <f t="shared" si="9"/>
        <v>Brandon Pettigrew</v>
      </c>
      <c r="DA281" s="33">
        <v>279</v>
      </c>
      <c r="DB281" s="33" t="s">
        <v>2659</v>
      </c>
      <c r="DC281" s="33">
        <v>9</v>
      </c>
      <c r="DD281" s="33" t="s">
        <v>2660</v>
      </c>
      <c r="DE281" s="33" t="s">
        <v>1755</v>
      </c>
    </row>
    <row r="282" spans="1:109" ht="12.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t="str">
        <f t="shared" si="8"/>
        <v>Miles Austin</v>
      </c>
      <c r="CT282" s="33">
        <v>280</v>
      </c>
      <c r="CU282" s="33" t="s">
        <v>2651</v>
      </c>
      <c r="CV282" s="33">
        <v>4</v>
      </c>
      <c r="CW282" s="33" t="s">
        <v>2636</v>
      </c>
      <c r="CX282" s="33" t="s">
        <v>1755</v>
      </c>
      <c r="CY282" s="33"/>
      <c r="CZ282" s="33" t="str">
        <f t="shared" si="9"/>
        <v>Michael Vick</v>
      </c>
      <c r="DA282" s="33">
        <v>280</v>
      </c>
      <c r="DB282" s="33" t="s">
        <v>2661</v>
      </c>
      <c r="DC282" s="33">
        <v>11</v>
      </c>
      <c r="DD282" s="33" t="s">
        <v>2662</v>
      </c>
      <c r="DE282" s="33" t="s">
        <v>1755</v>
      </c>
    </row>
    <row r="283" spans="1:109" ht="12.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c r="CD283" s="33"/>
      <c r="CE283" s="33"/>
      <c r="CF283" s="33"/>
      <c r="CG283" s="33"/>
      <c r="CH283" s="33"/>
      <c r="CI283" s="33"/>
      <c r="CJ283" s="33"/>
      <c r="CK283" s="33"/>
      <c r="CL283" s="33"/>
      <c r="CM283" s="33"/>
      <c r="CN283" s="33"/>
      <c r="CO283" s="33"/>
      <c r="CP283" s="33"/>
      <c r="CQ283" s="33"/>
      <c r="CR283" s="33"/>
      <c r="CS283" s="33" t="str">
        <f t="shared" si="8"/>
        <v>Matt Bryant</v>
      </c>
      <c r="CT283" s="33">
        <v>281</v>
      </c>
      <c r="CU283" s="33" t="s">
        <v>2583</v>
      </c>
      <c r="CV283" s="33">
        <v>9</v>
      </c>
      <c r="CW283" s="33" t="s">
        <v>2584</v>
      </c>
      <c r="CX283" s="33" t="s">
        <v>1755</v>
      </c>
      <c r="CY283" s="33"/>
      <c r="CZ283" s="33" t="str">
        <f t="shared" si="9"/>
        <v>Indianapolis Colts</v>
      </c>
      <c r="DA283" s="33">
        <v>281</v>
      </c>
      <c r="DB283" s="33" t="s">
        <v>2663</v>
      </c>
      <c r="DC283" s="33">
        <v>10</v>
      </c>
      <c r="DD283" s="33" t="s">
        <v>2664</v>
      </c>
      <c r="DE283" s="33" t="s">
        <v>1755</v>
      </c>
    </row>
    <row r="284" spans="1:109" ht="12.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c r="CD284" s="33"/>
      <c r="CE284" s="33"/>
      <c r="CF284" s="33"/>
      <c r="CG284" s="33"/>
      <c r="CH284" s="33"/>
      <c r="CI284" s="33"/>
      <c r="CJ284" s="33"/>
      <c r="CK284" s="33"/>
      <c r="CL284" s="33"/>
      <c r="CM284" s="33"/>
      <c r="CN284" s="33"/>
      <c r="CO284" s="33"/>
      <c r="CP284" s="33"/>
      <c r="CQ284" s="33"/>
      <c r="CR284" s="33"/>
      <c r="CS284" s="33" t="str">
        <f t="shared" si="8"/>
        <v>DuJuan Harris</v>
      </c>
      <c r="CT284" s="33">
        <v>282</v>
      </c>
      <c r="CU284" s="33" t="s">
        <v>2665</v>
      </c>
      <c r="CV284" s="33">
        <v>9</v>
      </c>
      <c r="CW284" s="33" t="s">
        <v>2666</v>
      </c>
      <c r="CX284" s="33" t="s">
        <v>1755</v>
      </c>
      <c r="CY284" s="33"/>
      <c r="CZ284" s="33" t="str">
        <f t="shared" si="9"/>
        <v>Bilal Powell</v>
      </c>
      <c r="DA284" s="33">
        <v>282</v>
      </c>
      <c r="DB284" s="33" t="s">
        <v>2569</v>
      </c>
      <c r="DC284" s="33">
        <v>11</v>
      </c>
      <c r="DD284" s="33" t="s">
        <v>2519</v>
      </c>
      <c r="DE284" s="33" t="s">
        <v>1755</v>
      </c>
    </row>
    <row r="285" spans="1:109" ht="12.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t="str">
        <f t="shared" si="8"/>
        <v>Allen Robinson</v>
      </c>
      <c r="CT285" s="33">
        <v>283</v>
      </c>
      <c r="CU285" s="33" t="s">
        <v>2639</v>
      </c>
      <c r="CV285" s="33">
        <v>11</v>
      </c>
      <c r="CW285" s="33" t="s">
        <v>2640</v>
      </c>
      <c r="CX285" s="33" t="s">
        <v>1755</v>
      </c>
      <c r="CY285" s="33"/>
      <c r="CZ285" s="33" t="str">
        <f t="shared" si="9"/>
        <v>Vincent Brown</v>
      </c>
      <c r="DA285" s="33">
        <v>283</v>
      </c>
      <c r="DB285" s="33" t="s">
        <v>2667</v>
      </c>
      <c r="DC285" s="33">
        <v>10</v>
      </c>
      <c r="DD285" s="33" t="s">
        <v>2668</v>
      </c>
      <c r="DE285" s="33" t="s">
        <v>1755</v>
      </c>
    </row>
    <row r="286" spans="1:109" ht="12.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c r="CD286" s="33"/>
      <c r="CE286" s="33"/>
      <c r="CF286" s="33"/>
      <c r="CG286" s="33"/>
      <c r="CH286" s="33"/>
      <c r="CI286" s="33"/>
      <c r="CJ286" s="33"/>
      <c r="CK286" s="33"/>
      <c r="CL286" s="33"/>
      <c r="CM286" s="33"/>
      <c r="CN286" s="33"/>
      <c r="CO286" s="33"/>
      <c r="CP286" s="33"/>
      <c r="CQ286" s="33"/>
      <c r="CR286" s="33"/>
      <c r="CS286" s="33" t="str">
        <f t="shared" si="8"/>
        <v>Mike Gillislee</v>
      </c>
      <c r="CT286" s="33">
        <v>284</v>
      </c>
      <c r="CU286" s="33" t="s">
        <v>2669</v>
      </c>
      <c r="CV286" s="33">
        <v>5</v>
      </c>
      <c r="CW286" s="33" t="s">
        <v>2670</v>
      </c>
      <c r="CX286" s="33" t="s">
        <v>1755</v>
      </c>
      <c r="CY286" s="33"/>
      <c r="CZ286" s="33" t="str">
        <f t="shared" si="9"/>
        <v>Travis Kelce</v>
      </c>
      <c r="DA286" s="33">
        <v>284</v>
      </c>
      <c r="DB286" s="33" t="s">
        <v>2671</v>
      </c>
      <c r="DC286" s="33">
        <v>6</v>
      </c>
      <c r="DD286" s="33" t="s">
        <v>2672</v>
      </c>
      <c r="DE286" s="33" t="s">
        <v>1755</v>
      </c>
    </row>
    <row r="287" spans="1:109" ht="12.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c r="CD287" s="33"/>
      <c r="CE287" s="33"/>
      <c r="CF287" s="33"/>
      <c r="CG287" s="33"/>
      <c r="CH287" s="33"/>
      <c r="CI287" s="33"/>
      <c r="CJ287" s="33"/>
      <c r="CK287" s="33"/>
      <c r="CL287" s="33"/>
      <c r="CM287" s="33"/>
      <c r="CN287" s="33"/>
      <c r="CO287" s="33"/>
      <c r="CP287" s="33"/>
      <c r="CQ287" s="33"/>
      <c r="CR287" s="33"/>
      <c r="CS287" s="33" t="str">
        <f t="shared" si="8"/>
        <v>Ryan Griffin</v>
      </c>
      <c r="CT287" s="33">
        <v>285</v>
      </c>
      <c r="CU287" s="33" t="s">
        <v>2479</v>
      </c>
      <c r="CV287" s="33">
        <v>10</v>
      </c>
      <c r="CW287" s="33" t="s">
        <v>2511</v>
      </c>
      <c r="CX287" s="33" t="s">
        <v>1755</v>
      </c>
      <c r="CY287" s="33"/>
      <c r="CZ287" s="33" t="str">
        <f t="shared" si="9"/>
        <v>De'Anthony Thomas</v>
      </c>
      <c r="DA287" s="33">
        <v>285</v>
      </c>
      <c r="DB287" s="33" t="s">
        <v>2597</v>
      </c>
      <c r="DC287" s="33">
        <v>6</v>
      </c>
      <c r="DD287" s="33" t="s">
        <v>2528</v>
      </c>
      <c r="DE287" s="33" t="s">
        <v>1755</v>
      </c>
    </row>
    <row r="288" spans="1:109" ht="12.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t="str">
        <f t="shared" si="8"/>
        <v>Martavis Bryant</v>
      </c>
      <c r="CT288" s="33">
        <v>286</v>
      </c>
      <c r="CU288" s="33" t="s">
        <v>2647</v>
      </c>
      <c r="CV288" s="33">
        <v>12</v>
      </c>
      <c r="CW288" s="33" t="s">
        <v>2648</v>
      </c>
      <c r="CX288" s="33" t="s">
        <v>1755</v>
      </c>
      <c r="CY288" s="33"/>
      <c r="CZ288" s="33" t="str">
        <f t="shared" si="9"/>
        <v>Cody Latimer</v>
      </c>
      <c r="DA288" s="33">
        <v>286</v>
      </c>
      <c r="DB288" s="33" t="s">
        <v>2673</v>
      </c>
      <c r="DC288" s="33">
        <v>4</v>
      </c>
      <c r="DD288" s="33" t="s">
        <v>2674</v>
      </c>
      <c r="DE288" s="33" t="s">
        <v>1755</v>
      </c>
    </row>
    <row r="289" spans="1:109" ht="12.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t="str">
        <f t="shared" si="8"/>
        <v>Branden Oliver</v>
      </c>
      <c r="CT289" s="33">
        <v>287</v>
      </c>
      <c r="CU289" s="33" t="s">
        <v>2675</v>
      </c>
      <c r="CV289" s="33">
        <v>10</v>
      </c>
      <c r="CW289" s="33" t="s">
        <v>2676</v>
      </c>
      <c r="CX289" s="33" t="s">
        <v>1755</v>
      </c>
      <c r="CY289" s="33"/>
      <c r="CZ289" s="33" t="str">
        <f t="shared" si="9"/>
        <v>Shaun Suisham</v>
      </c>
      <c r="DA289" s="33">
        <v>287</v>
      </c>
      <c r="DB289" s="33" t="s">
        <v>2677</v>
      </c>
      <c r="DC289" s="33">
        <v>12</v>
      </c>
      <c r="DD289" s="33" t="s">
        <v>2678</v>
      </c>
      <c r="DE289" s="33" t="s">
        <v>1755</v>
      </c>
    </row>
    <row r="290" spans="1:109" ht="12.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c r="CM290" s="33"/>
      <c r="CN290" s="33"/>
      <c r="CO290" s="33"/>
      <c r="CP290" s="33"/>
      <c r="CQ290" s="33"/>
      <c r="CR290" s="33"/>
      <c r="CS290" s="33" t="str">
        <f t="shared" si="8"/>
        <v>Cierre Wood</v>
      </c>
      <c r="CT290" s="33">
        <v>288</v>
      </c>
      <c r="CU290" s="33" t="s">
        <v>2679</v>
      </c>
      <c r="CV290" s="33">
        <v>11</v>
      </c>
      <c r="CW290" s="33" t="s">
        <v>2680</v>
      </c>
      <c r="CX290" s="33" t="s">
        <v>1755</v>
      </c>
      <c r="CY290" s="33"/>
      <c r="CZ290" s="33" t="str">
        <f t="shared" si="9"/>
        <v>Robert Turbin</v>
      </c>
      <c r="DA290" s="33">
        <v>288</v>
      </c>
      <c r="DB290" s="33" t="s">
        <v>2459</v>
      </c>
      <c r="DC290" s="33">
        <v>4</v>
      </c>
      <c r="DD290" s="33" t="s">
        <v>2536</v>
      </c>
      <c r="DE290" s="33" t="s">
        <v>1755</v>
      </c>
    </row>
    <row r="291" spans="1:109" ht="12.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c r="CD291" s="33"/>
      <c r="CE291" s="33"/>
      <c r="CF291" s="33"/>
      <c r="CG291" s="33"/>
      <c r="CH291" s="33"/>
      <c r="CI291" s="33"/>
      <c r="CJ291" s="33"/>
      <c r="CK291" s="33"/>
      <c r="CL291" s="33"/>
      <c r="CM291" s="33"/>
      <c r="CN291" s="33"/>
      <c r="CO291" s="33"/>
      <c r="CP291" s="33"/>
      <c r="CQ291" s="33"/>
      <c r="CR291" s="33"/>
      <c r="CS291" s="33" t="str">
        <f t="shared" si="8"/>
        <v>Michael Vick</v>
      </c>
      <c r="CT291" s="33">
        <v>289</v>
      </c>
      <c r="CU291" s="33" t="s">
        <v>2661</v>
      </c>
      <c r="CV291" s="33">
        <v>11</v>
      </c>
      <c r="CW291" s="33" t="s">
        <v>2662</v>
      </c>
      <c r="CX291" s="33" t="s">
        <v>1755</v>
      </c>
      <c r="CY291" s="33"/>
      <c r="CZ291" s="33" t="str">
        <f t="shared" si="9"/>
        <v>John Brown</v>
      </c>
      <c r="DA291" s="33">
        <v>289</v>
      </c>
      <c r="DB291" s="33" t="s">
        <v>2681</v>
      </c>
      <c r="DC291" s="33">
        <v>4</v>
      </c>
      <c r="DD291" s="33" t="s">
        <v>2682</v>
      </c>
      <c r="DE291" s="33" t="s">
        <v>1755</v>
      </c>
    </row>
    <row r="292" spans="1:109" ht="12.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t="str">
        <f t="shared" si="8"/>
        <v>Garrett Graham</v>
      </c>
      <c r="CT292" s="33">
        <v>290</v>
      </c>
      <c r="CU292" s="33" t="s">
        <v>2541</v>
      </c>
      <c r="CV292" s="33">
        <v>10</v>
      </c>
      <c r="CW292" s="33" t="s">
        <v>2521</v>
      </c>
      <c r="CX292" s="33" t="s">
        <v>1755</v>
      </c>
      <c r="CY292" s="33"/>
      <c r="CZ292" s="33" t="str">
        <f t="shared" si="9"/>
        <v>Jacoby Jones</v>
      </c>
      <c r="DA292" s="33">
        <v>290</v>
      </c>
      <c r="DB292" s="33" t="s">
        <v>2683</v>
      </c>
      <c r="DC292" s="33">
        <v>11</v>
      </c>
      <c r="DD292" s="33" t="s">
        <v>2684</v>
      </c>
      <c r="DE292" s="33" t="s">
        <v>1755</v>
      </c>
    </row>
    <row r="293" spans="1:109" ht="12.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c r="CD293" s="33"/>
      <c r="CE293" s="33"/>
      <c r="CF293" s="33"/>
      <c r="CG293" s="33"/>
      <c r="CH293" s="33"/>
      <c r="CI293" s="33"/>
      <c r="CJ293" s="33"/>
      <c r="CK293" s="33"/>
      <c r="CL293" s="33"/>
      <c r="CM293" s="33"/>
      <c r="CN293" s="33"/>
      <c r="CO293" s="33"/>
      <c r="CP293" s="33"/>
      <c r="CQ293" s="33"/>
      <c r="CR293" s="33"/>
      <c r="CS293" s="33" t="str">
        <f t="shared" si="8"/>
        <v>Mohamed Sanu</v>
      </c>
      <c r="CT293" s="33">
        <v>291</v>
      </c>
      <c r="CU293" s="33" t="s">
        <v>2581</v>
      </c>
      <c r="CV293" s="33">
        <v>4</v>
      </c>
      <c r="CW293" s="33" t="s">
        <v>2652</v>
      </c>
      <c r="CX293" s="33" t="s">
        <v>1755</v>
      </c>
      <c r="CY293" s="33"/>
      <c r="CZ293" s="33" t="str">
        <f t="shared" si="9"/>
        <v>Greg Zuerlein</v>
      </c>
      <c r="DA293" s="33">
        <v>291</v>
      </c>
      <c r="DB293" s="33" t="s">
        <v>2685</v>
      </c>
      <c r="DC293" s="33">
        <v>4</v>
      </c>
      <c r="DD293" s="33" t="s">
        <v>2686</v>
      </c>
      <c r="DE293" s="33" t="s">
        <v>1755</v>
      </c>
    </row>
    <row r="294" spans="1:109" ht="12.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c r="CM294" s="33"/>
      <c r="CN294" s="33"/>
      <c r="CO294" s="33"/>
      <c r="CP294" s="33"/>
      <c r="CQ294" s="33"/>
      <c r="CR294" s="33"/>
      <c r="CS294" s="33" t="str">
        <f t="shared" si="8"/>
        <v>Matt Schaub</v>
      </c>
      <c r="CT294" s="33">
        <v>292</v>
      </c>
      <c r="CU294" s="33" t="s">
        <v>2687</v>
      </c>
      <c r="CV294" s="33">
        <v>5</v>
      </c>
      <c r="CW294" s="33" t="s">
        <v>2688</v>
      </c>
      <c r="CX294" s="33" t="s">
        <v>1755</v>
      </c>
      <c r="CY294" s="33"/>
      <c r="CZ294" s="33" t="str">
        <f t="shared" si="9"/>
        <v>Brent Celek</v>
      </c>
      <c r="DA294" s="33">
        <v>292</v>
      </c>
      <c r="DB294" s="33" t="s">
        <v>2689</v>
      </c>
      <c r="DC294" s="33">
        <v>7</v>
      </c>
      <c r="DD294" s="33" t="s">
        <v>2690</v>
      </c>
      <c r="DE294" s="33" t="s">
        <v>1755</v>
      </c>
    </row>
    <row r="295" spans="1:109" ht="12.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33"/>
      <c r="CM295" s="33"/>
      <c r="CN295" s="33"/>
      <c r="CO295" s="33"/>
      <c r="CP295" s="33"/>
      <c r="CQ295" s="33"/>
      <c r="CR295" s="33"/>
      <c r="CS295" s="33" t="str">
        <f t="shared" si="8"/>
        <v>Dri Archer</v>
      </c>
      <c r="CT295" s="33">
        <v>293</v>
      </c>
      <c r="CU295" s="33" t="s">
        <v>2691</v>
      </c>
      <c r="CV295" s="33">
        <v>12</v>
      </c>
      <c r="CW295" s="33" t="s">
        <v>2692</v>
      </c>
      <c r="CX295" s="33" t="s">
        <v>1755</v>
      </c>
      <c r="CY295" s="33"/>
      <c r="CZ295" s="33" t="str">
        <f t="shared" si="9"/>
        <v>Daniel Thomas</v>
      </c>
      <c r="DA295" s="33">
        <v>293</v>
      </c>
      <c r="DB295" s="33" t="s">
        <v>2518</v>
      </c>
      <c r="DC295" s="33">
        <v>5</v>
      </c>
      <c r="DD295" s="33" t="s">
        <v>2544</v>
      </c>
      <c r="DE295" s="33" t="s">
        <v>1755</v>
      </c>
    </row>
    <row r="296" spans="1:109" ht="12.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33"/>
      <c r="CM296" s="33"/>
      <c r="CN296" s="33"/>
      <c r="CO296" s="33"/>
      <c r="CP296" s="33"/>
      <c r="CQ296" s="33"/>
      <c r="CR296" s="33"/>
      <c r="CS296" s="33" t="str">
        <f t="shared" si="8"/>
        <v>Alex Henery</v>
      </c>
      <c r="CT296" s="33">
        <v>294</v>
      </c>
      <c r="CU296" s="33" t="s">
        <v>2599</v>
      </c>
      <c r="CV296" s="33">
        <v>7</v>
      </c>
      <c r="CW296" s="33" t="s">
        <v>2600</v>
      </c>
      <c r="CX296" s="33" t="s">
        <v>1755</v>
      </c>
      <c r="CY296" s="33"/>
      <c r="CZ296" s="33" t="str">
        <f t="shared" si="9"/>
        <v>A.J. Jenkins</v>
      </c>
      <c r="DA296" s="33">
        <v>294</v>
      </c>
      <c r="DB296" s="33" t="s">
        <v>2693</v>
      </c>
      <c r="DC296" s="33">
        <v>6</v>
      </c>
      <c r="DD296" s="33" t="s">
        <v>2694</v>
      </c>
      <c r="DE296" s="33" t="s">
        <v>1755</v>
      </c>
    </row>
    <row r="297" spans="1:109" ht="12.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33"/>
      <c r="CM297" s="33"/>
      <c r="CN297" s="33"/>
      <c r="CO297" s="33"/>
      <c r="CP297" s="33"/>
      <c r="CQ297" s="33"/>
      <c r="CR297" s="33"/>
      <c r="CS297" s="33" t="str">
        <f t="shared" si="8"/>
        <v>Chris Thompson</v>
      </c>
      <c r="CT297" s="33">
        <v>295</v>
      </c>
      <c r="CU297" s="33" t="s">
        <v>2695</v>
      </c>
      <c r="CV297" s="33">
        <v>10</v>
      </c>
      <c r="CW297" s="33" t="s">
        <v>2696</v>
      </c>
      <c r="CX297" s="33" t="s">
        <v>1755</v>
      </c>
      <c r="CY297" s="33"/>
      <c r="CZ297" s="33" t="str">
        <f t="shared" si="9"/>
        <v>Andre Brown</v>
      </c>
      <c r="DA297" s="33">
        <v>295</v>
      </c>
      <c r="DB297" s="33" t="s">
        <v>2543</v>
      </c>
      <c r="DC297" s="33" t="s">
        <v>1755</v>
      </c>
      <c r="DD297" s="33" t="s">
        <v>2546</v>
      </c>
      <c r="DE297" s="33" t="s">
        <v>1755</v>
      </c>
    </row>
    <row r="298" spans="1:109" ht="12.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33"/>
      <c r="CM298" s="33"/>
      <c r="CN298" s="33"/>
      <c r="CO298" s="33"/>
      <c r="CP298" s="33"/>
      <c r="CQ298" s="33"/>
      <c r="CR298" s="33"/>
      <c r="CS298" s="33" t="str">
        <f t="shared" si="8"/>
        <v>Andrew Quarless</v>
      </c>
      <c r="CT298" s="33">
        <v>296</v>
      </c>
      <c r="CU298" s="33" t="s">
        <v>2529</v>
      </c>
      <c r="CV298" s="33">
        <v>9</v>
      </c>
      <c r="CW298" s="33" t="s">
        <v>2530</v>
      </c>
      <c r="CX298" s="33" t="s">
        <v>1755</v>
      </c>
      <c r="CY298" s="33"/>
      <c r="CZ298" s="33" t="str">
        <f t="shared" si="9"/>
        <v>C.J. Fiedorowicz</v>
      </c>
      <c r="DA298" s="33">
        <v>296</v>
      </c>
      <c r="DB298" s="33" t="s">
        <v>2697</v>
      </c>
      <c r="DC298" s="33">
        <v>10</v>
      </c>
      <c r="DD298" s="33" t="s">
        <v>2698</v>
      </c>
      <c r="DE298" s="33" t="s">
        <v>1755</v>
      </c>
    </row>
    <row r="299" spans="1:109" ht="12.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33"/>
      <c r="CM299" s="33"/>
      <c r="CN299" s="33"/>
      <c r="CO299" s="33"/>
      <c r="CP299" s="33"/>
      <c r="CQ299" s="33"/>
      <c r="CR299" s="33"/>
      <c r="CS299" s="33" t="str">
        <f t="shared" si="8"/>
        <v>Vincent Brown</v>
      </c>
      <c r="CT299" s="33">
        <v>297</v>
      </c>
      <c r="CU299" s="33" t="s">
        <v>2667</v>
      </c>
      <c r="CV299" s="33">
        <v>10</v>
      </c>
      <c r="CW299" s="33" t="s">
        <v>2658</v>
      </c>
      <c r="CX299" s="33" t="s">
        <v>1755</v>
      </c>
      <c r="CY299" s="33"/>
      <c r="CZ299" s="33" t="str">
        <f t="shared" si="9"/>
        <v>Josh Boyce</v>
      </c>
      <c r="DA299" s="33">
        <v>297</v>
      </c>
      <c r="DB299" s="33" t="s">
        <v>2699</v>
      </c>
      <c r="DC299" s="33">
        <v>10</v>
      </c>
      <c r="DD299" s="33" t="s">
        <v>2700</v>
      </c>
      <c r="DE299" s="33" t="s">
        <v>1755</v>
      </c>
    </row>
    <row r="300" spans="1:109" ht="12.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c r="CM300" s="33"/>
      <c r="CN300" s="33"/>
      <c r="CO300" s="33"/>
      <c r="CP300" s="33"/>
      <c r="CQ300" s="33"/>
      <c r="CR300" s="33"/>
      <c r="CS300" s="33" t="str">
        <f t="shared" si="8"/>
        <v>Ryan Succop</v>
      </c>
      <c r="CT300" s="33">
        <v>298</v>
      </c>
      <c r="CU300" s="33" t="s">
        <v>2613</v>
      </c>
      <c r="CV300" s="33">
        <v>6</v>
      </c>
      <c r="CW300" s="33" t="s">
        <v>2614</v>
      </c>
      <c r="CX300" s="33" t="s">
        <v>1755</v>
      </c>
      <c r="CY300" s="33"/>
      <c r="CZ300" s="33" t="str">
        <f t="shared" si="9"/>
        <v>Ronnie Brown</v>
      </c>
      <c r="DA300" s="33">
        <v>298</v>
      </c>
      <c r="DB300" s="33" t="s">
        <v>2561</v>
      </c>
      <c r="DC300" s="33">
        <v>10</v>
      </c>
      <c r="DD300" s="33" t="s">
        <v>2552</v>
      </c>
      <c r="DE300" s="33" t="s">
        <v>1755</v>
      </c>
    </row>
    <row r="301" spans="1:109" ht="12.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33"/>
      <c r="CM301" s="33"/>
      <c r="CN301" s="33"/>
      <c r="CO301" s="33"/>
      <c r="CP301" s="33"/>
      <c r="CQ301" s="33"/>
      <c r="CR301" s="33"/>
      <c r="CS301" s="33" t="str">
        <f t="shared" si="8"/>
        <v>Chad Henne</v>
      </c>
      <c r="CT301" s="33">
        <v>299</v>
      </c>
      <c r="CU301" s="33" t="s">
        <v>2701</v>
      </c>
      <c r="CV301" s="33">
        <v>11</v>
      </c>
      <c r="CW301" s="33" t="s">
        <v>2702</v>
      </c>
      <c r="CX301" s="33" t="s">
        <v>1755</v>
      </c>
      <c r="CY301" s="33"/>
      <c r="CZ301" s="33" t="str">
        <f t="shared" si="9"/>
        <v>Joseph Randle</v>
      </c>
      <c r="DA301" s="33">
        <v>299</v>
      </c>
      <c r="DB301" s="33" t="s">
        <v>2557</v>
      </c>
      <c r="DC301" s="33">
        <v>11</v>
      </c>
      <c r="DD301" s="33" t="s">
        <v>2558</v>
      </c>
      <c r="DE301" s="33" t="s">
        <v>1755</v>
      </c>
    </row>
    <row r="302" spans="1:109" ht="12.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c r="CK302" s="33"/>
      <c r="CL302" s="33"/>
      <c r="CM302" s="33"/>
      <c r="CN302" s="33"/>
      <c r="CO302" s="33"/>
      <c r="CP302" s="33"/>
      <c r="CQ302" s="33"/>
      <c r="CR302" s="33"/>
      <c r="CS302" s="33" t="str">
        <f t="shared" si="8"/>
        <v>Baltimore Ravens</v>
      </c>
      <c r="CT302" s="33">
        <v>300</v>
      </c>
      <c r="CU302" s="33" t="s">
        <v>2514</v>
      </c>
      <c r="CV302" s="33">
        <v>11</v>
      </c>
      <c r="CW302" s="33" t="s">
        <v>2515</v>
      </c>
      <c r="CX302" s="33" t="s">
        <v>1755</v>
      </c>
      <c r="CY302" s="33"/>
      <c r="CZ302" s="33" t="str">
        <f t="shared" si="9"/>
        <v>David Nelson</v>
      </c>
      <c r="DA302" s="33">
        <v>300</v>
      </c>
      <c r="DB302" s="33" t="s">
        <v>2703</v>
      </c>
      <c r="DC302" s="33">
        <v>11</v>
      </c>
      <c r="DD302" s="33" t="s">
        <v>2704</v>
      </c>
      <c r="DE302" s="33" t="s">
        <v>1755</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28"/>
  <sheetViews>
    <sheetView workbookViewId="0"/>
  </sheetViews>
  <sheetFormatPr baseColWidth="10" defaultColWidth="17.1640625" defaultRowHeight="12.75" customHeight="1" x14ac:dyDescent="0"/>
  <cols>
    <col min="2" max="2" width="40.83203125" customWidth="1"/>
    <col min="3" max="3" width="6.83203125" customWidth="1"/>
    <col min="4" max="4" width="7" customWidth="1"/>
    <col min="5" max="5" width="6.1640625" customWidth="1"/>
    <col min="6" max="7" width="3.83203125" customWidth="1"/>
    <col min="8" max="8" width="7" customWidth="1"/>
    <col min="9" max="9" width="3.5" customWidth="1"/>
    <col min="10" max="10" width="3.83203125" customWidth="1"/>
    <col min="11" max="11" width="5" customWidth="1"/>
    <col min="12" max="12" width="3.1640625" customWidth="1"/>
    <col min="13" max="14" width="2.83203125" customWidth="1"/>
    <col min="15" max="15" width="5" customWidth="1"/>
    <col min="16" max="16" width="4.83203125" customWidth="1"/>
    <col min="17" max="17" width="22.6640625" customWidth="1"/>
    <col min="18" max="18" width="42" customWidth="1"/>
    <col min="19" max="19" width="7" customWidth="1"/>
    <col min="20" max="20" width="8.6640625" customWidth="1"/>
    <col min="21" max="21" width="4.1640625" customWidth="1"/>
    <col min="22" max="22" width="3.83203125" customWidth="1"/>
    <col min="23" max="23" width="5.1640625" customWidth="1"/>
    <col min="24" max="24" width="5" customWidth="1"/>
    <col min="25" max="25" width="3.83203125" customWidth="1"/>
    <col min="26" max="27" width="2.83203125" customWidth="1"/>
    <col min="28" max="28" width="5" customWidth="1"/>
    <col min="29" max="29" width="4.5" customWidth="1"/>
    <col min="30" max="30" width="19.5" customWidth="1"/>
    <col min="31" max="31" width="43.1640625" customWidth="1"/>
    <col min="32" max="32" width="8.5" customWidth="1"/>
    <col min="33" max="33" width="6.1640625" customWidth="1"/>
    <col min="34" max="35" width="3.83203125" customWidth="1"/>
    <col min="36" max="36" width="2.83203125" customWidth="1"/>
    <col min="37" max="37" width="5" customWidth="1"/>
    <col min="38" max="38" width="4.83203125" customWidth="1"/>
    <col min="39" max="39" width="21.5" customWidth="1"/>
    <col min="40" max="40" width="38.83203125" customWidth="1"/>
    <col min="41" max="41" width="8.5" customWidth="1"/>
    <col min="42" max="42" width="6.1640625" customWidth="1"/>
    <col min="43" max="44" width="3.83203125" customWidth="1"/>
    <col min="45" max="45" width="2.83203125" customWidth="1"/>
    <col min="46" max="46" width="5" customWidth="1"/>
    <col min="47" max="47" width="4.6640625" customWidth="1"/>
    <col min="48" max="48" width="18.5" customWidth="1"/>
    <col min="49" max="49" width="35.83203125" customWidth="1"/>
    <col min="50" max="52" width="3.83203125" customWidth="1"/>
    <col min="53" max="53" width="5" customWidth="1"/>
    <col min="54" max="54" width="4.6640625" customWidth="1"/>
    <col min="56" max="56" width="52" customWidth="1"/>
    <col min="57" max="59" width="3.83203125" customWidth="1"/>
    <col min="60" max="60" width="5.5" customWidth="1"/>
    <col min="61" max="61" width="3.83203125" customWidth="1"/>
    <col min="62" max="62" width="3.5" customWidth="1"/>
    <col min="63" max="63" width="5" customWidth="1"/>
    <col min="64" max="64" width="6.1640625" customWidth="1"/>
    <col min="65" max="65" width="5" customWidth="1"/>
  </cols>
  <sheetData>
    <row r="1" spans="1:65" ht="12.75" customHeight="1">
      <c r="B1" s="33" t="s">
        <v>2705</v>
      </c>
      <c r="C1" s="33" t="s">
        <v>804</v>
      </c>
      <c r="D1" s="33" t="s">
        <v>804</v>
      </c>
      <c r="E1" s="33" t="s">
        <v>804</v>
      </c>
      <c r="F1" s="33" t="s">
        <v>804</v>
      </c>
      <c r="G1" s="33" t="s">
        <v>804</v>
      </c>
      <c r="H1" s="33" t="s">
        <v>804</v>
      </c>
      <c r="I1" s="33" t="s">
        <v>804</v>
      </c>
      <c r="J1" s="33" t="s">
        <v>804</v>
      </c>
      <c r="K1" s="33" t="s">
        <v>804</v>
      </c>
      <c r="L1" s="33" t="s">
        <v>804</v>
      </c>
      <c r="M1" s="33" t="s">
        <v>804</v>
      </c>
      <c r="N1" s="33" t="s">
        <v>804</v>
      </c>
      <c r="O1" s="33" t="s">
        <v>804</v>
      </c>
      <c r="P1" s="33"/>
      <c r="Q1" s="33"/>
      <c r="R1" s="33" t="s">
        <v>2706</v>
      </c>
      <c r="S1" s="33" t="s">
        <v>804</v>
      </c>
      <c r="T1" s="33" t="s">
        <v>804</v>
      </c>
      <c r="U1" s="33" t="s">
        <v>804</v>
      </c>
      <c r="V1" s="33" t="s">
        <v>804</v>
      </c>
      <c r="W1" t="s">
        <v>804</v>
      </c>
      <c r="X1" t="s">
        <v>804</v>
      </c>
      <c r="Y1" t="s">
        <v>804</v>
      </c>
      <c r="Z1" t="s">
        <v>804</v>
      </c>
      <c r="AA1" t="s">
        <v>804</v>
      </c>
      <c r="AB1" t="s">
        <v>804</v>
      </c>
      <c r="AE1" t="s">
        <v>2707</v>
      </c>
      <c r="AF1" t="s">
        <v>804</v>
      </c>
      <c r="AG1" t="s">
        <v>804</v>
      </c>
      <c r="AH1" t="s">
        <v>804</v>
      </c>
      <c r="AI1" t="s">
        <v>804</v>
      </c>
      <c r="AJ1" t="s">
        <v>804</v>
      </c>
      <c r="AK1" t="s">
        <v>804</v>
      </c>
      <c r="AN1" t="s">
        <v>2708</v>
      </c>
      <c r="AO1" t="s">
        <v>804</v>
      </c>
      <c r="AP1" t="s">
        <v>804</v>
      </c>
      <c r="AQ1" t="s">
        <v>804</v>
      </c>
      <c r="AR1" t="s">
        <v>804</v>
      </c>
      <c r="AS1" t="s">
        <v>804</v>
      </c>
      <c r="AT1" t="s">
        <v>804</v>
      </c>
      <c r="AW1" t="s">
        <v>2709</v>
      </c>
      <c r="AX1" t="s">
        <v>804</v>
      </c>
      <c r="AY1" t="s">
        <v>804</v>
      </c>
      <c r="AZ1" t="s">
        <v>804</v>
      </c>
      <c r="BA1" t="s">
        <v>804</v>
      </c>
      <c r="BD1" t="s">
        <v>2710</v>
      </c>
      <c r="BE1" t="s">
        <v>804</v>
      </c>
      <c r="BF1" t="s">
        <v>804</v>
      </c>
      <c r="BG1" t="s">
        <v>804</v>
      </c>
      <c r="BH1" t="s">
        <v>804</v>
      </c>
      <c r="BI1" t="s">
        <v>804</v>
      </c>
      <c r="BJ1" t="s">
        <v>804</v>
      </c>
      <c r="BK1" t="s">
        <v>804</v>
      </c>
      <c r="BL1" t="s">
        <v>804</v>
      </c>
      <c r="BM1" t="s">
        <v>804</v>
      </c>
    </row>
    <row r="2" spans="1:65" ht="12.75" customHeight="1">
      <c r="B2" s="33" t="s">
        <v>804</v>
      </c>
      <c r="C2" s="33" t="s">
        <v>79</v>
      </c>
      <c r="D2" s="33" t="s">
        <v>103</v>
      </c>
      <c r="E2" s="33" t="s">
        <v>2711</v>
      </c>
      <c r="F2" s="33" t="s">
        <v>804</v>
      </c>
      <c r="G2" s="33" t="s">
        <v>804</v>
      </c>
      <c r="H2" s="33" t="s">
        <v>804</v>
      </c>
      <c r="I2" s="33" t="s">
        <v>804</v>
      </c>
      <c r="J2" s="33" t="s">
        <v>804</v>
      </c>
      <c r="K2" s="33" t="s">
        <v>804</v>
      </c>
      <c r="L2" s="33" t="s">
        <v>804</v>
      </c>
      <c r="M2" s="33" t="s">
        <v>804</v>
      </c>
      <c r="N2" s="33" t="s">
        <v>804</v>
      </c>
      <c r="O2" s="33" t="s">
        <v>804</v>
      </c>
      <c r="P2" s="33"/>
      <c r="Q2" s="33"/>
      <c r="R2" s="33" t="s">
        <v>804</v>
      </c>
      <c r="S2" s="33" t="s">
        <v>103</v>
      </c>
      <c r="T2" s="33" t="s">
        <v>116</v>
      </c>
      <c r="U2" s="33" t="s">
        <v>2711</v>
      </c>
      <c r="V2" s="33" t="s">
        <v>804</v>
      </c>
      <c r="W2" t="s">
        <v>804</v>
      </c>
      <c r="X2" t="s">
        <v>804</v>
      </c>
      <c r="Y2" t="s">
        <v>804</v>
      </c>
      <c r="Z2" t="s">
        <v>804</v>
      </c>
      <c r="AA2" t="s">
        <v>804</v>
      </c>
      <c r="AB2" t="s">
        <v>804</v>
      </c>
      <c r="AE2" t="s">
        <v>804</v>
      </c>
      <c r="AF2" t="s">
        <v>116</v>
      </c>
      <c r="AG2" t="s">
        <v>2711</v>
      </c>
      <c r="AH2" t="s">
        <v>804</v>
      </c>
      <c r="AI2" t="s">
        <v>804</v>
      </c>
      <c r="AJ2" t="s">
        <v>804</v>
      </c>
      <c r="AK2" t="s">
        <v>804</v>
      </c>
      <c r="AN2" t="s">
        <v>804</v>
      </c>
      <c r="AO2" t="s">
        <v>116</v>
      </c>
      <c r="AP2" t="s">
        <v>2711</v>
      </c>
      <c r="AQ2" t="s">
        <v>804</v>
      </c>
      <c r="AR2" t="s">
        <v>804</v>
      </c>
      <c r="AS2" t="s">
        <v>804</v>
      </c>
      <c r="AT2" t="s">
        <v>804</v>
      </c>
      <c r="AW2" t="s">
        <v>6</v>
      </c>
      <c r="AX2" t="s">
        <v>2712</v>
      </c>
      <c r="AY2" t="s">
        <v>791</v>
      </c>
      <c r="AZ2" t="s">
        <v>2713</v>
      </c>
      <c r="BA2" t="s">
        <v>2714</v>
      </c>
      <c r="BD2" t="s">
        <v>6</v>
      </c>
      <c r="BE2" t="s">
        <v>786</v>
      </c>
      <c r="BF2" t="s">
        <v>2715</v>
      </c>
      <c r="BG2" t="s">
        <v>2716</v>
      </c>
      <c r="BH2" t="s">
        <v>2717</v>
      </c>
      <c r="BI2" t="s">
        <v>797</v>
      </c>
      <c r="BJ2" t="s">
        <v>798</v>
      </c>
      <c r="BK2" t="s">
        <v>799</v>
      </c>
      <c r="BL2" t="s">
        <v>2718</v>
      </c>
      <c r="BM2" t="s">
        <v>2714</v>
      </c>
    </row>
    <row r="3" spans="1:65" ht="12.75" customHeight="1">
      <c r="B3" s="33" t="s">
        <v>6</v>
      </c>
      <c r="C3" s="33" t="s">
        <v>2719</v>
      </c>
      <c r="D3" s="33" t="s">
        <v>2720</v>
      </c>
      <c r="E3" s="33" t="s">
        <v>2721</v>
      </c>
      <c r="F3" s="33" t="s">
        <v>785</v>
      </c>
      <c r="G3" s="33" t="s">
        <v>796</v>
      </c>
      <c r="H3" s="33" t="s">
        <v>2722</v>
      </c>
      <c r="I3" s="33" t="s">
        <v>2723</v>
      </c>
      <c r="J3" s="33" t="s">
        <v>2719</v>
      </c>
      <c r="K3" s="33" t="s">
        <v>2721</v>
      </c>
      <c r="L3" s="33" t="s">
        <v>56</v>
      </c>
      <c r="M3" s="33" t="s">
        <v>785</v>
      </c>
      <c r="N3" s="33" t="s">
        <v>787</v>
      </c>
      <c r="O3" s="33" t="s">
        <v>2714</v>
      </c>
      <c r="P3" s="33"/>
      <c r="Q3" s="33"/>
      <c r="R3" s="33" t="s">
        <v>6</v>
      </c>
      <c r="S3" s="33" t="s">
        <v>2719</v>
      </c>
      <c r="T3" s="33" t="s">
        <v>2721</v>
      </c>
      <c r="U3" s="33" t="s">
        <v>56</v>
      </c>
      <c r="V3" s="33" t="s">
        <v>785</v>
      </c>
      <c r="W3" t="s">
        <v>2724</v>
      </c>
      <c r="X3" t="s">
        <v>2721</v>
      </c>
      <c r="Y3" t="s">
        <v>56</v>
      </c>
      <c r="Z3" t="s">
        <v>785</v>
      </c>
      <c r="AA3" t="s">
        <v>787</v>
      </c>
      <c r="AB3" t="s">
        <v>2714</v>
      </c>
      <c r="AE3" t="s">
        <v>6</v>
      </c>
      <c r="AF3" t="s">
        <v>2724</v>
      </c>
      <c r="AG3" t="s">
        <v>2721</v>
      </c>
      <c r="AH3" t="s">
        <v>56</v>
      </c>
      <c r="AI3" t="s">
        <v>785</v>
      </c>
      <c r="AJ3" t="s">
        <v>787</v>
      </c>
      <c r="AK3" t="s">
        <v>2714</v>
      </c>
      <c r="AN3" t="s">
        <v>6</v>
      </c>
      <c r="AO3" t="s">
        <v>2724</v>
      </c>
      <c r="AP3" t="s">
        <v>2721</v>
      </c>
      <c r="AQ3" t="s">
        <v>56</v>
      </c>
      <c r="AR3" t="s">
        <v>785</v>
      </c>
      <c r="AS3" t="s">
        <v>787</v>
      </c>
      <c r="AT3" t="s">
        <v>2714</v>
      </c>
      <c r="AV3" t="str">
        <f t="shared" ref="AV3:AV37" si="0">LEFT(AW3,(FIND(",",AW3)-1))</f>
        <v>Stephen Gostkowski</v>
      </c>
      <c r="AW3" t="s">
        <v>2351</v>
      </c>
      <c r="AX3">
        <v>32.5</v>
      </c>
      <c r="AY3">
        <v>36</v>
      </c>
      <c r="AZ3">
        <v>51</v>
      </c>
      <c r="BA3">
        <v>156.5</v>
      </c>
      <c r="BC3" t="str">
        <f t="shared" ref="BC3:BC34" si="1">LEFT(BD3,(FIND(",",BD3)-1))</f>
        <v>Seahawks</v>
      </c>
      <c r="BD3" t="s">
        <v>2725</v>
      </c>
      <c r="BE3">
        <v>22.5</v>
      </c>
      <c r="BF3">
        <v>10.5</v>
      </c>
      <c r="BG3">
        <v>16</v>
      </c>
      <c r="BH3">
        <v>39</v>
      </c>
      <c r="BI3">
        <v>5</v>
      </c>
      <c r="BJ3">
        <v>1</v>
      </c>
      <c r="BK3">
        <v>276</v>
      </c>
      <c r="BL3">
        <v>4686.5</v>
      </c>
      <c r="BM3">
        <v>201</v>
      </c>
    </row>
    <row r="4" spans="1:65" ht="12.75" customHeight="1">
      <c r="A4" t="str">
        <f t="shared" ref="A4:A35" si="2">LEFT(B4,(FIND(",",B4)-1))</f>
        <v>Peyton Manning</v>
      </c>
      <c r="B4" s="33" t="s">
        <v>1500</v>
      </c>
      <c r="C4" s="33">
        <v>631.5</v>
      </c>
      <c r="D4" s="33">
        <v>428.5</v>
      </c>
      <c r="E4" s="33">
        <v>5340.5</v>
      </c>
      <c r="F4" s="33">
        <v>44</v>
      </c>
      <c r="G4" s="33">
        <v>12</v>
      </c>
      <c r="H4" s="33">
        <v>67.900000000000006</v>
      </c>
      <c r="I4" s="33">
        <v>8.5</v>
      </c>
      <c r="J4" s="33">
        <v>19.5</v>
      </c>
      <c r="K4" s="33">
        <v>4</v>
      </c>
      <c r="L4" s="33">
        <v>0.2</v>
      </c>
      <c r="M4" s="33">
        <v>0</v>
      </c>
      <c r="N4" s="33">
        <v>3</v>
      </c>
      <c r="O4" s="33">
        <v>440</v>
      </c>
      <c r="P4" s="33"/>
      <c r="Q4" t="str">
        <f t="shared" ref="Q4:Q35" si="3">LEFT(R4,(FIND(",",R4)-1))</f>
        <v>Jamaal Charles</v>
      </c>
      <c r="R4" s="33" t="s">
        <v>1453</v>
      </c>
      <c r="S4" s="33">
        <v>260</v>
      </c>
      <c r="T4" s="33">
        <v>1324</v>
      </c>
      <c r="U4" s="33">
        <v>5.0999999999999996</v>
      </c>
      <c r="V4" s="33">
        <v>10</v>
      </c>
      <c r="W4">
        <v>66.5</v>
      </c>
      <c r="X4">
        <v>606.5</v>
      </c>
      <c r="Y4">
        <v>9.1</v>
      </c>
      <c r="Z4">
        <v>4</v>
      </c>
      <c r="AA4">
        <v>2</v>
      </c>
      <c r="AB4">
        <v>256</v>
      </c>
      <c r="AD4" t="str">
        <f t="shared" ref="AD4:AD67" si="4">LEFT(AE4,(FIND(",",AE4)-1))</f>
        <v>Calvin Johnson</v>
      </c>
      <c r="AE4" t="s">
        <v>1492</v>
      </c>
      <c r="AF4">
        <v>94</v>
      </c>
      <c r="AG4">
        <v>1584</v>
      </c>
      <c r="AH4">
        <v>16.899999999999999</v>
      </c>
      <c r="AI4">
        <v>12.5</v>
      </c>
      <c r="AJ4">
        <v>1</v>
      </c>
      <c r="AK4">
        <v>224</v>
      </c>
      <c r="AM4" t="str">
        <f t="shared" ref="AM4:AM35" si="5">LEFT(AN4,(FIND(",",AN4)-1))</f>
        <v>Jimmy Graham</v>
      </c>
      <c r="AN4" t="s">
        <v>1501</v>
      </c>
      <c r="AO4">
        <v>87.5</v>
      </c>
      <c r="AP4">
        <v>1213.5</v>
      </c>
      <c r="AQ4">
        <v>13.9</v>
      </c>
      <c r="AR4">
        <v>13.5</v>
      </c>
      <c r="AS4">
        <v>0</v>
      </c>
      <c r="AT4">
        <v>194</v>
      </c>
      <c r="AV4" t="str">
        <f t="shared" si="0"/>
        <v>Phil Dawson</v>
      </c>
      <c r="AW4" t="s">
        <v>2365</v>
      </c>
      <c r="AX4">
        <v>30.5</v>
      </c>
      <c r="AY4">
        <v>34</v>
      </c>
      <c r="AZ4">
        <v>45.5</v>
      </c>
      <c r="BA4">
        <v>145</v>
      </c>
      <c r="BC4" t="str">
        <f t="shared" si="1"/>
        <v>Cardinals</v>
      </c>
      <c r="BD4" t="s">
        <v>2726</v>
      </c>
      <c r="BE4">
        <v>18.5</v>
      </c>
      <c r="BF4">
        <v>11</v>
      </c>
      <c r="BG4">
        <v>15</v>
      </c>
      <c r="BH4">
        <v>42</v>
      </c>
      <c r="BI4">
        <v>4</v>
      </c>
      <c r="BJ4">
        <v>1</v>
      </c>
      <c r="BK4">
        <v>334.5</v>
      </c>
      <c r="BL4">
        <v>5238</v>
      </c>
      <c r="BM4">
        <v>191</v>
      </c>
    </row>
    <row r="5" spans="1:65" ht="12.75" customHeight="1">
      <c r="A5" t="str">
        <f t="shared" si="2"/>
        <v>Aaron Rodgers</v>
      </c>
      <c r="B5" s="33" t="s">
        <v>1534</v>
      </c>
      <c r="C5" s="33">
        <v>549.5</v>
      </c>
      <c r="D5" s="33">
        <v>365</v>
      </c>
      <c r="E5" s="33">
        <v>4659</v>
      </c>
      <c r="F5" s="33">
        <v>37</v>
      </c>
      <c r="G5" s="33">
        <v>7.5</v>
      </c>
      <c r="H5" s="33">
        <v>66.400000000000006</v>
      </c>
      <c r="I5" s="33">
        <v>8.5</v>
      </c>
      <c r="J5" s="33">
        <v>50</v>
      </c>
      <c r="K5" s="33">
        <v>210</v>
      </c>
      <c r="L5" s="33">
        <v>4.2</v>
      </c>
      <c r="M5" s="33">
        <v>2</v>
      </c>
      <c r="N5" s="33">
        <v>2</v>
      </c>
      <c r="O5" s="33">
        <v>407</v>
      </c>
      <c r="P5" s="33"/>
      <c r="Q5" t="str">
        <f t="shared" si="3"/>
        <v>LeSean McCoy</v>
      </c>
      <c r="R5" s="33" t="s">
        <v>1452</v>
      </c>
      <c r="S5" s="33">
        <v>287.5</v>
      </c>
      <c r="T5" s="33">
        <v>1475.5</v>
      </c>
      <c r="U5" s="33">
        <v>5.0999999999999996</v>
      </c>
      <c r="V5" s="33">
        <v>10.5</v>
      </c>
      <c r="W5">
        <v>40.5</v>
      </c>
      <c r="X5">
        <v>379.5</v>
      </c>
      <c r="Y5">
        <v>9.4</v>
      </c>
      <c r="Z5">
        <v>2.5</v>
      </c>
      <c r="AA5">
        <v>2</v>
      </c>
      <c r="AB5">
        <v>244</v>
      </c>
      <c r="AD5" t="str">
        <f t="shared" si="4"/>
        <v>Demaryius Thomas</v>
      </c>
      <c r="AE5" t="s">
        <v>1517</v>
      </c>
      <c r="AF5">
        <v>95</v>
      </c>
      <c r="AG5">
        <v>1453</v>
      </c>
      <c r="AH5">
        <v>15.3</v>
      </c>
      <c r="AI5">
        <v>12.5</v>
      </c>
      <c r="AJ5">
        <v>0.5</v>
      </c>
      <c r="AK5">
        <v>211</v>
      </c>
      <c r="AM5" t="str">
        <f t="shared" si="5"/>
        <v>Rob Gronkowski</v>
      </c>
      <c r="AN5" t="s">
        <v>1730</v>
      </c>
      <c r="AO5">
        <v>76</v>
      </c>
      <c r="AP5">
        <v>988.5</v>
      </c>
      <c r="AQ5">
        <v>13</v>
      </c>
      <c r="AR5">
        <v>10.5</v>
      </c>
      <c r="AS5">
        <v>0</v>
      </c>
      <c r="AT5">
        <v>154</v>
      </c>
      <c r="AV5" t="str">
        <f t="shared" si="0"/>
        <v>Matt Prater</v>
      </c>
      <c r="AW5" t="s">
        <v>2348</v>
      </c>
      <c r="AX5">
        <v>25</v>
      </c>
      <c r="AY5">
        <v>28.5</v>
      </c>
      <c r="AZ5">
        <v>57.5</v>
      </c>
      <c r="BA5">
        <v>140.5</v>
      </c>
      <c r="BC5" t="str">
        <f t="shared" si="1"/>
        <v>Panthers</v>
      </c>
      <c r="BD5" t="s">
        <v>2727</v>
      </c>
      <c r="BE5">
        <v>15.5</v>
      </c>
      <c r="BF5">
        <v>10.5</v>
      </c>
      <c r="BG5">
        <v>15</v>
      </c>
      <c r="BH5">
        <v>48.5</v>
      </c>
      <c r="BI5">
        <v>3.5</v>
      </c>
      <c r="BJ5">
        <v>0.5</v>
      </c>
      <c r="BK5">
        <v>327</v>
      </c>
      <c r="BL5">
        <v>5410</v>
      </c>
      <c r="BM5">
        <v>186.5</v>
      </c>
    </row>
    <row r="6" spans="1:65" ht="12.75" customHeight="1">
      <c r="A6" t="str">
        <f t="shared" si="2"/>
        <v>Drew Brees</v>
      </c>
      <c r="B6" s="33" t="s">
        <v>1575</v>
      </c>
      <c r="C6" s="33">
        <v>647.5</v>
      </c>
      <c r="D6" s="33">
        <v>426</v>
      </c>
      <c r="E6" s="33">
        <v>5136.5</v>
      </c>
      <c r="F6" s="33">
        <v>39</v>
      </c>
      <c r="G6" s="33">
        <v>14</v>
      </c>
      <c r="H6" s="33">
        <v>65.8</v>
      </c>
      <c r="I6" s="33">
        <v>7.9</v>
      </c>
      <c r="J6" s="33">
        <v>30.5</v>
      </c>
      <c r="K6" s="33">
        <v>50.5</v>
      </c>
      <c r="L6" s="33">
        <v>1.7</v>
      </c>
      <c r="M6" s="33">
        <v>0.5</v>
      </c>
      <c r="N6" s="33">
        <v>1.5</v>
      </c>
      <c r="O6" s="33">
        <v>404</v>
      </c>
      <c r="P6" s="33"/>
      <c r="Q6" t="str">
        <f t="shared" si="3"/>
        <v>Matt Forte</v>
      </c>
      <c r="R6" s="33" t="s">
        <v>1468</v>
      </c>
      <c r="S6" s="33">
        <v>279</v>
      </c>
      <c r="T6" s="33">
        <v>1304</v>
      </c>
      <c r="U6" s="33">
        <v>4.7</v>
      </c>
      <c r="V6" s="33">
        <v>8</v>
      </c>
      <c r="W6">
        <v>64.5</v>
      </c>
      <c r="X6">
        <v>532</v>
      </c>
      <c r="Y6">
        <v>8.1999999999999993</v>
      </c>
      <c r="Z6">
        <v>3.5</v>
      </c>
      <c r="AA6">
        <v>2</v>
      </c>
      <c r="AB6">
        <v>234</v>
      </c>
      <c r="AD6" t="str">
        <f t="shared" si="4"/>
        <v>Dez Bryant</v>
      </c>
      <c r="AE6" t="s">
        <v>1552</v>
      </c>
      <c r="AF6">
        <v>97</v>
      </c>
      <c r="AG6">
        <v>1354</v>
      </c>
      <c r="AH6">
        <v>14</v>
      </c>
      <c r="AI6">
        <v>11.5</v>
      </c>
      <c r="AJ6">
        <v>1</v>
      </c>
      <c r="AK6">
        <v>194</v>
      </c>
      <c r="AM6" t="str">
        <f t="shared" si="5"/>
        <v>Julius Thomas</v>
      </c>
      <c r="AN6" t="s">
        <v>1662</v>
      </c>
      <c r="AO6">
        <v>77</v>
      </c>
      <c r="AP6">
        <v>957</v>
      </c>
      <c r="AQ6">
        <v>12.4</v>
      </c>
      <c r="AR6">
        <v>10.5</v>
      </c>
      <c r="AS6">
        <v>0.5</v>
      </c>
      <c r="AT6">
        <v>149</v>
      </c>
      <c r="AV6" t="str">
        <f t="shared" si="0"/>
        <v>Justin Tucker</v>
      </c>
      <c r="AW6" t="s">
        <v>2354</v>
      </c>
      <c r="AX6">
        <v>33</v>
      </c>
      <c r="AY6">
        <v>37</v>
      </c>
      <c r="AZ6">
        <v>33</v>
      </c>
      <c r="BA6">
        <v>140</v>
      </c>
      <c r="BC6" t="str">
        <f t="shared" si="1"/>
        <v>Rams</v>
      </c>
      <c r="BD6" t="s">
        <v>2728</v>
      </c>
      <c r="BE6">
        <v>18</v>
      </c>
      <c r="BF6">
        <v>12.5</v>
      </c>
      <c r="BG6">
        <v>16.5</v>
      </c>
      <c r="BH6">
        <v>49.5</v>
      </c>
      <c r="BI6">
        <v>5</v>
      </c>
      <c r="BJ6">
        <v>2</v>
      </c>
      <c r="BK6">
        <v>361</v>
      </c>
      <c r="BL6">
        <v>5531</v>
      </c>
      <c r="BM6">
        <v>176.5</v>
      </c>
    </row>
    <row r="7" spans="1:65" ht="12.75" customHeight="1">
      <c r="A7" t="str">
        <f t="shared" si="2"/>
        <v>Matthew Stafford</v>
      </c>
      <c r="B7" s="33" t="s">
        <v>1621</v>
      </c>
      <c r="C7" s="33">
        <v>644</v>
      </c>
      <c r="D7" s="33">
        <v>398</v>
      </c>
      <c r="E7" s="33">
        <v>5025</v>
      </c>
      <c r="F7" s="33">
        <v>36.5</v>
      </c>
      <c r="G7" s="33">
        <v>16.5</v>
      </c>
      <c r="H7" s="33">
        <v>61.8</v>
      </c>
      <c r="I7" s="33">
        <v>7.8</v>
      </c>
      <c r="J7" s="33">
        <v>33.5</v>
      </c>
      <c r="K7" s="33">
        <v>85.5</v>
      </c>
      <c r="L7" s="33">
        <v>2.6</v>
      </c>
      <c r="M7" s="33">
        <v>1</v>
      </c>
      <c r="N7" s="33">
        <v>2.5</v>
      </c>
      <c r="O7" s="33">
        <v>384</v>
      </c>
      <c r="P7" s="33"/>
      <c r="Q7" t="str">
        <f t="shared" si="3"/>
        <v>Adrian Peterson</v>
      </c>
      <c r="R7" s="33" t="s">
        <v>1444</v>
      </c>
      <c r="S7" s="33">
        <v>295</v>
      </c>
      <c r="T7" s="33">
        <v>1367.5</v>
      </c>
      <c r="U7" s="33">
        <v>4.5999999999999996</v>
      </c>
      <c r="V7" s="33">
        <v>10.5</v>
      </c>
      <c r="W7">
        <v>44.5</v>
      </c>
      <c r="X7">
        <v>288.5</v>
      </c>
      <c r="Y7">
        <v>6.5</v>
      </c>
      <c r="Z7">
        <v>1.5</v>
      </c>
      <c r="AA7">
        <v>2.5</v>
      </c>
      <c r="AB7">
        <v>217</v>
      </c>
      <c r="AD7" t="str">
        <f t="shared" si="4"/>
        <v>Julio Jones</v>
      </c>
      <c r="AE7" t="s">
        <v>1610</v>
      </c>
      <c r="AF7">
        <v>90.5</v>
      </c>
      <c r="AG7">
        <v>1357.5</v>
      </c>
      <c r="AH7">
        <v>15</v>
      </c>
      <c r="AI7">
        <v>10.5</v>
      </c>
      <c r="AJ7">
        <v>0.5</v>
      </c>
      <c r="AK7">
        <v>190</v>
      </c>
      <c r="AM7" t="str">
        <f t="shared" si="5"/>
        <v>Vernon Davis</v>
      </c>
      <c r="AN7" t="s">
        <v>1824</v>
      </c>
      <c r="AO7">
        <v>62</v>
      </c>
      <c r="AP7">
        <v>828.5</v>
      </c>
      <c r="AQ7">
        <v>13.4</v>
      </c>
      <c r="AR7">
        <v>9.5</v>
      </c>
      <c r="AS7">
        <v>0.5</v>
      </c>
      <c r="AT7">
        <v>131</v>
      </c>
      <c r="AV7" t="str">
        <f t="shared" si="0"/>
        <v>Steven Hauschka</v>
      </c>
      <c r="AW7" t="s">
        <v>2361</v>
      </c>
      <c r="AX7">
        <v>29.5</v>
      </c>
      <c r="AY7">
        <v>33</v>
      </c>
      <c r="AZ7">
        <v>44</v>
      </c>
      <c r="BA7">
        <v>138.5</v>
      </c>
      <c r="BC7" t="str">
        <f t="shared" si="1"/>
        <v>49ers</v>
      </c>
      <c r="BD7" t="s">
        <v>2729</v>
      </c>
      <c r="BE7">
        <v>16</v>
      </c>
      <c r="BF7">
        <v>10.5</v>
      </c>
      <c r="BG7">
        <v>15</v>
      </c>
      <c r="BH7">
        <v>36.5</v>
      </c>
      <c r="BI7">
        <v>3</v>
      </c>
      <c r="BJ7">
        <v>1</v>
      </c>
      <c r="BK7">
        <v>310.5</v>
      </c>
      <c r="BL7">
        <v>5175</v>
      </c>
      <c r="BM7">
        <v>173.5</v>
      </c>
    </row>
    <row r="8" spans="1:65" ht="12.75" customHeight="1">
      <c r="A8" t="str">
        <f t="shared" si="2"/>
        <v>Colin Kaepernick</v>
      </c>
      <c r="B8" s="33" t="s">
        <v>1902</v>
      </c>
      <c r="C8" s="33">
        <v>491.5</v>
      </c>
      <c r="D8" s="33">
        <v>305</v>
      </c>
      <c r="E8" s="33">
        <v>4046</v>
      </c>
      <c r="F8" s="33">
        <v>27</v>
      </c>
      <c r="G8" s="33">
        <v>9.5</v>
      </c>
      <c r="H8" s="33">
        <v>62.1</v>
      </c>
      <c r="I8" s="33">
        <v>8.1999999999999993</v>
      </c>
      <c r="J8" s="33">
        <v>87.5</v>
      </c>
      <c r="K8" s="33">
        <v>503</v>
      </c>
      <c r="L8" s="33">
        <v>5.7</v>
      </c>
      <c r="M8" s="33">
        <v>4.5</v>
      </c>
      <c r="N8" s="33">
        <v>2</v>
      </c>
      <c r="O8" s="33">
        <v>364</v>
      </c>
      <c r="P8" s="33"/>
      <c r="Q8" t="str">
        <f t="shared" si="3"/>
        <v>Eddie Lacy</v>
      </c>
      <c r="R8" s="33" t="s">
        <v>1484</v>
      </c>
      <c r="S8" s="33">
        <v>273</v>
      </c>
      <c r="T8" s="33">
        <v>1280</v>
      </c>
      <c r="U8" s="33">
        <v>4.7</v>
      </c>
      <c r="V8" s="33">
        <v>10.5</v>
      </c>
      <c r="W8">
        <v>36</v>
      </c>
      <c r="X8">
        <v>254</v>
      </c>
      <c r="Y8">
        <v>7.1</v>
      </c>
      <c r="Z8">
        <v>1</v>
      </c>
      <c r="AA8">
        <v>1</v>
      </c>
      <c r="AB8">
        <v>205</v>
      </c>
      <c r="AD8" t="str">
        <f t="shared" si="4"/>
        <v>A.J. Green</v>
      </c>
      <c r="AE8" t="s">
        <v>1567</v>
      </c>
      <c r="AF8">
        <v>91</v>
      </c>
      <c r="AG8">
        <v>1311</v>
      </c>
      <c r="AH8">
        <v>14.4</v>
      </c>
      <c r="AI8">
        <v>10.5</v>
      </c>
      <c r="AJ8">
        <v>0</v>
      </c>
      <c r="AK8">
        <v>186</v>
      </c>
      <c r="AM8" t="str">
        <f t="shared" si="5"/>
        <v>Jason Witten</v>
      </c>
      <c r="AN8" t="s">
        <v>1979</v>
      </c>
      <c r="AO8">
        <v>80.5</v>
      </c>
      <c r="AP8">
        <v>897.5</v>
      </c>
      <c r="AQ8">
        <v>11.1</v>
      </c>
      <c r="AR8">
        <v>6.5</v>
      </c>
      <c r="AS8">
        <v>0</v>
      </c>
      <c r="AT8">
        <v>121</v>
      </c>
      <c r="AV8" t="str">
        <f t="shared" si="0"/>
        <v>Matt Bryant</v>
      </c>
      <c r="AW8" t="s">
        <v>2583</v>
      </c>
      <c r="AX8">
        <v>30</v>
      </c>
      <c r="AY8">
        <v>34.5</v>
      </c>
      <c r="AZ8">
        <v>41.5</v>
      </c>
      <c r="BA8">
        <v>137.5</v>
      </c>
      <c r="BC8" t="str">
        <f t="shared" si="1"/>
        <v>Patriots</v>
      </c>
      <c r="BD8" t="s">
        <v>2730</v>
      </c>
      <c r="BE8">
        <v>21</v>
      </c>
      <c r="BF8">
        <v>12.5</v>
      </c>
      <c r="BG8">
        <v>15.5</v>
      </c>
      <c r="BH8">
        <v>43</v>
      </c>
      <c r="BI8">
        <v>5</v>
      </c>
      <c r="BJ8">
        <v>0.5</v>
      </c>
      <c r="BK8">
        <v>351.5</v>
      </c>
      <c r="BL8">
        <v>5979</v>
      </c>
      <c r="BM8">
        <v>173</v>
      </c>
    </row>
    <row r="9" spans="1:65" ht="12.75" customHeight="1">
      <c r="A9" t="str">
        <f t="shared" si="2"/>
        <v>Tom Brady</v>
      </c>
      <c r="B9" s="33" t="s">
        <v>1985</v>
      </c>
      <c r="C9" s="33">
        <v>637.5</v>
      </c>
      <c r="D9" s="33">
        <v>399.5</v>
      </c>
      <c r="E9" s="33">
        <v>4655</v>
      </c>
      <c r="F9" s="33">
        <v>32.5</v>
      </c>
      <c r="G9" s="33">
        <v>12.5</v>
      </c>
      <c r="H9" s="33">
        <v>62.7</v>
      </c>
      <c r="I9" s="33">
        <v>7.3</v>
      </c>
      <c r="J9" s="33">
        <v>31</v>
      </c>
      <c r="K9" s="33">
        <v>31.5</v>
      </c>
      <c r="L9" s="33">
        <v>1</v>
      </c>
      <c r="M9" s="33">
        <v>1.5</v>
      </c>
      <c r="N9" s="33">
        <v>3</v>
      </c>
      <c r="O9" s="33">
        <v>351</v>
      </c>
      <c r="P9" s="33"/>
      <c r="Q9" t="str">
        <f t="shared" si="3"/>
        <v>DeMarco Murray</v>
      </c>
      <c r="R9" s="33" t="s">
        <v>1526</v>
      </c>
      <c r="S9" s="33">
        <v>238</v>
      </c>
      <c r="T9" s="33">
        <v>1188</v>
      </c>
      <c r="U9" s="33">
        <v>5</v>
      </c>
      <c r="V9" s="33">
        <v>9</v>
      </c>
      <c r="W9">
        <v>54</v>
      </c>
      <c r="X9">
        <v>403</v>
      </c>
      <c r="Y9">
        <v>7.5</v>
      </c>
      <c r="Z9">
        <v>1</v>
      </c>
      <c r="AA9">
        <v>2</v>
      </c>
      <c r="AB9">
        <v>200</v>
      </c>
      <c r="AD9" t="str">
        <f t="shared" si="4"/>
        <v>Brandon Marshall</v>
      </c>
      <c r="AE9" t="s">
        <v>1600</v>
      </c>
      <c r="AF9">
        <v>105.5</v>
      </c>
      <c r="AG9">
        <v>1290.5</v>
      </c>
      <c r="AH9">
        <v>12.2</v>
      </c>
      <c r="AI9">
        <v>10.5</v>
      </c>
      <c r="AJ9">
        <v>0</v>
      </c>
      <c r="AK9">
        <v>184</v>
      </c>
      <c r="AM9" t="str">
        <f t="shared" si="5"/>
        <v>Dennis Pitta</v>
      </c>
      <c r="AN9" t="s">
        <v>2123</v>
      </c>
      <c r="AO9">
        <v>65.5</v>
      </c>
      <c r="AP9">
        <v>828</v>
      </c>
      <c r="AQ9">
        <v>12.6</v>
      </c>
      <c r="AR9">
        <v>7</v>
      </c>
      <c r="AS9">
        <v>0</v>
      </c>
      <c r="AT9">
        <v>117</v>
      </c>
      <c r="AV9" t="str">
        <f t="shared" si="0"/>
        <v>Dan Bailey</v>
      </c>
      <c r="AW9" t="s">
        <v>2381</v>
      </c>
      <c r="AX9">
        <v>29</v>
      </c>
      <c r="AY9">
        <v>32</v>
      </c>
      <c r="AZ9">
        <v>42.5</v>
      </c>
      <c r="BA9">
        <v>137.5</v>
      </c>
      <c r="BC9" t="str">
        <f t="shared" si="1"/>
        <v>Broncos</v>
      </c>
      <c r="BD9" t="s">
        <v>2731</v>
      </c>
      <c r="BE9">
        <v>17</v>
      </c>
      <c r="BF9">
        <v>11.5</v>
      </c>
      <c r="BG9">
        <v>16</v>
      </c>
      <c r="BH9">
        <v>46.5</v>
      </c>
      <c r="BI9">
        <v>5.5</v>
      </c>
      <c r="BJ9">
        <v>1.5</v>
      </c>
      <c r="BK9">
        <v>362.5</v>
      </c>
      <c r="BL9">
        <v>5393.5</v>
      </c>
      <c r="BM9">
        <v>171.5</v>
      </c>
    </row>
    <row r="10" spans="1:65" ht="12.75" customHeight="1">
      <c r="A10" t="str">
        <f t="shared" si="2"/>
        <v>Matt Ryan</v>
      </c>
      <c r="B10" s="33" t="s">
        <v>1961</v>
      </c>
      <c r="C10" s="33">
        <v>638</v>
      </c>
      <c r="D10" s="33">
        <v>422</v>
      </c>
      <c r="E10" s="33">
        <v>4796.5</v>
      </c>
      <c r="F10" s="33">
        <v>31.5</v>
      </c>
      <c r="G10" s="33">
        <v>14</v>
      </c>
      <c r="H10" s="33">
        <v>66.099999999999994</v>
      </c>
      <c r="I10" s="33">
        <v>7.5</v>
      </c>
      <c r="J10" s="33">
        <v>28</v>
      </c>
      <c r="K10" s="33">
        <v>59.5</v>
      </c>
      <c r="L10" s="33">
        <v>2.1</v>
      </c>
      <c r="M10" s="33">
        <v>1</v>
      </c>
      <c r="N10" s="33">
        <v>2.5</v>
      </c>
      <c r="O10" s="33">
        <v>347</v>
      </c>
      <c r="P10" s="33"/>
      <c r="Q10" t="str">
        <f t="shared" si="3"/>
        <v>Montee Ball</v>
      </c>
      <c r="R10" s="33" t="s">
        <v>1583</v>
      </c>
      <c r="S10" s="33">
        <v>256.5</v>
      </c>
      <c r="T10" s="33">
        <v>1190.5</v>
      </c>
      <c r="U10" s="33">
        <v>4.5999999999999996</v>
      </c>
      <c r="V10" s="33">
        <v>10</v>
      </c>
      <c r="W10">
        <v>43</v>
      </c>
      <c r="X10">
        <v>319</v>
      </c>
      <c r="Y10">
        <v>7.4</v>
      </c>
      <c r="Z10">
        <v>1.5</v>
      </c>
      <c r="AA10">
        <v>2.5</v>
      </c>
      <c r="AB10">
        <v>198</v>
      </c>
      <c r="AD10" t="str">
        <f t="shared" si="4"/>
        <v>Jordy Nelson</v>
      </c>
      <c r="AE10" t="s">
        <v>1620</v>
      </c>
      <c r="AF10">
        <v>80</v>
      </c>
      <c r="AG10">
        <v>1276</v>
      </c>
      <c r="AH10">
        <v>15.9</v>
      </c>
      <c r="AI10">
        <v>10.5</v>
      </c>
      <c r="AJ10">
        <v>0.5</v>
      </c>
      <c r="AK10">
        <v>181</v>
      </c>
      <c r="AM10" t="str">
        <f t="shared" si="5"/>
        <v>Jordan Cameron</v>
      </c>
      <c r="AN10" t="s">
        <v>1939</v>
      </c>
      <c r="AO10">
        <v>74.5</v>
      </c>
      <c r="AP10">
        <v>892</v>
      </c>
      <c r="AQ10">
        <v>12</v>
      </c>
      <c r="AR10">
        <v>5.5</v>
      </c>
      <c r="AS10">
        <v>0.5</v>
      </c>
      <c r="AT10">
        <v>113</v>
      </c>
      <c r="AV10" t="str">
        <f t="shared" si="0"/>
        <v>Mason Crosby</v>
      </c>
      <c r="AW10" t="s">
        <v>2357</v>
      </c>
      <c r="AX10">
        <v>27</v>
      </c>
      <c r="AY10">
        <v>32</v>
      </c>
      <c r="AZ10">
        <v>50</v>
      </c>
      <c r="BA10">
        <v>137</v>
      </c>
      <c r="BC10" t="str">
        <f t="shared" si="1"/>
        <v>Chiefs</v>
      </c>
      <c r="BD10" t="s">
        <v>2732</v>
      </c>
      <c r="BE10">
        <v>17</v>
      </c>
      <c r="BF10">
        <v>10</v>
      </c>
      <c r="BG10">
        <v>13.5</v>
      </c>
      <c r="BH10">
        <v>43</v>
      </c>
      <c r="BI10">
        <v>5.5</v>
      </c>
      <c r="BJ10">
        <v>0.5</v>
      </c>
      <c r="BK10">
        <v>365</v>
      </c>
      <c r="BL10">
        <v>5669.5</v>
      </c>
      <c r="BM10">
        <v>163</v>
      </c>
    </row>
    <row r="11" spans="1:65" ht="12.75" customHeight="1">
      <c r="A11" t="str">
        <f t="shared" si="2"/>
        <v>Nick Foles</v>
      </c>
      <c r="B11" s="33" t="s">
        <v>1866</v>
      </c>
      <c r="C11" s="33">
        <v>563.5</v>
      </c>
      <c r="D11" s="33">
        <v>366.5</v>
      </c>
      <c r="E11" s="33">
        <v>4512.5</v>
      </c>
      <c r="F11" s="33">
        <v>30.5</v>
      </c>
      <c r="G11" s="33">
        <v>13.5</v>
      </c>
      <c r="H11" s="33">
        <v>65</v>
      </c>
      <c r="I11" s="33">
        <v>8</v>
      </c>
      <c r="J11" s="33">
        <v>55</v>
      </c>
      <c r="K11" s="33">
        <v>205</v>
      </c>
      <c r="L11" s="33">
        <v>3.7</v>
      </c>
      <c r="M11" s="33">
        <v>1.5</v>
      </c>
      <c r="N11" s="33">
        <v>3</v>
      </c>
      <c r="O11" s="33">
        <v>345</v>
      </c>
      <c r="P11" s="33"/>
      <c r="Q11" t="str">
        <f t="shared" si="3"/>
        <v>Giovani Bernard</v>
      </c>
      <c r="R11" s="33" t="s">
        <v>1601</v>
      </c>
      <c r="S11" s="33">
        <v>243</v>
      </c>
      <c r="T11" s="33">
        <v>1173.5</v>
      </c>
      <c r="U11" s="33">
        <v>4.8</v>
      </c>
      <c r="V11" s="33">
        <v>6</v>
      </c>
      <c r="W11">
        <v>55.5</v>
      </c>
      <c r="X11">
        <v>497</v>
      </c>
      <c r="Y11">
        <v>9</v>
      </c>
      <c r="Z11">
        <v>2</v>
      </c>
      <c r="AA11">
        <v>2.5</v>
      </c>
      <c r="AB11">
        <v>196</v>
      </c>
      <c r="AD11" t="str">
        <f t="shared" si="4"/>
        <v>Antonio Brown</v>
      </c>
      <c r="AE11" t="s">
        <v>1663</v>
      </c>
      <c r="AF11">
        <v>102.5</v>
      </c>
      <c r="AG11">
        <v>1345</v>
      </c>
      <c r="AH11">
        <v>13.1</v>
      </c>
      <c r="AI11">
        <v>7.5</v>
      </c>
      <c r="AJ11">
        <v>0.5</v>
      </c>
      <c r="AK11">
        <v>172</v>
      </c>
      <c r="AM11" t="str">
        <f t="shared" si="5"/>
        <v>Jordan Reed</v>
      </c>
      <c r="AN11" t="s">
        <v>2165</v>
      </c>
      <c r="AO11">
        <v>64.5</v>
      </c>
      <c r="AP11">
        <v>780</v>
      </c>
      <c r="AQ11">
        <v>12.1</v>
      </c>
      <c r="AR11">
        <v>6.5</v>
      </c>
      <c r="AS11">
        <v>0</v>
      </c>
      <c r="AT11">
        <v>108</v>
      </c>
      <c r="AV11" t="str">
        <f t="shared" si="0"/>
        <v>Adam Vinatieri</v>
      </c>
      <c r="AW11" t="s">
        <v>2373</v>
      </c>
      <c r="AX11">
        <v>30.5</v>
      </c>
      <c r="AY11">
        <v>33.5</v>
      </c>
      <c r="AZ11">
        <v>38.5</v>
      </c>
      <c r="BA11">
        <v>136</v>
      </c>
      <c r="BC11" t="str">
        <f t="shared" si="1"/>
        <v>Buccaneers</v>
      </c>
      <c r="BD11" t="s">
        <v>2733</v>
      </c>
      <c r="BE11">
        <v>20</v>
      </c>
      <c r="BF11">
        <v>11.5</v>
      </c>
      <c r="BG11">
        <v>14</v>
      </c>
      <c r="BH11">
        <v>36</v>
      </c>
      <c r="BI11">
        <v>4.5</v>
      </c>
      <c r="BJ11">
        <v>1</v>
      </c>
      <c r="BK11">
        <v>383</v>
      </c>
      <c r="BL11">
        <v>5896.5</v>
      </c>
      <c r="BM11">
        <v>160</v>
      </c>
    </row>
    <row r="12" spans="1:65" ht="12.75" customHeight="1">
      <c r="A12" t="str">
        <f t="shared" si="2"/>
        <v>Tony Romo</v>
      </c>
      <c r="B12" s="33" t="s">
        <v>2105</v>
      </c>
      <c r="C12" s="33">
        <v>644.5</v>
      </c>
      <c r="D12" s="33">
        <v>410</v>
      </c>
      <c r="E12" s="33">
        <v>4619</v>
      </c>
      <c r="F12" s="33">
        <v>33.5</v>
      </c>
      <c r="G12" s="33">
        <v>16</v>
      </c>
      <c r="H12" s="33">
        <v>63.6</v>
      </c>
      <c r="I12" s="33">
        <v>7.2</v>
      </c>
      <c r="J12" s="33">
        <v>24</v>
      </c>
      <c r="K12" s="33">
        <v>43.5</v>
      </c>
      <c r="L12" s="33">
        <v>1.8</v>
      </c>
      <c r="M12" s="33">
        <v>0.5</v>
      </c>
      <c r="N12" s="33">
        <v>3</v>
      </c>
      <c r="O12" s="33">
        <v>344</v>
      </c>
      <c r="P12" s="33"/>
      <c r="Q12" t="str">
        <f t="shared" si="3"/>
        <v>Alfred Morris</v>
      </c>
      <c r="R12" s="33" t="s">
        <v>1629</v>
      </c>
      <c r="S12" s="33">
        <v>272.5</v>
      </c>
      <c r="T12" s="33">
        <v>1317.5</v>
      </c>
      <c r="U12" s="33">
        <v>4.8</v>
      </c>
      <c r="V12" s="33">
        <v>9.5</v>
      </c>
      <c r="W12">
        <v>16</v>
      </c>
      <c r="X12">
        <v>124</v>
      </c>
      <c r="Y12">
        <v>7.8</v>
      </c>
      <c r="Z12">
        <v>0</v>
      </c>
      <c r="AA12">
        <v>2.5</v>
      </c>
      <c r="AB12">
        <v>181</v>
      </c>
      <c r="AD12" t="str">
        <f t="shared" si="4"/>
        <v>Alshon Jeffery</v>
      </c>
      <c r="AE12" t="s">
        <v>1638</v>
      </c>
      <c r="AF12">
        <v>82.5</v>
      </c>
      <c r="AG12">
        <v>1300.5</v>
      </c>
      <c r="AH12">
        <v>15.8</v>
      </c>
      <c r="AI12">
        <v>8</v>
      </c>
      <c r="AJ12">
        <v>1</v>
      </c>
      <c r="AK12">
        <v>171</v>
      </c>
      <c r="AM12" t="str">
        <f t="shared" si="5"/>
        <v>Kyle Rudolph</v>
      </c>
      <c r="AN12" t="s">
        <v>2192</v>
      </c>
      <c r="AO12">
        <v>63.5</v>
      </c>
      <c r="AP12">
        <v>727.5</v>
      </c>
      <c r="AQ12">
        <v>11.5</v>
      </c>
      <c r="AR12">
        <v>7</v>
      </c>
      <c r="AS12">
        <v>0</v>
      </c>
      <c r="AT12">
        <v>107</v>
      </c>
      <c r="AV12" t="str">
        <f t="shared" si="0"/>
        <v>Shayne Graham</v>
      </c>
      <c r="AW12" t="s">
        <v>2563</v>
      </c>
      <c r="AX12">
        <v>26.5</v>
      </c>
      <c r="AY12">
        <v>31</v>
      </c>
      <c r="AZ12">
        <v>51</v>
      </c>
      <c r="BA12">
        <v>134.5</v>
      </c>
      <c r="BC12" t="str">
        <f t="shared" si="1"/>
        <v>Bears</v>
      </c>
      <c r="BD12" t="s">
        <v>2734</v>
      </c>
      <c r="BE12">
        <v>19</v>
      </c>
      <c r="BF12">
        <v>10.5</v>
      </c>
      <c r="BG12">
        <v>17.5</v>
      </c>
      <c r="BH12">
        <v>36.5</v>
      </c>
      <c r="BI12">
        <v>5</v>
      </c>
      <c r="BJ12">
        <v>1</v>
      </c>
      <c r="BK12">
        <v>408</v>
      </c>
      <c r="BL12">
        <v>5875.5</v>
      </c>
      <c r="BM12">
        <v>159.5</v>
      </c>
    </row>
    <row r="13" spans="1:65" ht="12.75" customHeight="1">
      <c r="A13" t="str">
        <f t="shared" si="2"/>
        <v>Andrew Luck</v>
      </c>
      <c r="B13" s="33" t="s">
        <v>1773</v>
      </c>
      <c r="C13" s="33">
        <v>583</v>
      </c>
      <c r="D13" s="33">
        <v>358.5</v>
      </c>
      <c r="E13" s="33">
        <v>4270.5</v>
      </c>
      <c r="F13" s="33">
        <v>27.5</v>
      </c>
      <c r="G13" s="33">
        <v>11.5</v>
      </c>
      <c r="H13" s="33">
        <v>61.5</v>
      </c>
      <c r="I13" s="33">
        <v>7.3</v>
      </c>
      <c r="J13" s="33">
        <v>60.5</v>
      </c>
      <c r="K13" s="33">
        <v>306.5</v>
      </c>
      <c r="L13" s="33">
        <v>5.0999999999999996</v>
      </c>
      <c r="M13" s="33">
        <v>3.5</v>
      </c>
      <c r="N13" s="33">
        <v>3</v>
      </c>
      <c r="O13" s="33">
        <v>342</v>
      </c>
      <c r="P13" s="33"/>
      <c r="Q13" t="str">
        <f t="shared" si="3"/>
        <v>Le'Veon Bell</v>
      </c>
      <c r="R13" s="33" t="s">
        <v>1550</v>
      </c>
      <c r="S13" s="33">
        <v>257</v>
      </c>
      <c r="T13" s="33">
        <v>1131.5</v>
      </c>
      <c r="U13" s="33">
        <v>4.4000000000000004</v>
      </c>
      <c r="V13" s="33">
        <v>7.5</v>
      </c>
      <c r="W13">
        <v>43</v>
      </c>
      <c r="X13">
        <v>342.5</v>
      </c>
      <c r="Y13">
        <v>8</v>
      </c>
      <c r="Z13">
        <v>1</v>
      </c>
      <c r="AA13">
        <v>1</v>
      </c>
      <c r="AB13">
        <v>181</v>
      </c>
      <c r="AD13" t="str">
        <f t="shared" si="4"/>
        <v>Randall Cobb</v>
      </c>
      <c r="AE13" t="s">
        <v>1686</v>
      </c>
      <c r="AF13">
        <v>86.5</v>
      </c>
      <c r="AG13">
        <v>1172.5</v>
      </c>
      <c r="AH13">
        <v>13.6</v>
      </c>
      <c r="AI13">
        <v>8</v>
      </c>
      <c r="AJ13">
        <v>1</v>
      </c>
      <c r="AK13">
        <v>167</v>
      </c>
      <c r="AM13" t="str">
        <f t="shared" si="5"/>
        <v>Zach Ertz</v>
      </c>
      <c r="AN13" t="s">
        <v>2282</v>
      </c>
      <c r="AO13">
        <v>63</v>
      </c>
      <c r="AP13">
        <v>769</v>
      </c>
      <c r="AQ13">
        <v>12.2</v>
      </c>
      <c r="AR13">
        <v>6.5</v>
      </c>
      <c r="AS13">
        <v>0.5</v>
      </c>
      <c r="AT13">
        <v>107</v>
      </c>
      <c r="AV13" t="str">
        <f t="shared" si="0"/>
        <v>Nick Novak</v>
      </c>
      <c r="AW13" t="s">
        <v>2369</v>
      </c>
      <c r="AX13">
        <v>29</v>
      </c>
      <c r="AY13">
        <v>34</v>
      </c>
      <c r="AZ13">
        <v>41</v>
      </c>
      <c r="BA13">
        <v>134</v>
      </c>
      <c r="BC13" t="str">
        <f t="shared" si="1"/>
        <v>Packers</v>
      </c>
      <c r="BD13" t="s">
        <v>2735</v>
      </c>
      <c r="BE13">
        <v>18</v>
      </c>
      <c r="BF13">
        <v>9.5</v>
      </c>
      <c r="BG13">
        <v>13</v>
      </c>
      <c r="BH13">
        <v>42</v>
      </c>
      <c r="BI13">
        <v>4.5</v>
      </c>
      <c r="BJ13">
        <v>1</v>
      </c>
      <c r="BK13">
        <v>392.5</v>
      </c>
      <c r="BL13">
        <v>5990</v>
      </c>
      <c r="BM13">
        <v>158</v>
      </c>
    </row>
    <row r="14" spans="1:65" ht="12.75" customHeight="1">
      <c r="A14" t="str">
        <f t="shared" si="2"/>
        <v>Robert Griffin III</v>
      </c>
      <c r="B14" s="33" t="s">
        <v>1808</v>
      </c>
      <c r="C14" s="33">
        <v>503.5</v>
      </c>
      <c r="D14" s="33">
        <v>312.5</v>
      </c>
      <c r="E14" s="33">
        <v>3899</v>
      </c>
      <c r="F14" s="33">
        <v>25</v>
      </c>
      <c r="G14" s="33">
        <v>12</v>
      </c>
      <c r="H14" s="33">
        <v>62.1</v>
      </c>
      <c r="I14" s="33">
        <v>7.7</v>
      </c>
      <c r="J14" s="33">
        <v>91.5</v>
      </c>
      <c r="K14" s="33">
        <v>491</v>
      </c>
      <c r="L14" s="33">
        <v>5.4</v>
      </c>
      <c r="M14" s="33">
        <v>4</v>
      </c>
      <c r="N14" s="33">
        <v>2.5</v>
      </c>
      <c r="O14" s="33">
        <v>332</v>
      </c>
      <c r="P14" s="33"/>
      <c r="Q14" t="str">
        <f t="shared" si="3"/>
        <v>Zac Stacy</v>
      </c>
      <c r="R14" s="33" t="s">
        <v>1592</v>
      </c>
      <c r="S14" s="33">
        <v>281</v>
      </c>
      <c r="T14" s="33">
        <v>1215.5</v>
      </c>
      <c r="U14" s="33">
        <v>4.3</v>
      </c>
      <c r="V14" s="33">
        <v>8.5</v>
      </c>
      <c r="W14">
        <v>30</v>
      </c>
      <c r="X14">
        <v>192.5</v>
      </c>
      <c r="Y14">
        <v>6.4</v>
      </c>
      <c r="Z14">
        <v>1</v>
      </c>
      <c r="AA14">
        <v>2</v>
      </c>
      <c r="AB14">
        <v>178</v>
      </c>
      <c r="AD14" t="str">
        <f t="shared" si="4"/>
        <v>Michael Crabtree</v>
      </c>
      <c r="AE14" t="s">
        <v>1836</v>
      </c>
      <c r="AF14">
        <v>82.5</v>
      </c>
      <c r="AG14">
        <v>1209.5</v>
      </c>
      <c r="AH14">
        <v>14.7</v>
      </c>
      <c r="AI14">
        <v>8.5</v>
      </c>
      <c r="AJ14">
        <v>1</v>
      </c>
      <c r="AK14">
        <v>162</v>
      </c>
      <c r="AM14" t="str">
        <f t="shared" si="5"/>
        <v>Greg Olsen</v>
      </c>
      <c r="AN14" t="s">
        <v>2133</v>
      </c>
      <c r="AO14">
        <v>70.5</v>
      </c>
      <c r="AP14">
        <v>794</v>
      </c>
      <c r="AQ14">
        <v>11.3</v>
      </c>
      <c r="AR14">
        <v>5.5</v>
      </c>
      <c r="AS14">
        <v>0.5</v>
      </c>
      <c r="AT14">
        <v>103</v>
      </c>
      <c r="AV14" t="str">
        <f t="shared" si="0"/>
        <v>Robbie Gould</v>
      </c>
      <c r="AW14" t="s">
        <v>2475</v>
      </c>
      <c r="AX14">
        <v>26.5</v>
      </c>
      <c r="AY14">
        <v>30.5</v>
      </c>
      <c r="AZ14">
        <v>43</v>
      </c>
      <c r="BA14">
        <v>128.5</v>
      </c>
      <c r="BC14" t="str">
        <f t="shared" si="1"/>
        <v>Bills</v>
      </c>
      <c r="BD14" t="s">
        <v>2736</v>
      </c>
      <c r="BE14">
        <v>15.5</v>
      </c>
      <c r="BF14">
        <v>8.5</v>
      </c>
      <c r="BG14">
        <v>14</v>
      </c>
      <c r="BH14">
        <v>44</v>
      </c>
      <c r="BI14">
        <v>4.5</v>
      </c>
      <c r="BJ14">
        <v>1</v>
      </c>
      <c r="BK14">
        <v>394.5</v>
      </c>
      <c r="BL14">
        <v>5595.5</v>
      </c>
      <c r="BM14">
        <v>153</v>
      </c>
    </row>
    <row r="15" spans="1:65" ht="12.75" customHeight="1">
      <c r="A15" t="str">
        <f t="shared" si="2"/>
        <v>Jay Cutler</v>
      </c>
      <c r="B15" s="33" t="s">
        <v>2182</v>
      </c>
      <c r="C15" s="33">
        <v>560.5</v>
      </c>
      <c r="D15" s="33">
        <v>356</v>
      </c>
      <c r="E15" s="33">
        <v>4187</v>
      </c>
      <c r="F15" s="33">
        <v>31.5</v>
      </c>
      <c r="G15" s="33">
        <v>13.5</v>
      </c>
      <c r="H15" s="33">
        <v>63.5</v>
      </c>
      <c r="I15" s="33">
        <v>7.5</v>
      </c>
      <c r="J15" s="33">
        <v>28.5</v>
      </c>
      <c r="K15" s="33">
        <v>143.5</v>
      </c>
      <c r="L15" s="33">
        <v>5</v>
      </c>
      <c r="M15" s="33">
        <v>1.5</v>
      </c>
      <c r="N15" s="33">
        <v>3</v>
      </c>
      <c r="O15" s="33">
        <v>330</v>
      </c>
      <c r="P15" s="33"/>
      <c r="Q15" t="str">
        <f t="shared" si="3"/>
        <v>Marshawn Lynch</v>
      </c>
      <c r="R15" s="33" t="s">
        <v>1476</v>
      </c>
      <c r="S15" s="33">
        <v>270</v>
      </c>
      <c r="T15" s="33">
        <v>1198</v>
      </c>
      <c r="U15" s="33">
        <v>4.4000000000000004</v>
      </c>
      <c r="V15" s="33">
        <v>9</v>
      </c>
      <c r="W15">
        <v>24</v>
      </c>
      <c r="X15">
        <v>180.5</v>
      </c>
      <c r="Y15">
        <v>7.5</v>
      </c>
      <c r="Z15">
        <v>1</v>
      </c>
      <c r="AA15">
        <v>2</v>
      </c>
      <c r="AB15">
        <v>178</v>
      </c>
      <c r="AD15" t="str">
        <f t="shared" si="4"/>
        <v>Larry Fitzgerald</v>
      </c>
      <c r="AE15" t="s">
        <v>1722</v>
      </c>
      <c r="AF15">
        <v>84</v>
      </c>
      <c r="AG15">
        <v>1096</v>
      </c>
      <c r="AH15">
        <v>13</v>
      </c>
      <c r="AI15">
        <v>10</v>
      </c>
      <c r="AJ15">
        <v>0</v>
      </c>
      <c r="AK15">
        <v>161</v>
      </c>
      <c r="AM15" t="str">
        <f t="shared" si="5"/>
        <v>Heath Miller</v>
      </c>
      <c r="AN15" t="s">
        <v>2409</v>
      </c>
      <c r="AO15">
        <v>61</v>
      </c>
      <c r="AP15">
        <v>699</v>
      </c>
      <c r="AQ15">
        <v>11.5</v>
      </c>
      <c r="AR15">
        <v>6</v>
      </c>
      <c r="AS15">
        <v>1</v>
      </c>
      <c r="AT15">
        <v>96</v>
      </c>
      <c r="AV15" t="str">
        <f t="shared" si="0"/>
        <v>Alex Henery</v>
      </c>
      <c r="AW15" t="s">
        <v>2599</v>
      </c>
      <c r="AX15">
        <v>25</v>
      </c>
      <c r="AY15">
        <v>30.5</v>
      </c>
      <c r="AZ15">
        <v>46</v>
      </c>
      <c r="BA15">
        <v>125</v>
      </c>
      <c r="BC15" t="str">
        <f t="shared" si="1"/>
        <v>Bengals</v>
      </c>
      <c r="BD15" t="s">
        <v>2737</v>
      </c>
      <c r="BE15">
        <v>17.5</v>
      </c>
      <c r="BF15">
        <v>11</v>
      </c>
      <c r="BG15">
        <v>14.5</v>
      </c>
      <c r="BH15">
        <v>38.5</v>
      </c>
      <c r="BI15">
        <v>4</v>
      </c>
      <c r="BJ15">
        <v>0.5</v>
      </c>
      <c r="BK15">
        <v>353.5</v>
      </c>
      <c r="BL15">
        <v>5039</v>
      </c>
      <c r="BM15">
        <v>152.5</v>
      </c>
    </row>
    <row r="16" spans="1:65" ht="12.75" customHeight="1">
      <c r="A16" t="str">
        <f t="shared" si="2"/>
        <v>Ben Roethlisberger</v>
      </c>
      <c r="B16" s="33" t="s">
        <v>2217</v>
      </c>
      <c r="C16" s="33">
        <v>608.5</v>
      </c>
      <c r="D16" s="33">
        <v>390.5</v>
      </c>
      <c r="E16" s="33">
        <v>4471</v>
      </c>
      <c r="F16" s="33">
        <v>30</v>
      </c>
      <c r="G16" s="33">
        <v>14.5</v>
      </c>
      <c r="H16" s="33">
        <v>64.2</v>
      </c>
      <c r="I16" s="33">
        <v>7.3</v>
      </c>
      <c r="J16" s="33">
        <v>29</v>
      </c>
      <c r="K16" s="33">
        <v>89.5</v>
      </c>
      <c r="L16" s="33">
        <v>3.1</v>
      </c>
      <c r="M16" s="33">
        <v>1</v>
      </c>
      <c r="N16" s="33">
        <v>3.5</v>
      </c>
      <c r="O16" s="33">
        <v>326</v>
      </c>
      <c r="P16" s="33"/>
      <c r="Q16" t="str">
        <f t="shared" si="3"/>
        <v>Doug Martin</v>
      </c>
      <c r="R16" s="33" t="s">
        <v>1525</v>
      </c>
      <c r="S16" s="33">
        <v>280.5</v>
      </c>
      <c r="T16" s="33">
        <v>1212.5</v>
      </c>
      <c r="U16" s="33">
        <v>4.3</v>
      </c>
      <c r="V16" s="33">
        <v>7.5</v>
      </c>
      <c r="W16">
        <v>31.5</v>
      </c>
      <c r="X16">
        <v>241</v>
      </c>
      <c r="Y16">
        <v>7.7</v>
      </c>
      <c r="Z16">
        <v>1</v>
      </c>
      <c r="AA16">
        <v>2</v>
      </c>
      <c r="AB16">
        <v>177</v>
      </c>
      <c r="AD16" t="str">
        <f t="shared" si="4"/>
        <v>Vincent Jackson</v>
      </c>
      <c r="AE16" t="s">
        <v>1712</v>
      </c>
      <c r="AF16">
        <v>73.5</v>
      </c>
      <c r="AG16">
        <v>1176.5</v>
      </c>
      <c r="AH16">
        <v>16</v>
      </c>
      <c r="AI16">
        <v>8</v>
      </c>
      <c r="AJ16">
        <v>0</v>
      </c>
      <c r="AK16">
        <v>158</v>
      </c>
      <c r="AM16" t="str">
        <f t="shared" si="5"/>
        <v>Ladarius Green</v>
      </c>
      <c r="AN16" t="s">
        <v>2393</v>
      </c>
      <c r="AO16">
        <v>47.5</v>
      </c>
      <c r="AP16">
        <v>703</v>
      </c>
      <c r="AQ16">
        <v>14.8</v>
      </c>
      <c r="AR16">
        <v>5.5</v>
      </c>
      <c r="AS16">
        <v>0</v>
      </c>
      <c r="AT16">
        <v>95</v>
      </c>
      <c r="AV16" t="str">
        <f t="shared" si="0"/>
        <v>Caleb Sturgis</v>
      </c>
      <c r="AW16" t="s">
        <v>2738</v>
      </c>
      <c r="AX16">
        <v>27.5</v>
      </c>
      <c r="AY16">
        <v>33</v>
      </c>
      <c r="AZ16">
        <v>34.5</v>
      </c>
      <c r="BA16">
        <v>123</v>
      </c>
      <c r="BC16" t="str">
        <f t="shared" si="1"/>
        <v>Steelers</v>
      </c>
      <c r="BD16" t="s">
        <v>2739</v>
      </c>
      <c r="BE16">
        <v>16.5</v>
      </c>
      <c r="BF16">
        <v>10</v>
      </c>
      <c r="BG16">
        <v>13.5</v>
      </c>
      <c r="BH16">
        <v>44</v>
      </c>
      <c r="BI16">
        <v>3.5</v>
      </c>
      <c r="BJ16">
        <v>1</v>
      </c>
      <c r="BK16">
        <v>360.5</v>
      </c>
      <c r="BL16">
        <v>5221</v>
      </c>
      <c r="BM16">
        <v>152</v>
      </c>
    </row>
    <row r="17" spans="1:65" ht="12.75" customHeight="1">
      <c r="A17" t="str">
        <f t="shared" si="2"/>
        <v>Cam Newton</v>
      </c>
      <c r="B17" s="33" t="s">
        <v>1646</v>
      </c>
      <c r="C17" s="33">
        <v>503</v>
      </c>
      <c r="D17" s="33">
        <v>303.5</v>
      </c>
      <c r="E17" s="33">
        <v>3785.5</v>
      </c>
      <c r="F17" s="33">
        <v>23</v>
      </c>
      <c r="G17" s="33">
        <v>15</v>
      </c>
      <c r="H17" s="33">
        <v>60.3</v>
      </c>
      <c r="I17" s="33">
        <v>7.5</v>
      </c>
      <c r="J17" s="33">
        <v>100</v>
      </c>
      <c r="K17" s="33">
        <v>521</v>
      </c>
      <c r="L17" s="33">
        <v>5.2</v>
      </c>
      <c r="M17" s="33">
        <v>5.5</v>
      </c>
      <c r="N17" s="33">
        <v>3</v>
      </c>
      <c r="O17" s="33">
        <v>322</v>
      </c>
      <c r="P17" s="33"/>
      <c r="Q17" t="str">
        <f t="shared" si="3"/>
        <v>Arian Foster</v>
      </c>
      <c r="R17" s="33" t="s">
        <v>1509</v>
      </c>
      <c r="S17" s="33">
        <v>260</v>
      </c>
      <c r="T17" s="33">
        <v>1136.5</v>
      </c>
      <c r="U17" s="33">
        <v>4.4000000000000004</v>
      </c>
      <c r="V17" s="33">
        <v>5.5</v>
      </c>
      <c r="W17">
        <v>42</v>
      </c>
      <c r="X17">
        <v>346.5</v>
      </c>
      <c r="Y17">
        <v>8.1999999999999993</v>
      </c>
      <c r="Z17">
        <v>2</v>
      </c>
      <c r="AA17">
        <v>2</v>
      </c>
      <c r="AB17">
        <v>175</v>
      </c>
      <c r="AD17" t="str">
        <f t="shared" si="4"/>
        <v>Andre Johnson</v>
      </c>
      <c r="AE17" t="s">
        <v>1695</v>
      </c>
      <c r="AF17">
        <v>94</v>
      </c>
      <c r="AG17">
        <v>1281.5</v>
      </c>
      <c r="AH17">
        <v>13.6</v>
      </c>
      <c r="AI17">
        <v>5.5</v>
      </c>
      <c r="AJ17">
        <v>0</v>
      </c>
      <c r="AK17">
        <v>154</v>
      </c>
      <c r="AM17" t="str">
        <f t="shared" si="5"/>
        <v>Martellus Bennett</v>
      </c>
      <c r="AN17" t="s">
        <v>2207</v>
      </c>
      <c r="AO17">
        <v>60.5</v>
      </c>
      <c r="AP17">
        <v>722.5</v>
      </c>
      <c r="AQ17">
        <v>11.9</v>
      </c>
      <c r="AR17">
        <v>5</v>
      </c>
      <c r="AS17">
        <v>0.5</v>
      </c>
      <c r="AT17">
        <v>94</v>
      </c>
      <c r="AV17" t="str">
        <f t="shared" si="0"/>
        <v>Greg Zuerlein</v>
      </c>
      <c r="AW17" t="s">
        <v>2685</v>
      </c>
      <c r="AX17">
        <v>25.5</v>
      </c>
      <c r="AY17">
        <v>31.5</v>
      </c>
      <c r="AZ17">
        <v>38</v>
      </c>
      <c r="BA17">
        <v>122.5</v>
      </c>
      <c r="BC17" t="str">
        <f t="shared" si="1"/>
        <v>Vikings</v>
      </c>
      <c r="BD17" t="s">
        <v>2740</v>
      </c>
      <c r="BE17">
        <v>13</v>
      </c>
      <c r="BF17">
        <v>12</v>
      </c>
      <c r="BG17">
        <v>15</v>
      </c>
      <c r="BH17">
        <v>42</v>
      </c>
      <c r="BI17">
        <v>4.5</v>
      </c>
      <c r="BJ17">
        <v>0.5</v>
      </c>
      <c r="BK17">
        <v>439.5</v>
      </c>
      <c r="BL17">
        <v>5946.5</v>
      </c>
      <c r="BM17">
        <v>152</v>
      </c>
    </row>
    <row r="18" spans="1:65" ht="12.75" customHeight="1">
      <c r="A18" t="str">
        <f t="shared" si="2"/>
        <v>Philip Rivers</v>
      </c>
      <c r="B18" s="33" t="s">
        <v>2134</v>
      </c>
      <c r="C18" s="33">
        <v>560.5</v>
      </c>
      <c r="D18" s="33">
        <v>377</v>
      </c>
      <c r="E18" s="33">
        <v>4566.5</v>
      </c>
      <c r="F18" s="33">
        <v>29.5</v>
      </c>
      <c r="G18" s="33">
        <v>14.5</v>
      </c>
      <c r="H18" s="33">
        <v>67.3</v>
      </c>
      <c r="I18" s="33">
        <v>8.1</v>
      </c>
      <c r="J18" s="33">
        <v>28.5</v>
      </c>
      <c r="K18" s="33">
        <v>56.5</v>
      </c>
      <c r="L18" s="33">
        <v>2</v>
      </c>
      <c r="M18" s="33">
        <v>0</v>
      </c>
      <c r="N18" s="33">
        <v>3.5</v>
      </c>
      <c r="O18" s="33">
        <v>318</v>
      </c>
      <c r="P18" s="33"/>
      <c r="Q18" t="str">
        <f t="shared" si="3"/>
        <v>Toby Gerhart</v>
      </c>
      <c r="R18" s="33" t="s">
        <v>1841</v>
      </c>
      <c r="S18" s="33">
        <v>287.5</v>
      </c>
      <c r="T18" s="33">
        <v>1188.5</v>
      </c>
      <c r="U18" s="33">
        <v>4.0999999999999996</v>
      </c>
      <c r="V18" s="33">
        <v>6.5</v>
      </c>
      <c r="W18">
        <v>35</v>
      </c>
      <c r="X18">
        <v>242</v>
      </c>
      <c r="Y18">
        <v>6.9</v>
      </c>
      <c r="Z18">
        <v>1</v>
      </c>
      <c r="AA18">
        <v>1.5</v>
      </c>
      <c r="AB18">
        <v>170</v>
      </c>
      <c r="AD18" t="str">
        <f t="shared" si="4"/>
        <v>Pierre Garcon</v>
      </c>
      <c r="AE18" t="s">
        <v>1737</v>
      </c>
      <c r="AF18">
        <v>86.5</v>
      </c>
      <c r="AG18">
        <v>1229.5</v>
      </c>
      <c r="AH18">
        <v>14.2</v>
      </c>
      <c r="AI18">
        <v>6.5</v>
      </c>
      <c r="AJ18">
        <v>0.5</v>
      </c>
      <c r="AK18">
        <v>153</v>
      </c>
      <c r="AM18" t="str">
        <f t="shared" si="5"/>
        <v>Antonio Gates</v>
      </c>
      <c r="AN18" t="s">
        <v>2322</v>
      </c>
      <c r="AO18">
        <v>65.5</v>
      </c>
      <c r="AP18">
        <v>732.5</v>
      </c>
      <c r="AQ18">
        <v>11.2</v>
      </c>
      <c r="AR18">
        <v>4.5</v>
      </c>
      <c r="AS18">
        <v>0.5</v>
      </c>
      <c r="AT18">
        <v>91</v>
      </c>
      <c r="AV18" t="str">
        <f t="shared" si="0"/>
        <v>Sebastian Janikowski</v>
      </c>
      <c r="AW18" t="s">
        <v>2741</v>
      </c>
      <c r="AX18">
        <v>25.5</v>
      </c>
      <c r="AY18">
        <v>30.5</v>
      </c>
      <c r="AZ18">
        <v>36</v>
      </c>
      <c r="BA18">
        <v>120.5</v>
      </c>
      <c r="BC18" t="str">
        <f t="shared" si="1"/>
        <v>Ravens</v>
      </c>
      <c r="BD18" t="s">
        <v>2742</v>
      </c>
      <c r="BE18">
        <v>16</v>
      </c>
      <c r="BF18">
        <v>10.5</v>
      </c>
      <c r="BG18">
        <v>14.5</v>
      </c>
      <c r="BH18">
        <v>41.5</v>
      </c>
      <c r="BI18">
        <v>4</v>
      </c>
      <c r="BJ18">
        <v>0.5</v>
      </c>
      <c r="BK18">
        <v>365</v>
      </c>
      <c r="BL18">
        <v>5200</v>
      </c>
      <c r="BM18">
        <v>151.5</v>
      </c>
    </row>
    <row r="19" spans="1:65" ht="12.75" customHeight="1">
      <c r="A19" t="str">
        <f t="shared" si="2"/>
        <v>Carson Palmer</v>
      </c>
      <c r="B19" s="33" t="s">
        <v>2330</v>
      </c>
      <c r="C19" s="33">
        <v>566.5</v>
      </c>
      <c r="D19" s="33">
        <v>357</v>
      </c>
      <c r="E19" s="33">
        <v>4461.5</v>
      </c>
      <c r="F19" s="33">
        <v>32</v>
      </c>
      <c r="G19" s="33">
        <v>22</v>
      </c>
      <c r="H19" s="33">
        <v>63</v>
      </c>
      <c r="I19" s="33">
        <v>7.9</v>
      </c>
      <c r="J19" s="33">
        <v>22.5</v>
      </c>
      <c r="K19" s="33">
        <v>8</v>
      </c>
      <c r="L19" s="33">
        <v>0.4</v>
      </c>
      <c r="M19" s="33">
        <v>0</v>
      </c>
      <c r="N19" s="33">
        <v>3.5</v>
      </c>
      <c r="O19" s="33">
        <v>313</v>
      </c>
      <c r="P19" s="33"/>
      <c r="Q19" t="str">
        <f t="shared" si="3"/>
        <v>Andre Ellington</v>
      </c>
      <c r="R19" s="33" t="s">
        <v>1714</v>
      </c>
      <c r="S19" s="33">
        <v>199</v>
      </c>
      <c r="T19" s="33">
        <v>985</v>
      </c>
      <c r="U19" s="33">
        <v>4.9000000000000004</v>
      </c>
      <c r="V19" s="33">
        <v>4.5</v>
      </c>
      <c r="W19">
        <v>54.5</v>
      </c>
      <c r="X19">
        <v>485</v>
      </c>
      <c r="Y19">
        <v>8.9</v>
      </c>
      <c r="Z19">
        <v>2</v>
      </c>
      <c r="AA19">
        <v>1.5</v>
      </c>
      <c r="AB19">
        <v>168</v>
      </c>
      <c r="AD19" t="str">
        <f t="shared" si="4"/>
        <v>Keenan Allen</v>
      </c>
      <c r="AE19" t="s">
        <v>1756</v>
      </c>
      <c r="AF19">
        <v>69.5</v>
      </c>
      <c r="AG19">
        <v>1071</v>
      </c>
      <c r="AH19">
        <v>15.4</v>
      </c>
      <c r="AI19">
        <v>8.5</v>
      </c>
      <c r="AJ19">
        <v>1</v>
      </c>
      <c r="AK19">
        <v>147</v>
      </c>
      <c r="AM19" t="str">
        <f t="shared" si="5"/>
        <v>Charles Clay</v>
      </c>
      <c r="AN19" t="s">
        <v>2260</v>
      </c>
      <c r="AO19">
        <v>52.5</v>
      </c>
      <c r="AP19">
        <v>634.5</v>
      </c>
      <c r="AQ19">
        <v>12.1</v>
      </c>
      <c r="AR19">
        <v>5</v>
      </c>
      <c r="AS19">
        <v>1</v>
      </c>
      <c r="AT19">
        <v>87</v>
      </c>
      <c r="AV19" t="str">
        <f t="shared" si="0"/>
        <v>Dan Carpenter</v>
      </c>
      <c r="AW19" t="s">
        <v>2743</v>
      </c>
      <c r="AX19">
        <v>26</v>
      </c>
      <c r="AY19">
        <v>30.5</v>
      </c>
      <c r="AZ19">
        <v>36</v>
      </c>
      <c r="BA19">
        <v>118</v>
      </c>
      <c r="BC19" t="str">
        <f t="shared" si="1"/>
        <v>Browns</v>
      </c>
      <c r="BD19" t="s">
        <v>2744</v>
      </c>
      <c r="BE19">
        <v>18</v>
      </c>
      <c r="BF19">
        <v>9.5</v>
      </c>
      <c r="BG19">
        <v>12.5</v>
      </c>
      <c r="BH19">
        <v>42</v>
      </c>
      <c r="BI19">
        <v>3.5</v>
      </c>
      <c r="BJ19">
        <v>0.5</v>
      </c>
      <c r="BK19">
        <v>379.5</v>
      </c>
      <c r="BL19">
        <v>5324</v>
      </c>
      <c r="BM19">
        <v>151</v>
      </c>
    </row>
    <row r="20" spans="1:65" ht="12.75" customHeight="1">
      <c r="A20" t="str">
        <f t="shared" si="2"/>
        <v>Russell Wilson</v>
      </c>
      <c r="B20" s="33" t="s">
        <v>1926</v>
      </c>
      <c r="C20" s="33">
        <v>452</v>
      </c>
      <c r="D20" s="33">
        <v>284.5</v>
      </c>
      <c r="E20" s="33">
        <v>3683</v>
      </c>
      <c r="F20" s="33">
        <v>25.5</v>
      </c>
      <c r="G20" s="33">
        <v>13</v>
      </c>
      <c r="H20" s="33">
        <v>62.9</v>
      </c>
      <c r="I20" s="33">
        <v>8.1</v>
      </c>
      <c r="J20" s="33">
        <v>88</v>
      </c>
      <c r="K20" s="33">
        <v>430.5</v>
      </c>
      <c r="L20" s="33">
        <v>4.9000000000000004</v>
      </c>
      <c r="M20" s="33">
        <v>2.5</v>
      </c>
      <c r="N20" s="33">
        <v>3.5</v>
      </c>
      <c r="O20" s="33">
        <v>310</v>
      </c>
      <c r="P20" s="33"/>
      <c r="Q20" t="str">
        <f t="shared" si="3"/>
        <v>Bishop Sankey</v>
      </c>
      <c r="R20" s="33" t="s">
        <v>1959</v>
      </c>
      <c r="S20" s="33">
        <v>265</v>
      </c>
      <c r="T20" s="33">
        <v>1173</v>
      </c>
      <c r="U20" s="33">
        <v>4.4000000000000004</v>
      </c>
      <c r="V20" s="33">
        <v>5.5</v>
      </c>
      <c r="W20">
        <v>31</v>
      </c>
      <c r="X20">
        <v>248.5</v>
      </c>
      <c r="Y20">
        <v>8</v>
      </c>
      <c r="Z20">
        <v>1</v>
      </c>
      <c r="AA20">
        <v>1.5</v>
      </c>
      <c r="AB20">
        <v>163</v>
      </c>
      <c r="AD20" t="str">
        <f t="shared" si="4"/>
        <v>Cordarrelle Patterson</v>
      </c>
      <c r="AE20" t="s">
        <v>1896</v>
      </c>
      <c r="AF20">
        <v>64.5</v>
      </c>
      <c r="AG20">
        <v>947</v>
      </c>
      <c r="AH20">
        <v>14.7</v>
      </c>
      <c r="AI20">
        <v>6.5</v>
      </c>
      <c r="AJ20">
        <v>0</v>
      </c>
      <c r="AK20">
        <v>146</v>
      </c>
      <c r="AM20" t="str">
        <f t="shared" si="5"/>
        <v>Delanie Walker</v>
      </c>
      <c r="AN20" t="s">
        <v>2241</v>
      </c>
      <c r="AO20">
        <v>58</v>
      </c>
      <c r="AP20">
        <v>605.5</v>
      </c>
      <c r="AQ20">
        <v>10.4</v>
      </c>
      <c r="AR20">
        <v>6</v>
      </c>
      <c r="AS20">
        <v>0.5</v>
      </c>
      <c r="AT20">
        <v>87</v>
      </c>
      <c r="AV20" t="str">
        <f t="shared" si="0"/>
        <v>Jay Feely</v>
      </c>
      <c r="AW20" t="s">
        <v>2745</v>
      </c>
      <c r="AX20">
        <v>26.5</v>
      </c>
      <c r="AY20">
        <v>33</v>
      </c>
      <c r="AZ20">
        <v>34</v>
      </c>
      <c r="BA20">
        <v>117.5</v>
      </c>
      <c r="BC20" t="str">
        <f t="shared" si="1"/>
        <v>Dolphins</v>
      </c>
      <c r="BD20" t="s">
        <v>2746</v>
      </c>
      <c r="BE20">
        <v>17.5</v>
      </c>
      <c r="BF20">
        <v>8</v>
      </c>
      <c r="BG20">
        <v>11</v>
      </c>
      <c r="BH20">
        <v>41</v>
      </c>
      <c r="BI20">
        <v>4</v>
      </c>
      <c r="BJ20">
        <v>0.5</v>
      </c>
      <c r="BK20">
        <v>355.5</v>
      </c>
      <c r="BL20">
        <v>5660</v>
      </c>
      <c r="BM20">
        <v>149</v>
      </c>
    </row>
    <row r="21" spans="1:65" ht="12.75" customHeight="1">
      <c r="A21" t="str">
        <f t="shared" si="2"/>
        <v>Andy Dalton</v>
      </c>
      <c r="B21" s="33" t="s">
        <v>2245</v>
      </c>
      <c r="C21" s="33">
        <v>538.5</v>
      </c>
      <c r="D21" s="33">
        <v>335</v>
      </c>
      <c r="E21" s="33">
        <v>3913.5</v>
      </c>
      <c r="F21" s="33">
        <v>29</v>
      </c>
      <c r="G21" s="33">
        <v>15.5</v>
      </c>
      <c r="H21" s="33">
        <v>62.2</v>
      </c>
      <c r="I21" s="33">
        <v>7.3</v>
      </c>
      <c r="J21" s="33">
        <v>50.5</v>
      </c>
      <c r="K21" s="33">
        <v>147</v>
      </c>
      <c r="L21" s="33">
        <v>2.9</v>
      </c>
      <c r="M21" s="33">
        <v>1.5</v>
      </c>
      <c r="N21" s="33">
        <v>3</v>
      </c>
      <c r="O21" s="33">
        <v>300</v>
      </c>
      <c r="P21" s="33"/>
      <c r="Q21" t="str">
        <f t="shared" si="3"/>
        <v>Ryan Mathews</v>
      </c>
      <c r="R21" s="33" t="s">
        <v>1747</v>
      </c>
      <c r="S21" s="33">
        <v>263</v>
      </c>
      <c r="T21" s="33">
        <v>1126.5</v>
      </c>
      <c r="U21" s="33">
        <v>4.3</v>
      </c>
      <c r="V21" s="33">
        <v>7</v>
      </c>
      <c r="W21">
        <v>24</v>
      </c>
      <c r="X21">
        <v>162</v>
      </c>
      <c r="Y21">
        <v>6.8</v>
      </c>
      <c r="Z21">
        <v>1</v>
      </c>
      <c r="AA21">
        <v>1.5</v>
      </c>
      <c r="AB21">
        <v>159</v>
      </c>
      <c r="AD21" t="str">
        <f t="shared" si="4"/>
        <v>Michael Floyd</v>
      </c>
      <c r="AE21" t="s">
        <v>1884</v>
      </c>
      <c r="AF21">
        <v>79</v>
      </c>
      <c r="AG21">
        <v>1108</v>
      </c>
      <c r="AH21">
        <v>14</v>
      </c>
      <c r="AI21">
        <v>7</v>
      </c>
      <c r="AJ21">
        <v>0</v>
      </c>
      <c r="AK21">
        <v>145</v>
      </c>
      <c r="AM21" t="str">
        <f t="shared" si="5"/>
        <v>Eric Ebron</v>
      </c>
      <c r="AN21" t="s">
        <v>2433</v>
      </c>
      <c r="AO21">
        <v>42.5</v>
      </c>
      <c r="AP21">
        <v>573.5</v>
      </c>
      <c r="AQ21">
        <v>13.5</v>
      </c>
      <c r="AR21">
        <v>5.5</v>
      </c>
      <c r="AS21">
        <v>0</v>
      </c>
      <c r="AT21">
        <v>82</v>
      </c>
      <c r="AV21" t="str">
        <f t="shared" si="0"/>
        <v>Blair Walsh</v>
      </c>
      <c r="AW21" t="s">
        <v>2377</v>
      </c>
      <c r="AX21">
        <v>25.5</v>
      </c>
      <c r="AY21">
        <v>31.5</v>
      </c>
      <c r="AZ21">
        <v>36</v>
      </c>
      <c r="BA21">
        <v>116.5</v>
      </c>
      <c r="BC21" t="str">
        <f t="shared" si="1"/>
        <v>Saints</v>
      </c>
      <c r="BD21" t="s">
        <v>2747</v>
      </c>
      <c r="BE21">
        <v>17</v>
      </c>
      <c r="BF21">
        <v>9.5</v>
      </c>
      <c r="BG21">
        <v>15</v>
      </c>
      <c r="BH21">
        <v>42</v>
      </c>
      <c r="BI21">
        <v>3.5</v>
      </c>
      <c r="BJ21">
        <v>0.5</v>
      </c>
      <c r="BK21">
        <v>356</v>
      </c>
      <c r="BL21">
        <v>5537.5</v>
      </c>
      <c r="BM21">
        <v>149</v>
      </c>
    </row>
    <row r="22" spans="1:65" ht="12.75" customHeight="1">
      <c r="A22" t="str">
        <f t="shared" si="2"/>
        <v>Sam Bradford</v>
      </c>
      <c r="B22" s="33" t="s">
        <v>2559</v>
      </c>
      <c r="C22" s="33">
        <v>564</v>
      </c>
      <c r="D22" s="33">
        <v>344.5</v>
      </c>
      <c r="E22" s="33">
        <v>3873.5</v>
      </c>
      <c r="F22" s="33">
        <v>28</v>
      </c>
      <c r="G22" s="33">
        <v>12.5</v>
      </c>
      <c r="H22" s="33">
        <v>61.1</v>
      </c>
      <c r="I22" s="33">
        <v>6.9</v>
      </c>
      <c r="J22" s="33">
        <v>31</v>
      </c>
      <c r="K22" s="33">
        <v>106</v>
      </c>
      <c r="L22" s="33">
        <v>3.4</v>
      </c>
      <c r="M22" s="33">
        <v>1</v>
      </c>
      <c r="N22" s="33">
        <v>2.5</v>
      </c>
      <c r="O22" s="33">
        <v>294</v>
      </c>
      <c r="P22" s="33"/>
      <c r="Q22" t="str">
        <f t="shared" si="3"/>
        <v>Shane Vereen</v>
      </c>
      <c r="R22" s="33" t="s">
        <v>1815</v>
      </c>
      <c r="S22" s="33">
        <v>140.5</v>
      </c>
      <c r="T22" s="33">
        <v>642</v>
      </c>
      <c r="U22" s="33">
        <v>4.5999999999999996</v>
      </c>
      <c r="V22" s="33">
        <v>3</v>
      </c>
      <c r="W22">
        <v>64.5</v>
      </c>
      <c r="X22">
        <v>598</v>
      </c>
      <c r="Y22">
        <v>9.3000000000000007</v>
      </c>
      <c r="Z22">
        <v>5</v>
      </c>
      <c r="AA22">
        <v>1</v>
      </c>
      <c r="AB22">
        <v>155</v>
      </c>
      <c r="AD22" t="str">
        <f t="shared" si="4"/>
        <v>Roddy White</v>
      </c>
      <c r="AE22" t="s">
        <v>1783</v>
      </c>
      <c r="AF22">
        <v>86</v>
      </c>
      <c r="AG22">
        <v>1088.5</v>
      </c>
      <c r="AH22">
        <v>12.7</v>
      </c>
      <c r="AI22">
        <v>7.5</v>
      </c>
      <c r="AJ22">
        <v>0.5</v>
      </c>
      <c r="AK22">
        <v>145</v>
      </c>
      <c r="AM22" t="str">
        <f t="shared" si="5"/>
        <v>Dwayne Allen</v>
      </c>
      <c r="AN22" t="s">
        <v>2463</v>
      </c>
      <c r="AO22">
        <v>46</v>
      </c>
      <c r="AP22">
        <v>575</v>
      </c>
      <c r="AQ22">
        <v>12.5</v>
      </c>
      <c r="AR22">
        <v>5.5</v>
      </c>
      <c r="AS22">
        <v>0</v>
      </c>
      <c r="AT22">
        <v>82</v>
      </c>
      <c r="AV22" t="str">
        <f t="shared" si="0"/>
        <v>Shaun Suisham</v>
      </c>
      <c r="AW22" t="s">
        <v>2677</v>
      </c>
      <c r="AX22">
        <v>25</v>
      </c>
      <c r="AY22">
        <v>29</v>
      </c>
      <c r="AZ22">
        <v>39.5</v>
      </c>
      <c r="BA22">
        <v>116.5</v>
      </c>
      <c r="BC22" t="str">
        <f t="shared" si="1"/>
        <v>Texans</v>
      </c>
      <c r="BD22" t="s">
        <v>2748</v>
      </c>
      <c r="BE22">
        <v>15</v>
      </c>
      <c r="BF22">
        <v>10</v>
      </c>
      <c r="BG22">
        <v>14.5</v>
      </c>
      <c r="BH22">
        <v>42</v>
      </c>
      <c r="BI22">
        <v>3.5</v>
      </c>
      <c r="BJ22">
        <v>1.5</v>
      </c>
      <c r="BK22">
        <v>358.5</v>
      </c>
      <c r="BL22">
        <v>5011.5</v>
      </c>
      <c r="BM22">
        <v>148</v>
      </c>
    </row>
    <row r="23" spans="1:65" ht="12.75" customHeight="1">
      <c r="A23" t="str">
        <f t="shared" si="2"/>
        <v>Ryan Tannehill</v>
      </c>
      <c r="B23" s="33" t="s">
        <v>2435</v>
      </c>
      <c r="C23" s="33">
        <v>598.5</v>
      </c>
      <c r="D23" s="33">
        <v>366.5</v>
      </c>
      <c r="E23" s="33">
        <v>4303</v>
      </c>
      <c r="F23" s="33">
        <v>23.5</v>
      </c>
      <c r="G23" s="33">
        <v>16.5</v>
      </c>
      <c r="H23" s="33">
        <v>61.2</v>
      </c>
      <c r="I23" s="33">
        <v>7.2</v>
      </c>
      <c r="J23" s="33">
        <v>50.5</v>
      </c>
      <c r="K23" s="33">
        <v>252.5</v>
      </c>
      <c r="L23" s="33">
        <v>5</v>
      </c>
      <c r="M23" s="33">
        <v>1.5</v>
      </c>
      <c r="N23" s="33">
        <v>3.5</v>
      </c>
      <c r="O23" s="33">
        <v>289</v>
      </c>
      <c r="P23" s="33"/>
      <c r="Q23" t="str">
        <f t="shared" si="3"/>
        <v>Joique Bell</v>
      </c>
      <c r="R23" s="33" t="s">
        <v>1879</v>
      </c>
      <c r="S23" s="33">
        <v>202.5</v>
      </c>
      <c r="T23" s="33">
        <v>889.5</v>
      </c>
      <c r="U23" s="33">
        <v>4.4000000000000004</v>
      </c>
      <c r="V23" s="33">
        <v>7.5</v>
      </c>
      <c r="W23">
        <v>44</v>
      </c>
      <c r="X23">
        <v>351.5</v>
      </c>
      <c r="Y23">
        <v>8</v>
      </c>
      <c r="Z23">
        <v>1</v>
      </c>
      <c r="AA23">
        <v>2.5</v>
      </c>
      <c r="AB23">
        <v>154</v>
      </c>
      <c r="AD23" t="str">
        <f t="shared" si="4"/>
        <v>Wes Welker</v>
      </c>
      <c r="AE23" t="s">
        <v>1806</v>
      </c>
      <c r="AF23">
        <v>81</v>
      </c>
      <c r="AG23">
        <v>975.5</v>
      </c>
      <c r="AH23">
        <v>12</v>
      </c>
      <c r="AI23">
        <v>9</v>
      </c>
      <c r="AJ23">
        <v>1</v>
      </c>
      <c r="AK23">
        <v>141</v>
      </c>
      <c r="AM23" t="str">
        <f t="shared" si="5"/>
        <v>Jared Cook</v>
      </c>
      <c r="AN23" t="s">
        <v>2449</v>
      </c>
      <c r="AO23">
        <v>47.5</v>
      </c>
      <c r="AP23">
        <v>576.5</v>
      </c>
      <c r="AQ23">
        <v>12.1</v>
      </c>
      <c r="AR23">
        <v>5</v>
      </c>
      <c r="AS23">
        <v>1</v>
      </c>
      <c r="AT23">
        <v>78</v>
      </c>
      <c r="AV23" t="str">
        <f t="shared" si="0"/>
        <v>Ryan Succop</v>
      </c>
      <c r="AW23" t="s">
        <v>2613</v>
      </c>
      <c r="AX23">
        <v>24.5</v>
      </c>
      <c r="AY23">
        <v>30</v>
      </c>
      <c r="AZ23">
        <v>39</v>
      </c>
      <c r="BA23">
        <v>114.5</v>
      </c>
      <c r="BC23" t="str">
        <f t="shared" si="1"/>
        <v>Eagles</v>
      </c>
      <c r="BD23" t="s">
        <v>2749</v>
      </c>
      <c r="BE23">
        <v>17</v>
      </c>
      <c r="BF23">
        <v>9</v>
      </c>
      <c r="BG23">
        <v>12.5</v>
      </c>
      <c r="BH23">
        <v>36.5</v>
      </c>
      <c r="BI23">
        <v>3.5</v>
      </c>
      <c r="BJ23">
        <v>1</v>
      </c>
      <c r="BK23">
        <v>385</v>
      </c>
      <c r="BL23">
        <v>5664</v>
      </c>
      <c r="BM23">
        <v>143.5</v>
      </c>
    </row>
    <row r="24" spans="1:65" ht="12.75" customHeight="1">
      <c r="A24" t="str">
        <f t="shared" si="2"/>
        <v>Alex Smith</v>
      </c>
      <c r="B24" s="33" t="s">
        <v>2451</v>
      </c>
      <c r="C24" s="33">
        <v>540.5</v>
      </c>
      <c r="D24" s="33">
        <v>326.5</v>
      </c>
      <c r="E24" s="33">
        <v>3659</v>
      </c>
      <c r="F24" s="33">
        <v>23.5</v>
      </c>
      <c r="G24" s="33">
        <v>10</v>
      </c>
      <c r="H24" s="33">
        <v>60.4</v>
      </c>
      <c r="I24" s="33">
        <v>6.8</v>
      </c>
      <c r="J24" s="33">
        <v>60.5</v>
      </c>
      <c r="K24" s="33">
        <v>284.5</v>
      </c>
      <c r="L24" s="33">
        <v>4.7</v>
      </c>
      <c r="M24" s="33">
        <v>1.5</v>
      </c>
      <c r="N24" s="33">
        <v>3</v>
      </c>
      <c r="O24" s="33">
        <v>284</v>
      </c>
      <c r="P24" s="33"/>
      <c r="Q24" t="str">
        <f t="shared" si="3"/>
        <v>Reggie Bush</v>
      </c>
      <c r="R24" s="33" t="s">
        <v>1611</v>
      </c>
      <c r="S24" s="33">
        <v>193.5</v>
      </c>
      <c r="T24" s="33">
        <v>910.5</v>
      </c>
      <c r="U24" s="33">
        <v>4.7</v>
      </c>
      <c r="V24" s="33">
        <v>3.5</v>
      </c>
      <c r="W24">
        <v>47</v>
      </c>
      <c r="X24">
        <v>425</v>
      </c>
      <c r="Y24">
        <v>9</v>
      </c>
      <c r="Z24">
        <v>3</v>
      </c>
      <c r="AA24">
        <v>2.5</v>
      </c>
      <c r="AB24">
        <v>150</v>
      </c>
      <c r="AD24" t="str">
        <f t="shared" si="4"/>
        <v>Victor Cruz</v>
      </c>
      <c r="AE24" t="s">
        <v>1776</v>
      </c>
      <c r="AF24">
        <v>82</v>
      </c>
      <c r="AG24">
        <v>1077</v>
      </c>
      <c r="AH24">
        <v>13.1</v>
      </c>
      <c r="AI24">
        <v>7</v>
      </c>
      <c r="AJ24">
        <v>1</v>
      </c>
      <c r="AK24">
        <v>140</v>
      </c>
      <c r="AM24" t="str">
        <f t="shared" si="5"/>
        <v>Garrett Graham</v>
      </c>
      <c r="AN24" t="s">
        <v>2541</v>
      </c>
      <c r="AO24">
        <v>47.5</v>
      </c>
      <c r="AP24">
        <v>544.5</v>
      </c>
      <c r="AQ24">
        <v>11.5</v>
      </c>
      <c r="AR24">
        <v>4.5</v>
      </c>
      <c r="AS24">
        <v>0</v>
      </c>
      <c r="AT24">
        <v>74</v>
      </c>
      <c r="AV24" t="str">
        <f t="shared" si="0"/>
        <v>Graham Gano</v>
      </c>
      <c r="AW24" t="s">
        <v>2625</v>
      </c>
      <c r="AX24">
        <v>24.5</v>
      </c>
      <c r="AY24">
        <v>28.5</v>
      </c>
      <c r="AZ24">
        <v>35</v>
      </c>
      <c r="BA24">
        <v>114.5</v>
      </c>
      <c r="BC24" t="str">
        <f t="shared" si="1"/>
        <v>Chargers</v>
      </c>
      <c r="BD24" t="s">
        <v>2750</v>
      </c>
      <c r="BE24">
        <v>15</v>
      </c>
      <c r="BF24">
        <v>8.5</v>
      </c>
      <c r="BG24">
        <v>12</v>
      </c>
      <c r="BH24">
        <v>36</v>
      </c>
      <c r="BI24">
        <v>3.5</v>
      </c>
      <c r="BJ24">
        <v>0.5</v>
      </c>
      <c r="BK24">
        <v>358</v>
      </c>
      <c r="BL24">
        <v>5645.5</v>
      </c>
      <c r="BM24">
        <v>137</v>
      </c>
    </row>
    <row r="25" spans="1:65" ht="12.75" customHeight="1">
      <c r="A25" t="str">
        <f t="shared" si="2"/>
        <v>Joe Flacco</v>
      </c>
      <c r="B25" s="33" t="s">
        <v>2427</v>
      </c>
      <c r="C25" s="33">
        <v>564</v>
      </c>
      <c r="D25" s="33">
        <v>343.5</v>
      </c>
      <c r="E25" s="33">
        <v>4023.5</v>
      </c>
      <c r="F25" s="33">
        <v>25.5</v>
      </c>
      <c r="G25" s="33">
        <v>16.5</v>
      </c>
      <c r="H25" s="33">
        <v>60.9</v>
      </c>
      <c r="I25" s="33">
        <v>7.1</v>
      </c>
      <c r="J25" s="33">
        <v>31</v>
      </c>
      <c r="K25" s="33">
        <v>87.5</v>
      </c>
      <c r="L25" s="33">
        <v>2.8</v>
      </c>
      <c r="M25" s="33">
        <v>0.5</v>
      </c>
      <c r="N25" s="33">
        <v>3</v>
      </c>
      <c r="O25" s="33">
        <v>275</v>
      </c>
      <c r="P25" s="33"/>
      <c r="Q25" t="str">
        <f t="shared" si="3"/>
        <v>C.J. Spiller</v>
      </c>
      <c r="R25" s="33" t="s">
        <v>1772</v>
      </c>
      <c r="S25" s="33">
        <v>214.5</v>
      </c>
      <c r="T25" s="33">
        <v>1057.5</v>
      </c>
      <c r="U25" s="33">
        <v>4.9000000000000004</v>
      </c>
      <c r="V25" s="33">
        <v>4.5</v>
      </c>
      <c r="W25">
        <v>38</v>
      </c>
      <c r="X25">
        <v>280.5</v>
      </c>
      <c r="Y25">
        <v>7.4</v>
      </c>
      <c r="Z25">
        <v>1.5</v>
      </c>
      <c r="AA25">
        <v>2.5</v>
      </c>
      <c r="AB25">
        <v>149</v>
      </c>
      <c r="AD25" t="str">
        <f t="shared" si="4"/>
        <v>Emmanuel Sanders</v>
      </c>
      <c r="AE25" t="s">
        <v>1967</v>
      </c>
      <c r="AF25">
        <v>71.5</v>
      </c>
      <c r="AG25">
        <v>1052</v>
      </c>
      <c r="AH25">
        <v>14.7</v>
      </c>
      <c r="AI25">
        <v>7</v>
      </c>
      <c r="AJ25">
        <v>0.5</v>
      </c>
      <c r="AK25">
        <v>138</v>
      </c>
      <c r="AM25" t="str">
        <f t="shared" si="5"/>
        <v>Marcedes Lewis</v>
      </c>
      <c r="AN25" t="s">
        <v>2577</v>
      </c>
      <c r="AO25">
        <v>40.5</v>
      </c>
      <c r="AP25">
        <v>490</v>
      </c>
      <c r="AQ25">
        <v>12.1</v>
      </c>
      <c r="AR25">
        <v>5</v>
      </c>
      <c r="AS25">
        <v>0</v>
      </c>
      <c r="AT25">
        <v>71</v>
      </c>
      <c r="AV25" t="str">
        <f t="shared" si="0"/>
        <v>Nick Folk</v>
      </c>
      <c r="AW25" t="s">
        <v>2471</v>
      </c>
      <c r="AX25">
        <v>25</v>
      </c>
      <c r="AY25">
        <v>31.5</v>
      </c>
      <c r="AZ25">
        <v>33.5</v>
      </c>
      <c r="BA25">
        <v>112.5</v>
      </c>
      <c r="BC25" t="str">
        <f t="shared" si="1"/>
        <v>Giants</v>
      </c>
      <c r="BD25" t="s">
        <v>2751</v>
      </c>
      <c r="BE25">
        <v>17.5</v>
      </c>
      <c r="BF25">
        <v>8.5</v>
      </c>
      <c r="BG25">
        <v>14.5</v>
      </c>
      <c r="BH25">
        <v>38</v>
      </c>
      <c r="BI25">
        <v>2.5</v>
      </c>
      <c r="BJ25">
        <v>0</v>
      </c>
      <c r="BK25">
        <v>376</v>
      </c>
      <c r="BL25">
        <v>5588</v>
      </c>
      <c r="BM25">
        <v>137</v>
      </c>
    </row>
    <row r="26" spans="1:65" ht="12.75" customHeight="1">
      <c r="A26" t="str">
        <f t="shared" si="2"/>
        <v>Eli Manning</v>
      </c>
      <c r="B26" s="33" t="s">
        <v>2286</v>
      </c>
      <c r="C26" s="33">
        <v>521.5</v>
      </c>
      <c r="D26" s="33">
        <v>331</v>
      </c>
      <c r="E26" s="33">
        <v>3951.5</v>
      </c>
      <c r="F26" s="33">
        <v>26</v>
      </c>
      <c r="G26" s="33">
        <v>15</v>
      </c>
      <c r="H26" s="33">
        <v>63.5</v>
      </c>
      <c r="I26" s="33">
        <v>7.6</v>
      </c>
      <c r="J26" s="33">
        <v>24</v>
      </c>
      <c r="K26" s="33">
        <v>23</v>
      </c>
      <c r="L26" s="33">
        <v>1</v>
      </c>
      <c r="M26" s="33">
        <v>0</v>
      </c>
      <c r="N26" s="33">
        <v>2</v>
      </c>
      <c r="O26" s="33">
        <v>271</v>
      </c>
      <c r="P26" s="33"/>
      <c r="Q26" t="str">
        <f t="shared" si="3"/>
        <v>Ray Rice</v>
      </c>
      <c r="R26" s="33" t="s">
        <v>1764</v>
      </c>
      <c r="S26" s="33">
        <v>188.5</v>
      </c>
      <c r="T26" s="33">
        <v>857</v>
      </c>
      <c r="U26" s="33">
        <v>4.5</v>
      </c>
      <c r="V26" s="33">
        <v>5.5</v>
      </c>
      <c r="W26">
        <v>43.5</v>
      </c>
      <c r="X26">
        <v>371</v>
      </c>
      <c r="Y26">
        <v>8.5</v>
      </c>
      <c r="Z26">
        <v>1.5</v>
      </c>
      <c r="AA26">
        <v>2</v>
      </c>
      <c r="AB26">
        <v>146</v>
      </c>
      <c r="AD26" t="str">
        <f t="shared" si="4"/>
        <v>Golden Tate</v>
      </c>
      <c r="AE26" t="s">
        <v>1913</v>
      </c>
      <c r="AF26">
        <v>70.5</v>
      </c>
      <c r="AG26">
        <v>1015.5</v>
      </c>
      <c r="AH26">
        <v>14.4</v>
      </c>
      <c r="AI26">
        <v>7</v>
      </c>
      <c r="AJ26">
        <v>1</v>
      </c>
      <c r="AK26">
        <v>135</v>
      </c>
      <c r="AM26" t="str">
        <f t="shared" si="5"/>
        <v>Jace Amaro</v>
      </c>
      <c r="AN26" t="s">
        <v>2520</v>
      </c>
      <c r="AO26">
        <v>37</v>
      </c>
      <c r="AP26">
        <v>538</v>
      </c>
      <c r="AQ26">
        <v>14.5</v>
      </c>
      <c r="AR26">
        <v>4</v>
      </c>
      <c r="AS26">
        <v>0</v>
      </c>
      <c r="AT26">
        <v>70</v>
      </c>
      <c r="AV26" t="str">
        <f t="shared" si="0"/>
        <v>Josh Brown</v>
      </c>
      <c r="AW26" t="s">
        <v>2752</v>
      </c>
      <c r="AX26">
        <v>25</v>
      </c>
      <c r="AY26">
        <v>30</v>
      </c>
      <c r="AZ26">
        <v>33.5</v>
      </c>
      <c r="BA26">
        <v>112.5</v>
      </c>
      <c r="BC26" t="str">
        <f t="shared" si="1"/>
        <v>Lions</v>
      </c>
      <c r="BD26" t="s">
        <v>2753</v>
      </c>
      <c r="BE26">
        <v>15</v>
      </c>
      <c r="BF26">
        <v>8.5</v>
      </c>
      <c r="BG26">
        <v>13</v>
      </c>
      <c r="BH26">
        <v>35.5</v>
      </c>
      <c r="BI26">
        <v>3.5</v>
      </c>
      <c r="BJ26">
        <v>0.5</v>
      </c>
      <c r="BK26">
        <v>382.5</v>
      </c>
      <c r="BL26">
        <v>5531</v>
      </c>
      <c r="BM26">
        <v>136.5</v>
      </c>
    </row>
    <row r="27" spans="1:65" ht="12.75" customHeight="1">
      <c r="A27" t="str">
        <f t="shared" si="2"/>
        <v>Josh McCown</v>
      </c>
      <c r="B27" s="33" t="s">
        <v>2411</v>
      </c>
      <c r="C27" s="33">
        <v>489.5</v>
      </c>
      <c r="D27" s="33">
        <v>297</v>
      </c>
      <c r="E27" s="33">
        <v>3553</v>
      </c>
      <c r="F27" s="33">
        <v>25</v>
      </c>
      <c r="G27" s="33">
        <v>13</v>
      </c>
      <c r="H27" s="33">
        <v>60.7</v>
      </c>
      <c r="I27" s="33">
        <v>7.3</v>
      </c>
      <c r="J27" s="33">
        <v>30</v>
      </c>
      <c r="K27" s="33">
        <v>109.5</v>
      </c>
      <c r="L27" s="33">
        <v>3.6</v>
      </c>
      <c r="M27" s="33">
        <v>1.5</v>
      </c>
      <c r="N27" s="33">
        <v>2</v>
      </c>
      <c r="O27" s="33">
        <v>266</v>
      </c>
      <c r="P27" s="33"/>
      <c r="Q27" t="str">
        <f t="shared" si="3"/>
        <v>Frank Gore</v>
      </c>
      <c r="R27" s="33" t="s">
        <v>1775</v>
      </c>
      <c r="S27" s="33">
        <v>231</v>
      </c>
      <c r="T27" s="33">
        <v>1043.5</v>
      </c>
      <c r="U27" s="33">
        <v>4.5</v>
      </c>
      <c r="V27" s="33">
        <v>7.5</v>
      </c>
      <c r="W27">
        <v>16</v>
      </c>
      <c r="X27">
        <v>127.5</v>
      </c>
      <c r="Y27">
        <v>8</v>
      </c>
      <c r="Z27">
        <v>0</v>
      </c>
      <c r="AA27">
        <v>1</v>
      </c>
      <c r="AB27">
        <v>145</v>
      </c>
      <c r="AD27" t="str">
        <f t="shared" si="4"/>
        <v>DeSean Jackson</v>
      </c>
      <c r="AE27" t="s">
        <v>1790</v>
      </c>
      <c r="AF27">
        <v>57.5</v>
      </c>
      <c r="AG27">
        <v>949.5</v>
      </c>
      <c r="AH27">
        <v>16.5</v>
      </c>
      <c r="AI27">
        <v>7.5</v>
      </c>
      <c r="AJ27">
        <v>0.5</v>
      </c>
      <c r="AK27">
        <v>132</v>
      </c>
      <c r="AM27" t="str">
        <f t="shared" si="5"/>
        <v>Scott Chandler</v>
      </c>
      <c r="AN27" t="s">
        <v>2537</v>
      </c>
      <c r="AO27">
        <v>45.5</v>
      </c>
      <c r="AP27">
        <v>538.5</v>
      </c>
      <c r="AQ27">
        <v>11.8</v>
      </c>
      <c r="AR27">
        <v>4</v>
      </c>
      <c r="AS27">
        <v>1</v>
      </c>
      <c r="AT27">
        <v>68</v>
      </c>
      <c r="AV27" t="str">
        <f t="shared" si="0"/>
        <v>Connor Barth</v>
      </c>
      <c r="AW27" t="s">
        <v>2754</v>
      </c>
      <c r="AX27">
        <v>25</v>
      </c>
      <c r="AY27">
        <v>31</v>
      </c>
      <c r="AZ27">
        <v>32</v>
      </c>
      <c r="BA27">
        <v>111</v>
      </c>
      <c r="BC27" t="str">
        <f t="shared" si="1"/>
        <v>Jets</v>
      </c>
      <c r="BD27" t="s">
        <v>2755</v>
      </c>
      <c r="BE27">
        <v>14.5</v>
      </c>
      <c r="BF27">
        <v>8</v>
      </c>
      <c r="BG27">
        <v>13.5</v>
      </c>
      <c r="BH27">
        <v>37</v>
      </c>
      <c r="BI27">
        <v>3</v>
      </c>
      <c r="BJ27">
        <v>1.5</v>
      </c>
      <c r="BK27">
        <v>381</v>
      </c>
      <c r="BL27">
        <v>5421</v>
      </c>
      <c r="BM27">
        <v>135</v>
      </c>
    </row>
    <row r="28" spans="1:65" ht="12.75" customHeight="1">
      <c r="A28" t="str">
        <f t="shared" si="2"/>
        <v>Jake Locker</v>
      </c>
      <c r="B28" s="33" t="s">
        <v>2619</v>
      </c>
      <c r="C28" s="33">
        <v>441</v>
      </c>
      <c r="D28" s="33">
        <v>271</v>
      </c>
      <c r="E28" s="33">
        <v>3276</v>
      </c>
      <c r="F28" s="33">
        <v>20</v>
      </c>
      <c r="G28" s="33">
        <v>11.5</v>
      </c>
      <c r="H28" s="33">
        <v>61.5</v>
      </c>
      <c r="I28" s="33">
        <v>7.4</v>
      </c>
      <c r="J28" s="33">
        <v>47.5</v>
      </c>
      <c r="K28" s="33">
        <v>272.5</v>
      </c>
      <c r="L28" s="33">
        <v>5.7</v>
      </c>
      <c r="M28" s="33">
        <v>2.5</v>
      </c>
      <c r="N28" s="33">
        <v>2.5</v>
      </c>
      <c r="O28" s="33">
        <v>251</v>
      </c>
      <c r="P28" s="33"/>
      <c r="Q28" t="str">
        <f t="shared" si="3"/>
        <v>Rashad Jennings</v>
      </c>
      <c r="R28" s="33" t="s">
        <v>1857</v>
      </c>
      <c r="S28" s="33">
        <v>215</v>
      </c>
      <c r="T28" s="33">
        <v>937</v>
      </c>
      <c r="U28" s="33">
        <v>4.4000000000000004</v>
      </c>
      <c r="V28" s="33">
        <v>5.5</v>
      </c>
      <c r="W28">
        <v>40</v>
      </c>
      <c r="X28">
        <v>304</v>
      </c>
      <c r="Y28">
        <v>7.6</v>
      </c>
      <c r="Z28">
        <v>1</v>
      </c>
      <c r="AA28">
        <v>2.5</v>
      </c>
      <c r="AB28">
        <v>142</v>
      </c>
      <c r="AD28" t="str">
        <f t="shared" si="4"/>
        <v>Torrey Smith</v>
      </c>
      <c r="AE28" t="s">
        <v>1864</v>
      </c>
      <c r="AF28">
        <v>64</v>
      </c>
      <c r="AG28">
        <v>1039</v>
      </c>
      <c r="AH28">
        <v>16.2</v>
      </c>
      <c r="AI28">
        <v>6</v>
      </c>
      <c r="AJ28">
        <v>0.5</v>
      </c>
      <c r="AK28">
        <v>130</v>
      </c>
      <c r="AM28" t="str">
        <f t="shared" si="5"/>
        <v>Mychal Rivera</v>
      </c>
      <c r="AN28" t="s">
        <v>2510</v>
      </c>
      <c r="AO28">
        <v>44</v>
      </c>
      <c r="AP28">
        <v>493.5</v>
      </c>
      <c r="AQ28">
        <v>11.2</v>
      </c>
      <c r="AR28">
        <v>4</v>
      </c>
      <c r="AS28">
        <v>0</v>
      </c>
      <c r="AT28">
        <v>65</v>
      </c>
      <c r="AV28" t="str">
        <f t="shared" si="0"/>
        <v>Mike Nugent</v>
      </c>
      <c r="AW28" t="s">
        <v>2637</v>
      </c>
      <c r="AX28">
        <v>23</v>
      </c>
      <c r="AY28">
        <v>26.5</v>
      </c>
      <c r="AZ28">
        <v>40</v>
      </c>
      <c r="BA28">
        <v>111</v>
      </c>
      <c r="BC28" t="str">
        <f t="shared" si="1"/>
        <v>Jaguars</v>
      </c>
      <c r="BD28" t="s">
        <v>2756</v>
      </c>
      <c r="BE28">
        <v>14</v>
      </c>
      <c r="BF28">
        <v>10</v>
      </c>
      <c r="BG28">
        <v>13.5</v>
      </c>
      <c r="BH28">
        <v>31.5</v>
      </c>
      <c r="BI28">
        <v>3</v>
      </c>
      <c r="BJ28">
        <v>1</v>
      </c>
      <c r="BK28">
        <v>381</v>
      </c>
      <c r="BL28">
        <v>5782</v>
      </c>
      <c r="BM28">
        <v>131.5</v>
      </c>
    </row>
    <row r="29" spans="1:65" ht="12.75" customHeight="1">
      <c r="A29" t="str">
        <f t="shared" si="2"/>
        <v>Teddy Bridgewater</v>
      </c>
      <c r="B29" s="33" t="s">
        <v>2757</v>
      </c>
      <c r="C29" s="33">
        <v>435.5</v>
      </c>
      <c r="D29" s="33">
        <v>264.5</v>
      </c>
      <c r="E29" s="33">
        <v>3246.5</v>
      </c>
      <c r="F29" s="33">
        <v>21</v>
      </c>
      <c r="G29" s="33">
        <v>11</v>
      </c>
      <c r="H29" s="33">
        <v>60.7</v>
      </c>
      <c r="I29" s="33">
        <v>7.5</v>
      </c>
      <c r="J29" s="33">
        <v>45</v>
      </c>
      <c r="K29" s="33">
        <v>190</v>
      </c>
      <c r="L29" s="33">
        <v>4.2</v>
      </c>
      <c r="M29" s="33">
        <v>2</v>
      </c>
      <c r="N29" s="33">
        <v>2</v>
      </c>
      <c r="O29" s="33">
        <v>246</v>
      </c>
      <c r="P29" s="33"/>
      <c r="Q29" t="str">
        <f t="shared" si="3"/>
        <v>Trent Richardson</v>
      </c>
      <c r="R29" s="33" t="s">
        <v>1739</v>
      </c>
      <c r="S29" s="33">
        <v>241.5</v>
      </c>
      <c r="T29" s="33">
        <v>914.5</v>
      </c>
      <c r="U29" s="33">
        <v>3.8</v>
      </c>
      <c r="V29" s="33">
        <v>6.5</v>
      </c>
      <c r="W29">
        <v>40</v>
      </c>
      <c r="X29">
        <v>302</v>
      </c>
      <c r="Y29">
        <v>7.5</v>
      </c>
      <c r="Z29">
        <v>0.5</v>
      </c>
      <c r="AA29">
        <v>3</v>
      </c>
      <c r="AB29">
        <v>141</v>
      </c>
      <c r="AD29" t="str">
        <f t="shared" si="4"/>
        <v>Percy Harvin</v>
      </c>
      <c r="AE29" t="s">
        <v>1822</v>
      </c>
      <c r="AF29">
        <v>67.5</v>
      </c>
      <c r="AG29">
        <v>853</v>
      </c>
      <c r="AH29">
        <v>12.6</v>
      </c>
      <c r="AI29">
        <v>6.5</v>
      </c>
      <c r="AJ29">
        <v>0.5</v>
      </c>
      <c r="AK29">
        <v>130</v>
      </c>
      <c r="AM29" t="str">
        <f t="shared" si="5"/>
        <v>Tyler Eifert</v>
      </c>
      <c r="AN29" t="s">
        <v>2437</v>
      </c>
      <c r="AO29">
        <v>37.5</v>
      </c>
      <c r="AP29">
        <v>502.5</v>
      </c>
      <c r="AQ29">
        <v>13.4</v>
      </c>
      <c r="AR29">
        <v>3.5</v>
      </c>
      <c r="AS29">
        <v>0</v>
      </c>
      <c r="AT29">
        <v>64</v>
      </c>
      <c r="AV29" t="str">
        <f t="shared" si="0"/>
        <v>Randy Bullock</v>
      </c>
      <c r="AW29" t="s">
        <v>2758</v>
      </c>
      <c r="AX29">
        <v>24</v>
      </c>
      <c r="AY29">
        <v>31.5</v>
      </c>
      <c r="AZ29">
        <v>33.5</v>
      </c>
      <c r="BA29">
        <v>109.5</v>
      </c>
      <c r="BC29" t="str">
        <f t="shared" si="1"/>
        <v>Falcons</v>
      </c>
      <c r="BD29" t="s">
        <v>2759</v>
      </c>
      <c r="BE29">
        <v>16.5</v>
      </c>
      <c r="BF29">
        <v>9</v>
      </c>
      <c r="BG29">
        <v>14</v>
      </c>
      <c r="BH29">
        <v>31</v>
      </c>
      <c r="BI29">
        <v>2.5</v>
      </c>
      <c r="BJ29">
        <v>0.5</v>
      </c>
      <c r="BK29">
        <v>370.5</v>
      </c>
      <c r="BL29">
        <v>5753</v>
      </c>
      <c r="BM29">
        <v>130</v>
      </c>
    </row>
    <row r="30" spans="1:65" ht="12.75" customHeight="1">
      <c r="A30" t="str">
        <f t="shared" si="2"/>
        <v>Johnny Manziel</v>
      </c>
      <c r="B30" s="33" t="s">
        <v>2443</v>
      </c>
      <c r="C30" s="33">
        <v>421.5</v>
      </c>
      <c r="D30" s="33">
        <v>250</v>
      </c>
      <c r="E30" s="33">
        <v>2961</v>
      </c>
      <c r="F30" s="33">
        <v>15</v>
      </c>
      <c r="G30" s="33">
        <v>12.5</v>
      </c>
      <c r="H30" s="33">
        <v>59.3</v>
      </c>
      <c r="I30" s="33">
        <v>7</v>
      </c>
      <c r="J30" s="33">
        <v>83.5</v>
      </c>
      <c r="K30" s="33">
        <v>466</v>
      </c>
      <c r="L30" s="33">
        <v>5.6</v>
      </c>
      <c r="M30" s="33">
        <v>3.5</v>
      </c>
      <c r="N30" s="33">
        <v>3</v>
      </c>
      <c r="O30" s="33">
        <v>230</v>
      </c>
      <c r="P30" s="33"/>
      <c r="Q30" t="str">
        <f t="shared" si="3"/>
        <v>Chris Johnson</v>
      </c>
      <c r="R30" s="33" t="s">
        <v>1859</v>
      </c>
      <c r="S30" s="33">
        <v>243.5</v>
      </c>
      <c r="T30" s="33">
        <v>1004.5</v>
      </c>
      <c r="U30" s="33">
        <v>4.0999999999999996</v>
      </c>
      <c r="V30" s="33">
        <v>4.5</v>
      </c>
      <c r="W30">
        <v>36</v>
      </c>
      <c r="X30">
        <v>271</v>
      </c>
      <c r="Y30">
        <v>7.5</v>
      </c>
      <c r="Z30">
        <v>1</v>
      </c>
      <c r="AA30">
        <v>2.5</v>
      </c>
      <c r="AB30">
        <v>138</v>
      </c>
      <c r="AD30" t="str">
        <f t="shared" si="4"/>
        <v>Mike Wallace</v>
      </c>
      <c r="AE30" t="s">
        <v>2004</v>
      </c>
      <c r="AF30">
        <v>70</v>
      </c>
      <c r="AG30">
        <v>1015.5</v>
      </c>
      <c r="AH30">
        <v>14.5</v>
      </c>
      <c r="AI30">
        <v>5.5</v>
      </c>
      <c r="AJ30">
        <v>0.5</v>
      </c>
      <c r="AK30">
        <v>127</v>
      </c>
      <c r="AM30" t="str">
        <f t="shared" si="5"/>
        <v>Travis Kelce</v>
      </c>
      <c r="AN30" t="s">
        <v>2671</v>
      </c>
      <c r="AO30">
        <v>37</v>
      </c>
      <c r="AP30">
        <v>514</v>
      </c>
      <c r="AQ30">
        <v>13.9</v>
      </c>
      <c r="AR30">
        <v>3.5</v>
      </c>
      <c r="AS30">
        <v>0.5</v>
      </c>
      <c r="AT30">
        <v>64</v>
      </c>
      <c r="AV30" t="str">
        <f t="shared" si="0"/>
        <v>Josh Scobee</v>
      </c>
      <c r="AW30" t="s">
        <v>2760</v>
      </c>
      <c r="AX30">
        <v>23.5</v>
      </c>
      <c r="AY30">
        <v>27</v>
      </c>
      <c r="AZ30">
        <v>30</v>
      </c>
      <c r="BA30">
        <v>104.5</v>
      </c>
      <c r="BC30" t="str">
        <f t="shared" si="1"/>
        <v>Redskins</v>
      </c>
      <c r="BD30" t="s">
        <v>2761</v>
      </c>
      <c r="BE30">
        <v>16</v>
      </c>
      <c r="BF30">
        <v>8.5</v>
      </c>
      <c r="BG30">
        <v>13</v>
      </c>
      <c r="BH30">
        <v>32</v>
      </c>
      <c r="BI30">
        <v>2.5</v>
      </c>
      <c r="BJ30">
        <v>0.5</v>
      </c>
      <c r="BK30">
        <v>422</v>
      </c>
      <c r="BL30">
        <v>5743.5</v>
      </c>
      <c r="BM30">
        <v>129</v>
      </c>
    </row>
    <row r="31" spans="1:65" ht="12.75" customHeight="1">
      <c r="A31" t="str">
        <f t="shared" si="2"/>
        <v>EJ Manuel</v>
      </c>
      <c r="B31" s="33" t="s">
        <v>2524</v>
      </c>
      <c r="C31" s="33">
        <v>458.5</v>
      </c>
      <c r="D31" s="33">
        <v>274.5</v>
      </c>
      <c r="E31" s="33">
        <v>3034.5</v>
      </c>
      <c r="F31" s="33">
        <v>18</v>
      </c>
      <c r="G31" s="33">
        <v>14.5</v>
      </c>
      <c r="H31" s="33">
        <v>59.9</v>
      </c>
      <c r="I31" s="33">
        <v>6.6</v>
      </c>
      <c r="J31" s="33">
        <v>84</v>
      </c>
      <c r="K31" s="33">
        <v>338.5</v>
      </c>
      <c r="L31" s="33">
        <v>4</v>
      </c>
      <c r="M31" s="33">
        <v>1.5</v>
      </c>
      <c r="N31" s="33">
        <v>3.5</v>
      </c>
      <c r="O31" s="33">
        <v>221</v>
      </c>
      <c r="P31" s="33"/>
      <c r="Q31" t="str">
        <f t="shared" si="3"/>
        <v>Ben Tate</v>
      </c>
      <c r="R31" s="33" t="s">
        <v>1697</v>
      </c>
      <c r="S31" s="33">
        <v>235.5</v>
      </c>
      <c r="T31" s="33">
        <v>1047</v>
      </c>
      <c r="U31" s="33">
        <v>4.4000000000000004</v>
      </c>
      <c r="V31" s="33">
        <v>7</v>
      </c>
      <c r="W31">
        <v>23.5</v>
      </c>
      <c r="X31">
        <v>139.5</v>
      </c>
      <c r="Y31">
        <v>5.9</v>
      </c>
      <c r="Z31">
        <v>0</v>
      </c>
      <c r="AA31">
        <v>3.5</v>
      </c>
      <c r="AB31">
        <v>138</v>
      </c>
      <c r="AD31" t="str">
        <f t="shared" si="4"/>
        <v>Terrance Williams</v>
      </c>
      <c r="AE31" t="s">
        <v>2023</v>
      </c>
      <c r="AF31">
        <v>64</v>
      </c>
      <c r="AG31">
        <v>934</v>
      </c>
      <c r="AH31">
        <v>14.6</v>
      </c>
      <c r="AI31">
        <v>7</v>
      </c>
      <c r="AJ31">
        <v>0.5</v>
      </c>
      <c r="AK31">
        <v>127</v>
      </c>
      <c r="AM31" t="str">
        <f t="shared" si="5"/>
        <v>Timothy Wright</v>
      </c>
      <c r="AN31" t="s">
        <v>2762</v>
      </c>
      <c r="AO31">
        <v>36</v>
      </c>
      <c r="AP31">
        <v>419.5</v>
      </c>
      <c r="AQ31">
        <v>11.7</v>
      </c>
      <c r="AR31">
        <v>4.5</v>
      </c>
      <c r="AS31">
        <v>0</v>
      </c>
      <c r="AT31">
        <v>61</v>
      </c>
      <c r="AV31" t="str">
        <f t="shared" si="0"/>
        <v>Billy Cundiff</v>
      </c>
      <c r="AW31" t="s">
        <v>2763</v>
      </c>
      <c r="AX31">
        <v>22.5</v>
      </c>
      <c r="AY31">
        <v>27.5</v>
      </c>
      <c r="AZ31">
        <v>35</v>
      </c>
      <c r="BA31">
        <v>104.5</v>
      </c>
      <c r="BC31" t="str">
        <f t="shared" si="1"/>
        <v>Colts</v>
      </c>
      <c r="BD31" t="s">
        <v>2764</v>
      </c>
      <c r="BE31">
        <v>13</v>
      </c>
      <c r="BF31">
        <v>8</v>
      </c>
      <c r="BG31">
        <v>13</v>
      </c>
      <c r="BH31">
        <v>34.5</v>
      </c>
      <c r="BI31">
        <v>3</v>
      </c>
      <c r="BJ31">
        <v>1</v>
      </c>
      <c r="BK31">
        <v>384</v>
      </c>
      <c r="BL31">
        <v>5916.5</v>
      </c>
      <c r="BM31">
        <v>128.5</v>
      </c>
    </row>
    <row r="32" spans="1:65" ht="12.75" customHeight="1">
      <c r="A32" t="str">
        <f t="shared" si="2"/>
        <v>Geno Smith</v>
      </c>
      <c r="B32" s="33" t="s">
        <v>2593</v>
      </c>
      <c r="C32" s="33">
        <v>473</v>
      </c>
      <c r="D32" s="33">
        <v>286</v>
      </c>
      <c r="E32" s="33">
        <v>3126.5</v>
      </c>
      <c r="F32" s="33">
        <v>16</v>
      </c>
      <c r="G32" s="33">
        <v>12.5</v>
      </c>
      <c r="H32" s="33">
        <v>60.5</v>
      </c>
      <c r="I32" s="33">
        <v>6.6</v>
      </c>
      <c r="J32" s="33">
        <v>43</v>
      </c>
      <c r="K32" s="33">
        <v>222</v>
      </c>
      <c r="L32" s="33">
        <v>5.2</v>
      </c>
      <c r="M32" s="33">
        <v>3</v>
      </c>
      <c r="N32" s="33">
        <v>3</v>
      </c>
      <c r="O32" s="33">
        <v>213</v>
      </c>
      <c r="P32" s="33"/>
      <c r="Q32" t="str">
        <f t="shared" si="3"/>
        <v>Stevan Ridley</v>
      </c>
      <c r="R32" s="33" t="s">
        <v>1937</v>
      </c>
      <c r="S32" s="33">
        <v>228</v>
      </c>
      <c r="T32" s="33">
        <v>994.5</v>
      </c>
      <c r="U32" s="33">
        <v>4.4000000000000004</v>
      </c>
      <c r="V32" s="33">
        <v>8</v>
      </c>
      <c r="W32">
        <v>9</v>
      </c>
      <c r="X32">
        <v>56.5</v>
      </c>
      <c r="Y32">
        <v>6.3</v>
      </c>
      <c r="Z32">
        <v>0</v>
      </c>
      <c r="AA32">
        <v>2</v>
      </c>
      <c r="AB32">
        <v>138</v>
      </c>
      <c r="AD32" t="str">
        <f t="shared" si="4"/>
        <v>Julian Edelman</v>
      </c>
      <c r="AE32" t="s">
        <v>1842</v>
      </c>
      <c r="AF32">
        <v>92</v>
      </c>
      <c r="AG32">
        <v>1037.5</v>
      </c>
      <c r="AH32">
        <v>11.3</v>
      </c>
      <c r="AI32">
        <v>5.5</v>
      </c>
      <c r="AJ32">
        <v>1</v>
      </c>
      <c r="AK32">
        <v>127</v>
      </c>
      <c r="AM32" t="str">
        <f t="shared" si="5"/>
        <v>Brent Celek</v>
      </c>
      <c r="AN32" t="s">
        <v>2689</v>
      </c>
      <c r="AO32">
        <v>38</v>
      </c>
      <c r="AP32">
        <v>464.5</v>
      </c>
      <c r="AQ32">
        <v>12.2</v>
      </c>
      <c r="AR32">
        <v>3.5</v>
      </c>
      <c r="AS32">
        <v>0.5</v>
      </c>
      <c r="AT32">
        <v>59</v>
      </c>
      <c r="AV32" t="str">
        <f t="shared" si="0"/>
        <v>Kai Forbath</v>
      </c>
      <c r="AW32" t="s">
        <v>2765</v>
      </c>
      <c r="AX32">
        <v>21.5</v>
      </c>
      <c r="AY32">
        <v>26.5</v>
      </c>
      <c r="AZ32">
        <v>30</v>
      </c>
      <c r="BA32">
        <v>98.5</v>
      </c>
      <c r="BC32" t="str">
        <f t="shared" si="1"/>
        <v>Titans</v>
      </c>
      <c r="BD32" t="s">
        <v>2766</v>
      </c>
      <c r="BE32">
        <v>13.5</v>
      </c>
      <c r="BF32">
        <v>9</v>
      </c>
      <c r="BG32">
        <v>14</v>
      </c>
      <c r="BH32">
        <v>32</v>
      </c>
      <c r="BI32">
        <v>2.5</v>
      </c>
      <c r="BJ32">
        <v>0.5</v>
      </c>
      <c r="BK32">
        <v>389</v>
      </c>
      <c r="BL32">
        <v>5666</v>
      </c>
      <c r="BM32">
        <v>125</v>
      </c>
    </row>
    <row r="33" spans="1:65" ht="12.75" customHeight="1">
      <c r="A33" t="str">
        <f t="shared" si="2"/>
        <v>Matt Schaub</v>
      </c>
      <c r="B33" s="33" t="s">
        <v>2687</v>
      </c>
      <c r="C33" s="33">
        <v>473.5</v>
      </c>
      <c r="D33" s="33">
        <v>279</v>
      </c>
      <c r="E33" s="33">
        <v>3133</v>
      </c>
      <c r="F33" s="33">
        <v>17.5</v>
      </c>
      <c r="G33" s="33">
        <v>14</v>
      </c>
      <c r="H33" s="33">
        <v>58.9</v>
      </c>
      <c r="I33" s="33">
        <v>6.6</v>
      </c>
      <c r="J33" s="33">
        <v>24</v>
      </c>
      <c r="K33" s="33">
        <v>24.5</v>
      </c>
      <c r="L33" s="33">
        <v>1</v>
      </c>
      <c r="M33" s="33">
        <v>0</v>
      </c>
      <c r="N33" s="33">
        <v>2.5</v>
      </c>
      <c r="O33" s="33">
        <v>189</v>
      </c>
      <c r="P33" s="33"/>
      <c r="Q33" t="str">
        <f t="shared" si="3"/>
        <v>Lamar Miller</v>
      </c>
      <c r="R33" s="33" t="s">
        <v>2055</v>
      </c>
      <c r="S33" s="33">
        <v>191</v>
      </c>
      <c r="T33" s="33">
        <v>870</v>
      </c>
      <c r="U33" s="33">
        <v>4.5999999999999996</v>
      </c>
      <c r="V33" s="33">
        <v>5.5</v>
      </c>
      <c r="W33">
        <v>32</v>
      </c>
      <c r="X33">
        <v>245</v>
      </c>
      <c r="Y33">
        <v>7.7</v>
      </c>
      <c r="Z33">
        <v>0.5</v>
      </c>
      <c r="AA33">
        <v>1</v>
      </c>
      <c r="AB33">
        <v>130</v>
      </c>
      <c r="AD33" t="str">
        <f t="shared" si="4"/>
        <v>Jeremy Maclin</v>
      </c>
      <c r="AE33" t="s">
        <v>1919</v>
      </c>
      <c r="AF33">
        <v>72.5</v>
      </c>
      <c r="AG33">
        <v>986.5</v>
      </c>
      <c r="AH33">
        <v>13.6</v>
      </c>
      <c r="AI33">
        <v>6</v>
      </c>
      <c r="AJ33">
        <v>0.5</v>
      </c>
      <c r="AK33">
        <v>126</v>
      </c>
      <c r="AM33" t="str">
        <f t="shared" si="5"/>
        <v>Levine Toilolo</v>
      </c>
      <c r="AN33" t="s">
        <v>2767</v>
      </c>
      <c r="AO33">
        <v>32.5</v>
      </c>
      <c r="AP33">
        <v>422.5</v>
      </c>
      <c r="AQ33">
        <v>13</v>
      </c>
      <c r="AR33">
        <v>4</v>
      </c>
      <c r="AS33">
        <v>0</v>
      </c>
      <c r="AT33">
        <v>58</v>
      </c>
      <c r="AV33" t="str">
        <f t="shared" si="0"/>
        <v>Maikon Bonani</v>
      </c>
      <c r="AW33" t="s">
        <v>2768</v>
      </c>
      <c r="AX33">
        <v>21.5</v>
      </c>
      <c r="AY33">
        <v>27.5</v>
      </c>
      <c r="AZ33">
        <v>29</v>
      </c>
      <c r="BA33">
        <v>97.5</v>
      </c>
      <c r="BC33" t="str">
        <f t="shared" si="1"/>
        <v>Raiders</v>
      </c>
      <c r="BD33" t="s">
        <v>2769</v>
      </c>
      <c r="BE33">
        <v>12</v>
      </c>
      <c r="BF33">
        <v>9.5</v>
      </c>
      <c r="BG33">
        <v>12</v>
      </c>
      <c r="BH33">
        <v>34.5</v>
      </c>
      <c r="BI33">
        <v>2</v>
      </c>
      <c r="BJ33">
        <v>0.5</v>
      </c>
      <c r="BK33">
        <v>443</v>
      </c>
      <c r="BL33">
        <v>5915.5</v>
      </c>
      <c r="BM33">
        <v>122.5</v>
      </c>
    </row>
    <row r="34" spans="1:65" ht="12.75" customHeight="1">
      <c r="A34" t="str">
        <f t="shared" si="2"/>
        <v>Ryan Fitzpatrick</v>
      </c>
      <c r="B34" s="33" t="s">
        <v>2770</v>
      </c>
      <c r="C34" s="33">
        <v>402</v>
      </c>
      <c r="D34" s="33">
        <v>246.5</v>
      </c>
      <c r="E34" s="33">
        <v>2649.5</v>
      </c>
      <c r="F34" s="33">
        <v>15.5</v>
      </c>
      <c r="G34" s="33">
        <v>15.5</v>
      </c>
      <c r="H34" s="33">
        <v>61.3</v>
      </c>
      <c r="I34" s="33">
        <v>6.6</v>
      </c>
      <c r="J34" s="33">
        <v>28.5</v>
      </c>
      <c r="K34" s="33">
        <v>122</v>
      </c>
      <c r="L34" s="33">
        <v>4.3</v>
      </c>
      <c r="M34" s="33">
        <v>0.5</v>
      </c>
      <c r="N34" s="33">
        <v>2.5</v>
      </c>
      <c r="O34" s="33">
        <v>162</v>
      </c>
      <c r="P34" s="33"/>
      <c r="Q34" t="str">
        <f t="shared" si="3"/>
        <v>Fred Jackson</v>
      </c>
      <c r="R34" s="33" t="s">
        <v>2027</v>
      </c>
      <c r="S34" s="33">
        <v>169.5</v>
      </c>
      <c r="T34" s="33">
        <v>718</v>
      </c>
      <c r="U34" s="33">
        <v>4.2</v>
      </c>
      <c r="V34" s="33">
        <v>6</v>
      </c>
      <c r="W34">
        <v>39.5</v>
      </c>
      <c r="X34">
        <v>342.5</v>
      </c>
      <c r="Y34">
        <v>8.6999999999999993</v>
      </c>
      <c r="Z34">
        <v>0.5</v>
      </c>
      <c r="AA34">
        <v>1.5</v>
      </c>
      <c r="AB34">
        <v>126</v>
      </c>
      <c r="AD34" t="str">
        <f t="shared" si="4"/>
        <v>Kendall Wright</v>
      </c>
      <c r="AE34" t="s">
        <v>1969</v>
      </c>
      <c r="AF34">
        <v>88.5</v>
      </c>
      <c r="AG34">
        <v>1046.5</v>
      </c>
      <c r="AH34">
        <v>11.8</v>
      </c>
      <c r="AI34">
        <v>5</v>
      </c>
      <c r="AJ34">
        <v>1</v>
      </c>
      <c r="AK34">
        <v>125</v>
      </c>
      <c r="AM34" t="str">
        <f t="shared" si="5"/>
        <v>Coby Fleener</v>
      </c>
      <c r="AN34" t="s">
        <v>2421</v>
      </c>
      <c r="AO34">
        <v>35.5</v>
      </c>
      <c r="AP34">
        <v>447.5</v>
      </c>
      <c r="AQ34">
        <v>12.6</v>
      </c>
      <c r="AR34">
        <v>3.5</v>
      </c>
      <c r="AS34">
        <v>0</v>
      </c>
      <c r="AT34">
        <v>57</v>
      </c>
      <c r="AV34" t="str">
        <f t="shared" si="0"/>
        <v>Nate Freese</v>
      </c>
      <c r="AW34" t="s">
        <v>2771</v>
      </c>
      <c r="AX34">
        <v>11.5</v>
      </c>
      <c r="AY34">
        <v>13.5</v>
      </c>
      <c r="AZ34">
        <v>24</v>
      </c>
      <c r="BA34">
        <v>60.5</v>
      </c>
      <c r="BC34" t="str">
        <f t="shared" si="1"/>
        <v>Cowboys</v>
      </c>
      <c r="BD34" t="s">
        <v>2772</v>
      </c>
      <c r="BE34">
        <v>10.5</v>
      </c>
      <c r="BF34">
        <v>9</v>
      </c>
      <c r="BG34">
        <v>13</v>
      </c>
      <c r="BH34">
        <v>31.5</v>
      </c>
      <c r="BI34">
        <v>2</v>
      </c>
      <c r="BJ34">
        <v>0.5</v>
      </c>
      <c r="BK34">
        <v>418</v>
      </c>
      <c r="BL34">
        <v>6186.5</v>
      </c>
      <c r="BM34">
        <v>115.5</v>
      </c>
    </row>
    <row r="35" spans="1:65" ht="12.75" customHeight="1">
      <c r="A35" t="str">
        <f t="shared" si="2"/>
        <v>Chad Henne</v>
      </c>
      <c r="B35" s="33" t="s">
        <v>2701</v>
      </c>
      <c r="C35" s="33">
        <v>368</v>
      </c>
      <c r="D35" s="33">
        <v>211.5</v>
      </c>
      <c r="E35" s="33">
        <v>2475.5</v>
      </c>
      <c r="F35" s="33">
        <v>12</v>
      </c>
      <c r="G35" s="33">
        <v>11</v>
      </c>
      <c r="H35" s="33">
        <v>57.5</v>
      </c>
      <c r="I35" s="33">
        <v>6.7</v>
      </c>
      <c r="J35" s="33">
        <v>20.5</v>
      </c>
      <c r="K35" s="33">
        <v>46.5</v>
      </c>
      <c r="L35" s="33">
        <v>2.2999999999999998</v>
      </c>
      <c r="M35" s="33">
        <v>0</v>
      </c>
      <c r="N35" s="33">
        <v>2</v>
      </c>
      <c r="O35" s="33">
        <v>139</v>
      </c>
      <c r="P35" s="33"/>
      <c r="Q35" t="str">
        <f t="shared" si="3"/>
        <v>Pierre Thomas</v>
      </c>
      <c r="R35" s="33" t="s">
        <v>1991</v>
      </c>
      <c r="S35" s="33">
        <v>160</v>
      </c>
      <c r="T35" s="33">
        <v>647.5</v>
      </c>
      <c r="U35" s="33">
        <v>4</v>
      </c>
      <c r="V35" s="33">
        <v>4</v>
      </c>
      <c r="W35">
        <v>56.5</v>
      </c>
      <c r="X35">
        <v>393.5</v>
      </c>
      <c r="Y35">
        <v>7</v>
      </c>
      <c r="Z35">
        <v>2.5</v>
      </c>
      <c r="AA35">
        <v>1</v>
      </c>
      <c r="AB35">
        <v>125</v>
      </c>
      <c r="AD35" t="str">
        <f t="shared" si="4"/>
        <v>Marques Colston</v>
      </c>
      <c r="AE35" t="s">
        <v>1949</v>
      </c>
      <c r="AF35">
        <v>75.5</v>
      </c>
      <c r="AG35">
        <v>961.5</v>
      </c>
      <c r="AH35">
        <v>12.7</v>
      </c>
      <c r="AI35">
        <v>6</v>
      </c>
      <c r="AJ35">
        <v>0.5</v>
      </c>
      <c r="AK35">
        <v>124</v>
      </c>
      <c r="AM35" t="str">
        <f t="shared" si="5"/>
        <v>Jermaine Gresham</v>
      </c>
      <c r="AN35" t="s">
        <v>2571</v>
      </c>
      <c r="AO35">
        <v>38</v>
      </c>
      <c r="AP35">
        <v>432.5</v>
      </c>
      <c r="AQ35">
        <v>11.4</v>
      </c>
      <c r="AR35">
        <v>3.5</v>
      </c>
      <c r="AS35">
        <v>1.5</v>
      </c>
      <c r="AT35">
        <v>54</v>
      </c>
      <c r="AV35" t="str">
        <f t="shared" si="0"/>
        <v>Giorgio Tavecchio</v>
      </c>
      <c r="AW35" t="s">
        <v>2773</v>
      </c>
      <c r="AX35">
        <v>11</v>
      </c>
      <c r="AY35">
        <v>14</v>
      </c>
      <c r="AZ35">
        <v>14.5</v>
      </c>
      <c r="BA35">
        <v>49.5</v>
      </c>
    </row>
    <row r="36" spans="1:65" ht="12.75" customHeight="1">
      <c r="A36" t="str">
        <f t="shared" ref="A36:A67" si="6">LEFT(B36,(FIND(",",B36)-1))</f>
        <v>Blake Bortles</v>
      </c>
      <c r="B36" s="33" t="s">
        <v>2774</v>
      </c>
      <c r="C36" s="33">
        <v>218</v>
      </c>
      <c r="D36" s="33">
        <v>131.5</v>
      </c>
      <c r="E36" s="33">
        <v>1506.5</v>
      </c>
      <c r="F36" s="33">
        <v>9</v>
      </c>
      <c r="G36" s="33">
        <v>6.5</v>
      </c>
      <c r="H36" s="33">
        <v>60.3</v>
      </c>
      <c r="I36" s="33">
        <v>6.9</v>
      </c>
      <c r="J36" s="33">
        <v>20.5</v>
      </c>
      <c r="K36" s="33">
        <v>73.5</v>
      </c>
      <c r="L36" s="33">
        <v>3.6</v>
      </c>
      <c r="M36" s="33">
        <v>1.5</v>
      </c>
      <c r="N36" s="33">
        <v>2</v>
      </c>
      <c r="O36" s="33">
        <v>100</v>
      </c>
      <c r="P36" s="33"/>
      <c r="Q36" t="str">
        <f t="shared" ref="Q36:Q67" si="7">LEFT(R36,(FIND(",",R36)-1))</f>
        <v>Terrance West</v>
      </c>
      <c r="R36" s="33" t="s">
        <v>2187</v>
      </c>
      <c r="S36" s="33">
        <v>182</v>
      </c>
      <c r="T36" s="33">
        <v>833</v>
      </c>
      <c r="U36" s="33">
        <v>4.5999999999999996</v>
      </c>
      <c r="V36" s="33">
        <v>5.5</v>
      </c>
      <c r="W36">
        <v>23</v>
      </c>
      <c r="X36">
        <v>199</v>
      </c>
      <c r="Y36">
        <v>8.6999999999999993</v>
      </c>
      <c r="Z36">
        <v>0.5</v>
      </c>
      <c r="AA36">
        <v>0</v>
      </c>
      <c r="AB36">
        <v>124</v>
      </c>
      <c r="AD36" t="str">
        <f t="shared" si="4"/>
        <v>T.Y. Hilton</v>
      </c>
      <c r="AE36" t="s">
        <v>1932</v>
      </c>
      <c r="AF36">
        <v>65.5</v>
      </c>
      <c r="AG36">
        <v>917</v>
      </c>
      <c r="AH36">
        <v>14</v>
      </c>
      <c r="AI36">
        <v>6</v>
      </c>
      <c r="AJ36">
        <v>0.5</v>
      </c>
      <c r="AK36">
        <v>120</v>
      </c>
      <c r="AM36" t="str">
        <f t="shared" ref="AM36:AM67" si="8">LEFT(AN36,(FIND(",",AN36)-1))</f>
        <v>Zach Miller</v>
      </c>
      <c r="AN36" t="s">
        <v>2633</v>
      </c>
      <c r="AO36">
        <v>31.5</v>
      </c>
      <c r="AP36">
        <v>371.5</v>
      </c>
      <c r="AQ36">
        <v>11.8</v>
      </c>
      <c r="AR36">
        <v>4</v>
      </c>
      <c r="AS36">
        <v>0</v>
      </c>
      <c r="AT36">
        <v>54</v>
      </c>
      <c r="AV36" t="str">
        <f t="shared" si="0"/>
        <v>Dustin Hopkins</v>
      </c>
      <c r="AW36" t="s">
        <v>2775</v>
      </c>
      <c r="AX36">
        <v>1.5</v>
      </c>
      <c r="AY36">
        <v>2.5</v>
      </c>
      <c r="AZ36">
        <v>0</v>
      </c>
      <c r="BA36">
        <v>6.5</v>
      </c>
    </row>
    <row r="37" spans="1:65" ht="12.75" customHeight="1">
      <c r="A37" t="str">
        <f t="shared" si="6"/>
        <v>Tom Savage</v>
      </c>
      <c r="B37" s="33" t="s">
        <v>2776</v>
      </c>
      <c r="C37" s="33">
        <v>236</v>
      </c>
      <c r="D37" s="33">
        <v>135.5</v>
      </c>
      <c r="E37" s="33">
        <v>1624</v>
      </c>
      <c r="F37" s="33">
        <v>9.5</v>
      </c>
      <c r="G37" s="33">
        <v>9</v>
      </c>
      <c r="H37" s="33">
        <v>57.4</v>
      </c>
      <c r="I37" s="33">
        <v>6.9</v>
      </c>
      <c r="J37" s="33">
        <v>13</v>
      </c>
      <c r="K37" s="33">
        <v>26.5</v>
      </c>
      <c r="L37" s="33">
        <v>2</v>
      </c>
      <c r="M37" s="33">
        <v>0</v>
      </c>
      <c r="N37" s="33">
        <v>1.5</v>
      </c>
      <c r="O37" s="33">
        <v>95</v>
      </c>
      <c r="P37" s="33"/>
      <c r="Q37" t="str">
        <f t="shared" si="7"/>
        <v>Maurice Jones-Drew</v>
      </c>
      <c r="R37" s="33" t="s">
        <v>2011</v>
      </c>
      <c r="S37" s="33">
        <v>219.5</v>
      </c>
      <c r="T37" s="33">
        <v>867.5</v>
      </c>
      <c r="U37" s="33">
        <v>4</v>
      </c>
      <c r="V37" s="33">
        <v>4.5</v>
      </c>
      <c r="W37">
        <v>33</v>
      </c>
      <c r="X37">
        <v>252</v>
      </c>
      <c r="Y37">
        <v>7.6</v>
      </c>
      <c r="Z37">
        <v>0.5</v>
      </c>
      <c r="AA37">
        <v>1</v>
      </c>
      <c r="AB37">
        <v>124</v>
      </c>
      <c r="AD37" t="str">
        <f t="shared" si="4"/>
        <v>Eric Decker</v>
      </c>
      <c r="AE37" t="s">
        <v>2017</v>
      </c>
      <c r="AF37">
        <v>66.5</v>
      </c>
      <c r="AG37">
        <v>936.5</v>
      </c>
      <c r="AH37">
        <v>14.1</v>
      </c>
      <c r="AI37">
        <v>6</v>
      </c>
      <c r="AJ37">
        <v>1</v>
      </c>
      <c r="AK37">
        <v>119</v>
      </c>
      <c r="AM37" t="str">
        <f t="shared" si="8"/>
        <v>Adrien Robinson</v>
      </c>
      <c r="AN37" t="s">
        <v>2777</v>
      </c>
      <c r="AO37">
        <v>32</v>
      </c>
      <c r="AP37">
        <v>424.5</v>
      </c>
      <c r="AQ37">
        <v>13.3</v>
      </c>
      <c r="AR37">
        <v>2.5</v>
      </c>
      <c r="AS37">
        <v>0</v>
      </c>
      <c r="AT37">
        <v>49</v>
      </c>
      <c r="AV37" t="e">
        <f t="shared" si="0"/>
        <v>#VALUE!</v>
      </c>
    </row>
    <row r="38" spans="1:65" ht="12.75" customHeight="1">
      <c r="A38" t="str">
        <f t="shared" si="6"/>
        <v>Michael Vick</v>
      </c>
      <c r="B38" s="33" t="s">
        <v>2661</v>
      </c>
      <c r="C38" s="33">
        <v>160</v>
      </c>
      <c r="D38" s="33">
        <v>96</v>
      </c>
      <c r="E38" s="33">
        <v>1046</v>
      </c>
      <c r="F38" s="33">
        <v>6.5</v>
      </c>
      <c r="G38" s="33">
        <v>4.5</v>
      </c>
      <c r="H38" s="33">
        <v>60</v>
      </c>
      <c r="I38" s="33">
        <v>6.5</v>
      </c>
      <c r="J38" s="33">
        <v>33.5</v>
      </c>
      <c r="K38" s="33">
        <v>176.5</v>
      </c>
      <c r="L38" s="33">
        <v>5.3</v>
      </c>
      <c r="M38" s="33">
        <v>1.5</v>
      </c>
      <c r="N38" s="33">
        <v>1.5</v>
      </c>
      <c r="O38" s="33">
        <v>80</v>
      </c>
      <c r="P38" s="33"/>
      <c r="Q38" t="str">
        <f t="shared" si="7"/>
        <v>Andre Williams</v>
      </c>
      <c r="R38" s="33" t="s">
        <v>2258</v>
      </c>
      <c r="S38" s="33">
        <v>175</v>
      </c>
      <c r="T38" s="33">
        <v>785.5</v>
      </c>
      <c r="U38" s="33">
        <v>4.5</v>
      </c>
      <c r="V38" s="33">
        <v>7.5</v>
      </c>
      <c r="W38">
        <v>8</v>
      </c>
      <c r="X38">
        <v>65</v>
      </c>
      <c r="Y38">
        <v>8.1</v>
      </c>
      <c r="Z38">
        <v>0</v>
      </c>
      <c r="AA38">
        <v>0.5</v>
      </c>
      <c r="AB38">
        <v>118</v>
      </c>
      <c r="AD38" t="str">
        <f t="shared" si="4"/>
        <v>Sammy Watkins</v>
      </c>
      <c r="AE38" t="s">
        <v>1997</v>
      </c>
      <c r="AF38">
        <v>57.5</v>
      </c>
      <c r="AG38">
        <v>866</v>
      </c>
      <c r="AH38">
        <v>15.1</v>
      </c>
      <c r="AI38">
        <v>6.5</v>
      </c>
      <c r="AJ38">
        <v>1</v>
      </c>
      <c r="AK38">
        <v>117</v>
      </c>
      <c r="AM38" t="str">
        <f t="shared" si="8"/>
        <v>Austin Seferian-Jenkins</v>
      </c>
      <c r="AN38" t="s">
        <v>2483</v>
      </c>
      <c r="AO38">
        <v>30</v>
      </c>
      <c r="AP38">
        <v>354</v>
      </c>
      <c r="AQ38">
        <v>11.8</v>
      </c>
      <c r="AR38">
        <v>3.5</v>
      </c>
      <c r="AS38">
        <v>0</v>
      </c>
      <c r="AT38">
        <v>49</v>
      </c>
    </row>
    <row r="39" spans="1:65" ht="12.75" customHeight="1">
      <c r="A39" t="str">
        <f t="shared" si="6"/>
        <v>Derek Carr</v>
      </c>
      <c r="B39" s="33" t="s">
        <v>2778</v>
      </c>
      <c r="C39" s="33">
        <v>158</v>
      </c>
      <c r="D39" s="33">
        <v>99.5</v>
      </c>
      <c r="E39" s="33">
        <v>1070</v>
      </c>
      <c r="F39" s="33">
        <v>5.5</v>
      </c>
      <c r="G39" s="33">
        <v>5</v>
      </c>
      <c r="H39" s="33">
        <v>63</v>
      </c>
      <c r="I39" s="33">
        <v>6.8</v>
      </c>
      <c r="J39" s="33">
        <v>8</v>
      </c>
      <c r="K39" s="33">
        <v>19.5</v>
      </c>
      <c r="L39" s="33">
        <v>2.4</v>
      </c>
      <c r="M39" s="33">
        <v>0</v>
      </c>
      <c r="N39" s="33">
        <v>2</v>
      </c>
      <c r="O39" s="33">
        <v>54</v>
      </c>
      <c r="P39" s="33"/>
      <c r="Q39" t="str">
        <f t="shared" si="7"/>
        <v>Steven Jackson</v>
      </c>
      <c r="R39" s="33" t="s">
        <v>1877</v>
      </c>
      <c r="S39" s="33">
        <v>180.5</v>
      </c>
      <c r="T39" s="33">
        <v>742</v>
      </c>
      <c r="U39" s="33">
        <v>4.0999999999999996</v>
      </c>
      <c r="V39" s="33">
        <v>6</v>
      </c>
      <c r="W39">
        <v>28.5</v>
      </c>
      <c r="X39">
        <v>179.5</v>
      </c>
      <c r="Y39">
        <v>6.3</v>
      </c>
      <c r="Z39">
        <v>1</v>
      </c>
      <c r="AA39">
        <v>1</v>
      </c>
      <c r="AB39">
        <v>117</v>
      </c>
      <c r="AD39" t="str">
        <f t="shared" si="4"/>
        <v>Brandin Cooks</v>
      </c>
      <c r="AE39" t="s">
        <v>2251</v>
      </c>
      <c r="AF39">
        <v>60.5</v>
      </c>
      <c r="AG39">
        <v>899</v>
      </c>
      <c r="AH39">
        <v>14.9</v>
      </c>
      <c r="AI39">
        <v>6</v>
      </c>
      <c r="AJ39">
        <v>1</v>
      </c>
      <c r="AK39">
        <v>117</v>
      </c>
      <c r="AM39" t="str">
        <f t="shared" si="8"/>
        <v>Jeff Cumberland</v>
      </c>
      <c r="AN39" t="s">
        <v>2779</v>
      </c>
      <c r="AO39">
        <v>31.5</v>
      </c>
      <c r="AP39">
        <v>386.5</v>
      </c>
      <c r="AQ39">
        <v>12.3</v>
      </c>
      <c r="AR39">
        <v>2.5</v>
      </c>
      <c r="AS39">
        <v>0</v>
      </c>
      <c r="AT39">
        <v>46</v>
      </c>
    </row>
    <row r="40" spans="1:65" ht="12.75" customHeight="1">
      <c r="A40" t="str">
        <f t="shared" si="6"/>
        <v>Brian Hoyer</v>
      </c>
      <c r="B40" s="33" t="s">
        <v>2780</v>
      </c>
      <c r="C40" s="33">
        <v>114.5</v>
      </c>
      <c r="D40" s="33">
        <v>67.5</v>
      </c>
      <c r="E40" s="33">
        <v>740.5</v>
      </c>
      <c r="F40" s="33">
        <v>7</v>
      </c>
      <c r="G40" s="33">
        <v>5</v>
      </c>
      <c r="H40" s="33">
        <v>59</v>
      </c>
      <c r="I40" s="33">
        <v>6.5</v>
      </c>
      <c r="J40" s="33">
        <v>8</v>
      </c>
      <c r="K40" s="33">
        <v>23.5</v>
      </c>
      <c r="L40" s="33">
        <v>2.9</v>
      </c>
      <c r="M40" s="33">
        <v>0</v>
      </c>
      <c r="N40" s="33">
        <v>1.5</v>
      </c>
      <c r="O40" s="33">
        <v>50</v>
      </c>
      <c r="P40" s="33"/>
      <c r="Q40" t="str">
        <f t="shared" si="7"/>
        <v>DeAngelo Williams</v>
      </c>
      <c r="R40" s="33" t="s">
        <v>2038</v>
      </c>
      <c r="S40" s="33">
        <v>179</v>
      </c>
      <c r="T40" s="33">
        <v>754.5</v>
      </c>
      <c r="U40" s="33">
        <v>4.2</v>
      </c>
      <c r="V40" s="33">
        <v>4.5</v>
      </c>
      <c r="W40">
        <v>25</v>
      </c>
      <c r="X40">
        <v>203.5</v>
      </c>
      <c r="Y40">
        <v>8.1</v>
      </c>
      <c r="Z40">
        <v>1</v>
      </c>
      <c r="AA40">
        <v>1.5</v>
      </c>
      <c r="AB40">
        <v>110</v>
      </c>
      <c r="AD40" t="str">
        <f t="shared" si="4"/>
        <v>Rueben Randle</v>
      </c>
      <c r="AE40" t="s">
        <v>2202</v>
      </c>
      <c r="AF40">
        <v>62</v>
      </c>
      <c r="AG40">
        <v>831</v>
      </c>
      <c r="AH40">
        <v>13.4</v>
      </c>
      <c r="AI40">
        <v>7</v>
      </c>
      <c r="AJ40">
        <v>0.5</v>
      </c>
      <c r="AK40">
        <v>116</v>
      </c>
      <c r="AM40" t="str">
        <f t="shared" si="8"/>
        <v>Owen Daniels</v>
      </c>
      <c r="AN40" t="s">
        <v>2494</v>
      </c>
      <c r="AO40">
        <v>33.5</v>
      </c>
      <c r="AP40">
        <v>391.5</v>
      </c>
      <c r="AQ40">
        <v>11.7</v>
      </c>
      <c r="AR40">
        <v>2.5</v>
      </c>
      <c r="AS40">
        <v>0</v>
      </c>
      <c r="AT40">
        <v>46</v>
      </c>
    </row>
    <row r="41" spans="1:65" ht="12.75" customHeight="1">
      <c r="A41" t="str">
        <f t="shared" si="6"/>
        <v>Thad Lewis</v>
      </c>
      <c r="B41" s="33" t="s">
        <v>2781</v>
      </c>
      <c r="C41" s="33">
        <v>129.5</v>
      </c>
      <c r="D41" s="33">
        <v>77.5</v>
      </c>
      <c r="E41" s="33">
        <v>837.5</v>
      </c>
      <c r="F41" s="33">
        <v>3.5</v>
      </c>
      <c r="G41" s="33">
        <v>1.5</v>
      </c>
      <c r="H41" s="33">
        <v>59.8</v>
      </c>
      <c r="I41" s="33">
        <v>6.5</v>
      </c>
      <c r="J41" s="33">
        <v>8</v>
      </c>
      <c r="K41" s="33">
        <v>18</v>
      </c>
      <c r="L41" s="33">
        <v>2.2000000000000002</v>
      </c>
      <c r="M41" s="33">
        <v>0</v>
      </c>
      <c r="N41" s="33">
        <v>1</v>
      </c>
      <c r="O41" s="33">
        <v>44</v>
      </c>
      <c r="P41" s="33"/>
      <c r="Q41" t="str">
        <f t="shared" si="7"/>
        <v>Devonta Freeman</v>
      </c>
      <c r="R41" s="33" t="s">
        <v>2280</v>
      </c>
      <c r="S41" s="33">
        <v>132</v>
      </c>
      <c r="T41" s="33">
        <v>646.5</v>
      </c>
      <c r="U41" s="33">
        <v>4.9000000000000004</v>
      </c>
      <c r="V41" s="33">
        <v>3</v>
      </c>
      <c r="W41">
        <v>41.5</v>
      </c>
      <c r="X41">
        <v>355.5</v>
      </c>
      <c r="Y41">
        <v>8.6</v>
      </c>
      <c r="Z41">
        <v>1.5</v>
      </c>
      <c r="AA41">
        <v>1</v>
      </c>
      <c r="AB41">
        <v>110</v>
      </c>
      <c r="AD41" t="str">
        <f t="shared" si="4"/>
        <v>Kelvin Benjamin</v>
      </c>
      <c r="AE41" t="s">
        <v>2403</v>
      </c>
      <c r="AF41">
        <v>56</v>
      </c>
      <c r="AG41">
        <v>821.5</v>
      </c>
      <c r="AH41">
        <v>14.7</v>
      </c>
      <c r="AI41">
        <v>6.5</v>
      </c>
      <c r="AJ41">
        <v>1</v>
      </c>
      <c r="AK41">
        <v>113</v>
      </c>
      <c r="AM41" t="str">
        <f t="shared" si="8"/>
        <v>Brandon Bostick</v>
      </c>
      <c r="AN41" t="s">
        <v>2643</v>
      </c>
      <c r="AO41">
        <v>22.5</v>
      </c>
      <c r="AP41">
        <v>337</v>
      </c>
      <c r="AQ41">
        <v>15</v>
      </c>
      <c r="AR41">
        <v>3</v>
      </c>
      <c r="AS41">
        <v>0.5</v>
      </c>
      <c r="AT41">
        <v>44</v>
      </c>
    </row>
    <row r="42" spans="1:65" ht="12.75" customHeight="1">
      <c r="A42" t="str">
        <f t="shared" si="6"/>
        <v>Matt Cassel</v>
      </c>
      <c r="B42" s="33" t="s">
        <v>2782</v>
      </c>
      <c r="C42" s="33">
        <v>116</v>
      </c>
      <c r="D42" s="33">
        <v>71.5</v>
      </c>
      <c r="E42" s="33">
        <v>775</v>
      </c>
      <c r="F42" s="33">
        <v>4</v>
      </c>
      <c r="G42" s="33">
        <v>3</v>
      </c>
      <c r="H42" s="33">
        <v>61.6</v>
      </c>
      <c r="I42" s="33">
        <v>6.7</v>
      </c>
      <c r="J42" s="33">
        <v>8</v>
      </c>
      <c r="K42" s="33">
        <v>31.5</v>
      </c>
      <c r="L42" s="33">
        <v>3.9</v>
      </c>
      <c r="M42" s="33">
        <v>0</v>
      </c>
      <c r="N42" s="33">
        <v>1</v>
      </c>
      <c r="O42" s="33">
        <v>39</v>
      </c>
      <c r="P42" s="33"/>
      <c r="Q42" t="str">
        <f t="shared" si="7"/>
        <v>Bernard Pierce</v>
      </c>
      <c r="R42" s="33" t="s">
        <v>2139</v>
      </c>
      <c r="S42" s="33">
        <v>166</v>
      </c>
      <c r="T42" s="33">
        <v>745</v>
      </c>
      <c r="U42" s="33">
        <v>4.5</v>
      </c>
      <c r="V42" s="33">
        <v>5.5</v>
      </c>
      <c r="W42">
        <v>18</v>
      </c>
      <c r="X42">
        <v>138.5</v>
      </c>
      <c r="Y42">
        <v>7.7</v>
      </c>
      <c r="Z42">
        <v>0.5</v>
      </c>
      <c r="AA42">
        <v>0</v>
      </c>
      <c r="AB42">
        <v>108</v>
      </c>
      <c r="AD42" t="str">
        <f t="shared" si="4"/>
        <v>Mike Evans</v>
      </c>
      <c r="AE42" t="s">
        <v>2093</v>
      </c>
      <c r="AF42">
        <v>53.5</v>
      </c>
      <c r="AG42">
        <v>787.5</v>
      </c>
      <c r="AH42">
        <v>14.7</v>
      </c>
      <c r="AI42">
        <v>7</v>
      </c>
      <c r="AJ42">
        <v>0.5</v>
      </c>
      <c r="AK42">
        <v>112</v>
      </c>
      <c r="AM42" t="str">
        <f t="shared" si="8"/>
        <v>Andrew Quarless</v>
      </c>
      <c r="AN42" t="s">
        <v>2529</v>
      </c>
      <c r="AO42">
        <v>27</v>
      </c>
      <c r="AP42">
        <v>335.5</v>
      </c>
      <c r="AQ42">
        <v>12.4</v>
      </c>
      <c r="AR42">
        <v>3</v>
      </c>
      <c r="AS42">
        <v>0</v>
      </c>
      <c r="AT42">
        <v>43</v>
      </c>
    </row>
    <row r="43" spans="1:65" ht="12.75" customHeight="1">
      <c r="A43" t="str">
        <f t="shared" si="6"/>
        <v>Kirk Cousins</v>
      </c>
      <c r="B43" s="33" t="s">
        <v>2783</v>
      </c>
      <c r="C43" s="33">
        <v>98.5</v>
      </c>
      <c r="D43" s="33">
        <v>54.5</v>
      </c>
      <c r="E43" s="33">
        <v>595</v>
      </c>
      <c r="F43" s="33">
        <v>3</v>
      </c>
      <c r="G43" s="33">
        <v>2.5</v>
      </c>
      <c r="H43" s="33">
        <v>55.3</v>
      </c>
      <c r="I43" s="33">
        <v>6</v>
      </c>
      <c r="J43" s="33">
        <v>2.5</v>
      </c>
      <c r="K43" s="33">
        <v>10</v>
      </c>
      <c r="L43" s="33">
        <v>4</v>
      </c>
      <c r="M43" s="33">
        <v>0</v>
      </c>
      <c r="N43" s="33">
        <v>0.5</v>
      </c>
      <c r="O43" s="33">
        <v>28</v>
      </c>
      <c r="P43" s="33"/>
      <c r="Q43" t="str">
        <f t="shared" si="7"/>
        <v>Danny Woodhead</v>
      </c>
      <c r="R43" s="33" t="s">
        <v>2029</v>
      </c>
      <c r="S43" s="33">
        <v>79.5</v>
      </c>
      <c r="T43" s="33">
        <v>347</v>
      </c>
      <c r="U43" s="33">
        <v>4.4000000000000004</v>
      </c>
      <c r="V43" s="33">
        <v>1.5</v>
      </c>
      <c r="W43">
        <v>62.5</v>
      </c>
      <c r="X43">
        <v>565</v>
      </c>
      <c r="Y43">
        <v>9</v>
      </c>
      <c r="Z43">
        <v>4</v>
      </c>
      <c r="AA43">
        <v>1</v>
      </c>
      <c r="AB43">
        <v>107</v>
      </c>
      <c r="AD43" t="str">
        <f t="shared" si="4"/>
        <v>Reggie Wayne</v>
      </c>
      <c r="AE43" t="s">
        <v>1886</v>
      </c>
      <c r="AF43">
        <v>72.5</v>
      </c>
      <c r="AG43">
        <v>920.5</v>
      </c>
      <c r="AH43">
        <v>12.7</v>
      </c>
      <c r="AI43">
        <v>4.5</v>
      </c>
      <c r="AJ43">
        <v>0</v>
      </c>
      <c r="AK43">
        <v>111</v>
      </c>
      <c r="AM43" t="str">
        <f t="shared" si="8"/>
        <v>Anthony Fasano</v>
      </c>
      <c r="AN43" t="s">
        <v>2784</v>
      </c>
      <c r="AO43">
        <v>28.5</v>
      </c>
      <c r="AP43">
        <v>303</v>
      </c>
      <c r="AQ43">
        <v>10.6</v>
      </c>
      <c r="AR43">
        <v>3.5</v>
      </c>
      <c r="AS43">
        <v>0</v>
      </c>
      <c r="AT43">
        <v>42</v>
      </c>
    </row>
    <row r="44" spans="1:65" ht="12.75" customHeight="1">
      <c r="A44" t="str">
        <f t="shared" si="6"/>
        <v>Mike Glennon</v>
      </c>
      <c r="B44" s="33" t="s">
        <v>2785</v>
      </c>
      <c r="C44" s="33">
        <v>78</v>
      </c>
      <c r="D44" s="33">
        <v>46.5</v>
      </c>
      <c r="E44" s="33">
        <v>556.5</v>
      </c>
      <c r="F44" s="33">
        <v>3</v>
      </c>
      <c r="G44" s="33">
        <v>2.5</v>
      </c>
      <c r="H44" s="33">
        <v>59.6</v>
      </c>
      <c r="I44" s="33">
        <v>7.1</v>
      </c>
      <c r="J44" s="33">
        <v>8</v>
      </c>
      <c r="K44" s="33">
        <v>23</v>
      </c>
      <c r="L44" s="33">
        <v>2.9</v>
      </c>
      <c r="M44" s="33">
        <v>0</v>
      </c>
      <c r="N44" s="33">
        <v>1</v>
      </c>
      <c r="O44" s="33">
        <v>27</v>
      </c>
      <c r="P44" s="33"/>
      <c r="Q44" t="str">
        <f t="shared" si="7"/>
        <v>Carlos Hyde</v>
      </c>
      <c r="R44" s="33" t="s">
        <v>2222</v>
      </c>
      <c r="S44" s="33">
        <v>152.5</v>
      </c>
      <c r="T44" s="33">
        <v>681.5</v>
      </c>
      <c r="U44" s="33">
        <v>4.5</v>
      </c>
      <c r="V44" s="33">
        <v>6</v>
      </c>
      <c r="W44">
        <v>14.5</v>
      </c>
      <c r="X44">
        <v>107</v>
      </c>
      <c r="Y44">
        <v>7.4</v>
      </c>
      <c r="Z44">
        <v>0.5</v>
      </c>
      <c r="AA44">
        <v>1</v>
      </c>
      <c r="AB44">
        <v>101</v>
      </c>
      <c r="AD44" t="str">
        <f t="shared" si="4"/>
        <v>Justin Hunter</v>
      </c>
      <c r="AE44" t="s">
        <v>2155</v>
      </c>
      <c r="AF44">
        <v>49.5</v>
      </c>
      <c r="AG44">
        <v>808</v>
      </c>
      <c r="AH44">
        <v>16.3</v>
      </c>
      <c r="AI44">
        <v>5.5</v>
      </c>
      <c r="AJ44">
        <v>0</v>
      </c>
      <c r="AK44">
        <v>106</v>
      </c>
      <c r="AM44" t="str">
        <f t="shared" si="8"/>
        <v>Ed Dickson</v>
      </c>
      <c r="AN44" t="s">
        <v>2786</v>
      </c>
      <c r="AO44">
        <v>34</v>
      </c>
      <c r="AP44">
        <v>363.5</v>
      </c>
      <c r="AQ44">
        <v>10.7</v>
      </c>
      <c r="AR44">
        <v>2</v>
      </c>
      <c r="AS44">
        <v>0</v>
      </c>
      <c r="AT44">
        <v>40</v>
      </c>
    </row>
    <row r="45" spans="1:65" ht="12.75" customHeight="1">
      <c r="A45" t="str">
        <f t="shared" si="6"/>
        <v>Shaun Hill</v>
      </c>
      <c r="B45" s="33" t="s">
        <v>2787</v>
      </c>
      <c r="C45" s="33">
        <v>60</v>
      </c>
      <c r="D45" s="33">
        <v>36.5</v>
      </c>
      <c r="E45" s="33">
        <v>407</v>
      </c>
      <c r="F45" s="33">
        <v>3.5</v>
      </c>
      <c r="G45" s="33">
        <v>1.5</v>
      </c>
      <c r="H45" s="33">
        <v>60.8</v>
      </c>
      <c r="I45" s="33">
        <v>6.8</v>
      </c>
      <c r="J45" s="33">
        <v>3</v>
      </c>
      <c r="K45" s="33">
        <v>9.5</v>
      </c>
      <c r="L45" s="33">
        <v>3.2</v>
      </c>
      <c r="M45" s="33">
        <v>0</v>
      </c>
      <c r="N45" s="33">
        <v>0.5</v>
      </c>
      <c r="O45" s="33">
        <v>26</v>
      </c>
      <c r="P45" s="33"/>
      <c r="Q45" t="str">
        <f t="shared" si="7"/>
        <v>Khiry Robinson</v>
      </c>
      <c r="R45" s="33" t="s">
        <v>2044</v>
      </c>
      <c r="S45" s="33">
        <v>142</v>
      </c>
      <c r="T45" s="33">
        <v>664.5</v>
      </c>
      <c r="U45" s="33">
        <v>4.7</v>
      </c>
      <c r="V45" s="33">
        <v>6</v>
      </c>
      <c r="W45">
        <v>15.5</v>
      </c>
      <c r="X45">
        <v>113</v>
      </c>
      <c r="Y45">
        <v>7.3</v>
      </c>
      <c r="Z45">
        <v>0</v>
      </c>
      <c r="AA45">
        <v>0</v>
      </c>
      <c r="AB45">
        <v>100</v>
      </c>
      <c r="AD45" t="str">
        <f t="shared" si="4"/>
        <v>Riley Cooper</v>
      </c>
      <c r="AE45" t="s">
        <v>2057</v>
      </c>
      <c r="AF45">
        <v>54</v>
      </c>
      <c r="AG45">
        <v>794.5</v>
      </c>
      <c r="AH45">
        <v>14.7</v>
      </c>
      <c r="AI45">
        <v>5.5</v>
      </c>
      <c r="AJ45">
        <v>0.5</v>
      </c>
      <c r="AK45">
        <v>103</v>
      </c>
      <c r="AM45" t="str">
        <f t="shared" si="8"/>
        <v>Lance Kendricks</v>
      </c>
      <c r="AN45" t="s">
        <v>2788</v>
      </c>
      <c r="AO45">
        <v>27.5</v>
      </c>
      <c r="AP45">
        <v>305.5</v>
      </c>
      <c r="AQ45">
        <v>11.1</v>
      </c>
      <c r="AR45">
        <v>2.5</v>
      </c>
      <c r="AS45">
        <v>0</v>
      </c>
      <c r="AT45">
        <v>38</v>
      </c>
    </row>
    <row r="46" spans="1:65" ht="12.75" customHeight="1">
      <c r="A46" t="str">
        <f t="shared" si="6"/>
        <v>Jordan Palmer</v>
      </c>
      <c r="B46" s="33" t="s">
        <v>2789</v>
      </c>
      <c r="C46" s="33">
        <v>79.5</v>
      </c>
      <c r="D46" s="33">
        <v>46.5</v>
      </c>
      <c r="E46" s="33">
        <v>539.5</v>
      </c>
      <c r="F46" s="33">
        <v>1</v>
      </c>
      <c r="G46" s="33">
        <v>1.5</v>
      </c>
      <c r="H46" s="33">
        <v>58.5</v>
      </c>
      <c r="I46" s="33">
        <v>6.8</v>
      </c>
      <c r="J46" s="33">
        <v>3</v>
      </c>
      <c r="K46" s="33">
        <v>7.5</v>
      </c>
      <c r="L46" s="33">
        <v>2.5</v>
      </c>
      <c r="M46" s="33">
        <v>0</v>
      </c>
      <c r="N46" s="33">
        <v>0.5</v>
      </c>
      <c r="O46" s="33">
        <v>16</v>
      </c>
      <c r="P46" s="33"/>
      <c r="Q46" t="str">
        <f t="shared" si="7"/>
        <v>Jeremy Hill</v>
      </c>
      <c r="R46" s="33" t="s">
        <v>2175</v>
      </c>
      <c r="S46" s="33">
        <v>153</v>
      </c>
      <c r="T46" s="33">
        <v>695.5</v>
      </c>
      <c r="U46" s="33">
        <v>4.5</v>
      </c>
      <c r="V46" s="33">
        <v>5.5</v>
      </c>
      <c r="W46">
        <v>10.5</v>
      </c>
      <c r="X46">
        <v>75.5</v>
      </c>
      <c r="Y46">
        <v>7.2</v>
      </c>
      <c r="Z46">
        <v>0.5</v>
      </c>
      <c r="AA46">
        <v>0.5</v>
      </c>
      <c r="AB46">
        <v>100</v>
      </c>
      <c r="AD46" t="str">
        <f t="shared" si="4"/>
        <v>Jarrett Boykin</v>
      </c>
      <c r="AE46" t="s">
        <v>2177</v>
      </c>
      <c r="AF46">
        <v>57.5</v>
      </c>
      <c r="AG46">
        <v>776.5</v>
      </c>
      <c r="AH46">
        <v>13.5</v>
      </c>
      <c r="AI46">
        <v>5.5</v>
      </c>
      <c r="AJ46">
        <v>0.5</v>
      </c>
      <c r="AK46">
        <v>101</v>
      </c>
      <c r="AM46" t="str">
        <f t="shared" si="8"/>
        <v>Luke Willson</v>
      </c>
      <c r="AN46" t="s">
        <v>2790</v>
      </c>
      <c r="AO46">
        <v>22.5</v>
      </c>
      <c r="AP46">
        <v>304.5</v>
      </c>
      <c r="AQ46">
        <v>13.5</v>
      </c>
      <c r="AR46">
        <v>2.5</v>
      </c>
      <c r="AS46">
        <v>0</v>
      </c>
      <c r="AT46">
        <v>38</v>
      </c>
    </row>
    <row r="47" spans="1:65" ht="12.75" customHeight="1">
      <c r="A47" t="str">
        <f t="shared" si="6"/>
        <v>Zach Mettenberger</v>
      </c>
      <c r="B47" s="33" t="s">
        <v>2791</v>
      </c>
      <c r="C47" s="33">
        <v>39</v>
      </c>
      <c r="D47" s="33">
        <v>23.5</v>
      </c>
      <c r="E47" s="33">
        <v>283</v>
      </c>
      <c r="F47" s="33">
        <v>2.5</v>
      </c>
      <c r="G47" s="33">
        <v>2</v>
      </c>
      <c r="H47" s="33">
        <v>60.3</v>
      </c>
      <c r="I47" s="33">
        <v>7.3</v>
      </c>
      <c r="J47" s="33">
        <v>2</v>
      </c>
      <c r="K47" s="33">
        <v>1.5</v>
      </c>
      <c r="L47" s="33">
        <v>0.8</v>
      </c>
      <c r="M47" s="33">
        <v>0</v>
      </c>
      <c r="N47" s="33">
        <v>0.5</v>
      </c>
      <c r="O47" s="33">
        <v>14</v>
      </c>
      <c r="P47" s="33"/>
      <c r="Q47" t="str">
        <f t="shared" si="7"/>
        <v>Christine Michael</v>
      </c>
      <c r="R47" s="33" t="s">
        <v>2153</v>
      </c>
      <c r="S47" s="33">
        <v>147.5</v>
      </c>
      <c r="T47" s="33">
        <v>723</v>
      </c>
      <c r="U47" s="33">
        <v>4.9000000000000004</v>
      </c>
      <c r="V47" s="33">
        <v>4.5</v>
      </c>
      <c r="W47">
        <v>11</v>
      </c>
      <c r="X47">
        <v>93</v>
      </c>
      <c r="Y47">
        <v>8.5</v>
      </c>
      <c r="Z47">
        <v>0.5</v>
      </c>
      <c r="AA47">
        <v>1</v>
      </c>
      <c r="AB47">
        <v>97</v>
      </c>
      <c r="AD47" t="str">
        <f t="shared" si="4"/>
        <v>Kenny Stills</v>
      </c>
      <c r="AE47" t="s">
        <v>2425</v>
      </c>
      <c r="AF47">
        <v>44</v>
      </c>
      <c r="AG47">
        <v>766.5</v>
      </c>
      <c r="AH47">
        <v>17.399999999999999</v>
      </c>
      <c r="AI47">
        <v>5.5</v>
      </c>
      <c r="AJ47">
        <v>0.5</v>
      </c>
      <c r="AK47">
        <v>100</v>
      </c>
      <c r="AM47" t="str">
        <f t="shared" si="8"/>
        <v>Brandon Pettigrew</v>
      </c>
      <c r="AN47" t="s">
        <v>2659</v>
      </c>
      <c r="AO47">
        <v>27</v>
      </c>
      <c r="AP47">
        <v>274.5</v>
      </c>
      <c r="AQ47">
        <v>10.199999999999999</v>
      </c>
      <c r="AR47">
        <v>3</v>
      </c>
      <c r="AS47">
        <v>1</v>
      </c>
      <c r="AT47">
        <v>36</v>
      </c>
    </row>
    <row r="48" spans="1:65" ht="12.75" customHeight="1">
      <c r="A48" t="str">
        <f t="shared" si="6"/>
        <v>Charlie Whitehurst</v>
      </c>
      <c r="B48" s="33" t="s">
        <v>2792</v>
      </c>
      <c r="C48" s="33">
        <v>52.5</v>
      </c>
      <c r="D48" s="33">
        <v>30</v>
      </c>
      <c r="E48" s="33">
        <v>302.5</v>
      </c>
      <c r="F48" s="33">
        <v>2</v>
      </c>
      <c r="G48" s="33">
        <v>2</v>
      </c>
      <c r="H48" s="33">
        <v>57.1</v>
      </c>
      <c r="I48" s="33">
        <v>5.8</v>
      </c>
      <c r="J48" s="33">
        <v>7.5</v>
      </c>
      <c r="K48" s="33">
        <v>17.5</v>
      </c>
      <c r="L48" s="33">
        <v>2.2999999999999998</v>
      </c>
      <c r="M48" s="33">
        <v>0</v>
      </c>
      <c r="N48" s="33">
        <v>1</v>
      </c>
      <c r="O48" s="33">
        <v>11</v>
      </c>
      <c r="P48" s="33"/>
      <c r="Q48" t="str">
        <f t="shared" si="7"/>
        <v>LeGarrette Blount</v>
      </c>
      <c r="R48" s="33" t="s">
        <v>2197</v>
      </c>
      <c r="S48" s="33">
        <v>146</v>
      </c>
      <c r="T48" s="33">
        <v>645</v>
      </c>
      <c r="U48" s="33">
        <v>4.4000000000000004</v>
      </c>
      <c r="V48" s="33">
        <v>5.5</v>
      </c>
      <c r="W48">
        <v>14.5</v>
      </c>
      <c r="X48">
        <v>110</v>
      </c>
      <c r="Y48">
        <v>7.6</v>
      </c>
      <c r="Z48">
        <v>0</v>
      </c>
      <c r="AA48">
        <v>1.5</v>
      </c>
      <c r="AB48">
        <v>91</v>
      </c>
      <c r="AD48" t="str">
        <f t="shared" si="4"/>
        <v>Dwayne Bowe</v>
      </c>
      <c r="AE48" t="s">
        <v>2080</v>
      </c>
      <c r="AF48">
        <v>63.5</v>
      </c>
      <c r="AG48">
        <v>799.5</v>
      </c>
      <c r="AH48">
        <v>12.6</v>
      </c>
      <c r="AI48">
        <v>4.5</v>
      </c>
      <c r="AJ48">
        <v>0.5</v>
      </c>
      <c r="AK48">
        <v>97</v>
      </c>
      <c r="AM48" t="str">
        <f t="shared" si="8"/>
        <v>C.J. Fiedorowicz</v>
      </c>
      <c r="AN48" t="s">
        <v>2697</v>
      </c>
      <c r="AO48">
        <v>23</v>
      </c>
      <c r="AP48">
        <v>293</v>
      </c>
      <c r="AQ48">
        <v>12.7</v>
      </c>
      <c r="AR48">
        <v>2.5</v>
      </c>
      <c r="AS48">
        <v>0</v>
      </c>
      <c r="AT48">
        <v>36</v>
      </c>
    </row>
    <row r="49" spans="1:46" ht="12.75" customHeight="1">
      <c r="A49" t="str">
        <f t="shared" si="6"/>
        <v>Mark Sanchez</v>
      </c>
      <c r="B49" s="33" t="s">
        <v>2793</v>
      </c>
      <c r="C49" s="33">
        <v>27</v>
      </c>
      <c r="D49" s="33">
        <v>17</v>
      </c>
      <c r="E49" s="33">
        <v>184</v>
      </c>
      <c r="F49" s="33">
        <v>1.5</v>
      </c>
      <c r="G49" s="33">
        <v>0</v>
      </c>
      <c r="H49" s="33">
        <v>63</v>
      </c>
      <c r="I49" s="33">
        <v>6.8</v>
      </c>
      <c r="J49" s="33">
        <v>3.5</v>
      </c>
      <c r="K49" s="33">
        <v>5</v>
      </c>
      <c r="L49" s="33">
        <v>1.4</v>
      </c>
      <c r="M49" s="33">
        <v>0</v>
      </c>
      <c r="N49" s="33">
        <v>0</v>
      </c>
      <c r="O49" s="33">
        <v>11</v>
      </c>
      <c r="P49" s="33"/>
      <c r="Q49" t="str">
        <f t="shared" si="7"/>
        <v>Darren Sproles</v>
      </c>
      <c r="R49" s="33" t="s">
        <v>2033</v>
      </c>
      <c r="S49" s="33">
        <v>67</v>
      </c>
      <c r="T49" s="33">
        <v>287.5</v>
      </c>
      <c r="U49" s="33">
        <v>4.3</v>
      </c>
      <c r="V49" s="33">
        <v>1.5</v>
      </c>
      <c r="W49">
        <v>64.5</v>
      </c>
      <c r="X49">
        <v>522</v>
      </c>
      <c r="Y49">
        <v>8.1</v>
      </c>
      <c r="Z49">
        <v>3</v>
      </c>
      <c r="AA49">
        <v>0.5</v>
      </c>
      <c r="AB49">
        <v>90</v>
      </c>
      <c r="AD49" t="str">
        <f t="shared" si="4"/>
        <v>Doug Baldwin</v>
      </c>
      <c r="AE49" t="s">
        <v>2276</v>
      </c>
      <c r="AF49">
        <v>56</v>
      </c>
      <c r="AG49">
        <v>789.5</v>
      </c>
      <c r="AH49">
        <v>14.1</v>
      </c>
      <c r="AI49">
        <v>4.5</v>
      </c>
      <c r="AJ49">
        <v>0.5</v>
      </c>
      <c r="AK49">
        <v>97</v>
      </c>
      <c r="AM49" t="str">
        <f t="shared" si="8"/>
        <v>John Carlson</v>
      </c>
      <c r="AN49" t="s">
        <v>2794</v>
      </c>
      <c r="AO49">
        <v>28</v>
      </c>
      <c r="AP49">
        <v>286.5</v>
      </c>
      <c r="AQ49">
        <v>10.199999999999999</v>
      </c>
      <c r="AR49">
        <v>2.5</v>
      </c>
      <c r="AS49">
        <v>0</v>
      </c>
      <c r="AT49">
        <v>35</v>
      </c>
    </row>
    <row r="50" spans="1:46" ht="12.75" customHeight="1">
      <c r="A50" t="str">
        <f t="shared" si="6"/>
        <v>Derek Anderson</v>
      </c>
      <c r="B50" s="33" t="s">
        <v>2795</v>
      </c>
      <c r="C50" s="33">
        <v>17</v>
      </c>
      <c r="D50" s="33">
        <v>11</v>
      </c>
      <c r="E50" s="33">
        <v>122</v>
      </c>
      <c r="F50" s="33">
        <v>1.5</v>
      </c>
      <c r="G50" s="33">
        <v>0.5</v>
      </c>
      <c r="H50" s="33">
        <v>64.7</v>
      </c>
      <c r="I50" s="33">
        <v>7.2</v>
      </c>
      <c r="J50" s="33">
        <v>1.5</v>
      </c>
      <c r="K50" s="33">
        <v>5.5</v>
      </c>
      <c r="L50" s="33">
        <v>3.7</v>
      </c>
      <c r="M50" s="33">
        <v>0</v>
      </c>
      <c r="N50" s="33">
        <v>0</v>
      </c>
      <c r="O50" s="33">
        <v>10</v>
      </c>
      <c r="P50" s="33"/>
      <c r="Q50" t="str">
        <f t="shared" si="7"/>
        <v>Chris Ivory</v>
      </c>
      <c r="R50" s="33" t="s">
        <v>2065</v>
      </c>
      <c r="S50" s="33">
        <v>161.5</v>
      </c>
      <c r="T50" s="33">
        <v>695</v>
      </c>
      <c r="U50" s="33">
        <v>4.3</v>
      </c>
      <c r="V50" s="33">
        <v>5</v>
      </c>
      <c r="W50">
        <v>3</v>
      </c>
      <c r="X50">
        <v>16</v>
      </c>
      <c r="Y50">
        <v>5.3</v>
      </c>
      <c r="Z50">
        <v>0</v>
      </c>
      <c r="AA50">
        <v>1.5</v>
      </c>
      <c r="AB50">
        <v>90</v>
      </c>
      <c r="AD50" t="str">
        <f t="shared" si="4"/>
        <v>Hakeem Nicks</v>
      </c>
      <c r="AE50" t="s">
        <v>2098</v>
      </c>
      <c r="AF50">
        <v>49.5</v>
      </c>
      <c r="AG50">
        <v>737.5</v>
      </c>
      <c r="AH50">
        <v>14.9</v>
      </c>
      <c r="AI50">
        <v>5</v>
      </c>
      <c r="AJ50">
        <v>0</v>
      </c>
      <c r="AK50">
        <v>96</v>
      </c>
      <c r="AM50" t="str">
        <f t="shared" si="8"/>
        <v>Joseph Fauria</v>
      </c>
      <c r="AN50" t="s">
        <v>2796</v>
      </c>
      <c r="AO50">
        <v>20.5</v>
      </c>
      <c r="AP50">
        <v>251.5</v>
      </c>
      <c r="AQ50">
        <v>12.3</v>
      </c>
      <c r="AR50">
        <v>3</v>
      </c>
      <c r="AS50">
        <v>0.5</v>
      </c>
      <c r="AT50">
        <v>34</v>
      </c>
    </row>
    <row r="51" spans="1:46" ht="12.75" customHeight="1">
      <c r="A51" t="str">
        <f t="shared" si="6"/>
        <v>Josh Freeman</v>
      </c>
      <c r="B51" s="33" t="s">
        <v>2797</v>
      </c>
      <c r="C51" s="33">
        <v>18.5</v>
      </c>
      <c r="D51" s="33">
        <v>11</v>
      </c>
      <c r="E51" s="33">
        <v>138.5</v>
      </c>
      <c r="F51" s="33">
        <v>1</v>
      </c>
      <c r="G51" s="33">
        <v>0</v>
      </c>
      <c r="H51" s="33">
        <v>59.5</v>
      </c>
      <c r="I51" s="33">
        <v>7.5</v>
      </c>
      <c r="J51" s="33">
        <v>2</v>
      </c>
      <c r="K51" s="33">
        <v>11</v>
      </c>
      <c r="L51" s="33">
        <v>5.5</v>
      </c>
      <c r="M51" s="33">
        <v>0</v>
      </c>
      <c r="N51" s="33">
        <v>0</v>
      </c>
      <c r="O51" s="33">
        <v>8</v>
      </c>
      <c r="P51" s="33"/>
      <c r="Q51" t="str">
        <f t="shared" si="7"/>
        <v>Knowshon Moreno</v>
      </c>
      <c r="R51" s="33" t="s">
        <v>2078</v>
      </c>
      <c r="S51" s="33">
        <v>144</v>
      </c>
      <c r="T51" s="33">
        <v>587.5</v>
      </c>
      <c r="U51" s="33">
        <v>4.0999999999999996</v>
      </c>
      <c r="V51" s="33">
        <v>3.5</v>
      </c>
      <c r="W51">
        <v>27</v>
      </c>
      <c r="X51">
        <v>221.5</v>
      </c>
      <c r="Y51">
        <v>8.1999999999999993</v>
      </c>
      <c r="Z51">
        <v>1</v>
      </c>
      <c r="AA51">
        <v>1.5</v>
      </c>
      <c r="AB51">
        <v>88</v>
      </c>
      <c r="AD51" t="str">
        <f t="shared" si="4"/>
        <v>Rod Streater</v>
      </c>
      <c r="AE51" t="s">
        <v>2417</v>
      </c>
      <c r="AF51">
        <v>58</v>
      </c>
      <c r="AG51">
        <v>797</v>
      </c>
      <c r="AH51">
        <v>13.7</v>
      </c>
      <c r="AI51">
        <v>4.5</v>
      </c>
      <c r="AJ51">
        <v>1</v>
      </c>
      <c r="AK51">
        <v>96</v>
      </c>
      <c r="AM51" t="str">
        <f t="shared" si="8"/>
        <v>Rob Housler</v>
      </c>
      <c r="AN51" t="s">
        <v>2798</v>
      </c>
      <c r="AO51">
        <v>25.5</v>
      </c>
      <c r="AP51">
        <v>294</v>
      </c>
      <c r="AQ51">
        <v>11.5</v>
      </c>
      <c r="AR51">
        <v>2</v>
      </c>
      <c r="AS51">
        <v>0</v>
      </c>
      <c r="AT51">
        <v>33</v>
      </c>
    </row>
    <row r="52" spans="1:46" ht="12.75" customHeight="1">
      <c r="A52" t="str">
        <f t="shared" si="6"/>
        <v>Matt Flynn</v>
      </c>
      <c r="B52" s="33" t="s">
        <v>2799</v>
      </c>
      <c r="C52" s="33">
        <v>19</v>
      </c>
      <c r="D52" s="33">
        <v>12</v>
      </c>
      <c r="E52" s="33">
        <v>143.5</v>
      </c>
      <c r="F52" s="33">
        <v>1</v>
      </c>
      <c r="G52" s="33">
        <v>0</v>
      </c>
      <c r="H52" s="33">
        <v>63.2</v>
      </c>
      <c r="I52" s="33">
        <v>7.6</v>
      </c>
      <c r="J52" s="33">
        <v>2.5</v>
      </c>
      <c r="K52" s="33">
        <v>10</v>
      </c>
      <c r="L52" s="33">
        <v>4</v>
      </c>
      <c r="M52" s="33">
        <v>0</v>
      </c>
      <c r="N52" s="33">
        <v>0</v>
      </c>
      <c r="O52" s="33">
        <v>8</v>
      </c>
      <c r="P52" s="33"/>
      <c r="Q52" t="str">
        <f t="shared" si="7"/>
        <v>Stepfan Taylor</v>
      </c>
      <c r="R52" s="33" t="s">
        <v>2500</v>
      </c>
      <c r="S52" s="33">
        <v>142.5</v>
      </c>
      <c r="T52" s="33">
        <v>623.5</v>
      </c>
      <c r="U52" s="33">
        <v>4.4000000000000004</v>
      </c>
      <c r="V52" s="33">
        <v>4.5</v>
      </c>
      <c r="W52">
        <v>11</v>
      </c>
      <c r="X52">
        <v>88.5</v>
      </c>
      <c r="Y52">
        <v>8</v>
      </c>
      <c r="Z52">
        <v>0</v>
      </c>
      <c r="AA52">
        <v>1</v>
      </c>
      <c r="AB52">
        <v>82</v>
      </c>
      <c r="AD52" t="str">
        <f t="shared" si="4"/>
        <v>Harry Douglas</v>
      </c>
      <c r="AE52" t="s">
        <v>2441</v>
      </c>
      <c r="AF52">
        <v>67.5</v>
      </c>
      <c r="AG52">
        <v>834</v>
      </c>
      <c r="AH52">
        <v>12.4</v>
      </c>
      <c r="AI52">
        <v>3.5</v>
      </c>
      <c r="AJ52">
        <v>0.5</v>
      </c>
      <c r="AK52">
        <v>96</v>
      </c>
      <c r="AM52" t="str">
        <f t="shared" si="8"/>
        <v>Brandon Myers</v>
      </c>
      <c r="AN52" t="s">
        <v>2800</v>
      </c>
      <c r="AO52">
        <v>25.5</v>
      </c>
      <c r="AP52">
        <v>278</v>
      </c>
      <c r="AQ52">
        <v>10.9</v>
      </c>
      <c r="AR52">
        <v>2</v>
      </c>
      <c r="AS52">
        <v>0</v>
      </c>
      <c r="AT52">
        <v>32</v>
      </c>
    </row>
    <row r="53" spans="1:46" ht="12.75" customHeight="1">
      <c r="A53" t="str">
        <f t="shared" si="6"/>
        <v>Blaine Gabbert</v>
      </c>
      <c r="B53" s="33" t="s">
        <v>2801</v>
      </c>
      <c r="C53" s="33">
        <v>16.5</v>
      </c>
      <c r="D53" s="33">
        <v>10.5</v>
      </c>
      <c r="E53" s="33">
        <v>122</v>
      </c>
      <c r="F53" s="33">
        <v>1</v>
      </c>
      <c r="G53" s="33">
        <v>0</v>
      </c>
      <c r="H53" s="33">
        <v>63.6</v>
      </c>
      <c r="I53" s="33">
        <v>7.4</v>
      </c>
      <c r="J53" s="33">
        <v>1.5</v>
      </c>
      <c r="K53" s="33">
        <v>5.5</v>
      </c>
      <c r="L53" s="33">
        <v>3.7</v>
      </c>
      <c r="M53" s="33">
        <v>0</v>
      </c>
      <c r="N53" s="33">
        <v>0</v>
      </c>
      <c r="O53" s="33">
        <v>8</v>
      </c>
      <c r="P53" s="33"/>
      <c r="Q53" t="str">
        <f t="shared" si="7"/>
        <v>Darren McFadden</v>
      </c>
      <c r="R53" s="33" t="s">
        <v>2128</v>
      </c>
      <c r="S53" s="33">
        <v>122.5</v>
      </c>
      <c r="T53" s="33">
        <v>510.5</v>
      </c>
      <c r="U53" s="33">
        <v>4.2</v>
      </c>
      <c r="V53" s="33">
        <v>3.5</v>
      </c>
      <c r="W53">
        <v>26.5</v>
      </c>
      <c r="X53">
        <v>195</v>
      </c>
      <c r="Y53">
        <v>7.4</v>
      </c>
      <c r="Z53">
        <v>1</v>
      </c>
      <c r="AA53">
        <v>2</v>
      </c>
      <c r="AB53">
        <v>78</v>
      </c>
      <c r="AD53" t="str">
        <f t="shared" si="4"/>
        <v>Anquan Boldin</v>
      </c>
      <c r="AE53" t="s">
        <v>2040</v>
      </c>
      <c r="AF53">
        <v>62</v>
      </c>
      <c r="AG53">
        <v>783.5</v>
      </c>
      <c r="AH53">
        <v>12.6</v>
      </c>
      <c r="AI53">
        <v>4.5</v>
      </c>
      <c r="AJ53">
        <v>0.5</v>
      </c>
      <c r="AK53">
        <v>95</v>
      </c>
      <c r="AM53" t="str">
        <f t="shared" si="8"/>
        <v>Gavin Escobar</v>
      </c>
      <c r="AN53" t="s">
        <v>2802</v>
      </c>
      <c r="AO53">
        <v>18</v>
      </c>
      <c r="AP53">
        <v>239.5</v>
      </c>
      <c r="AQ53">
        <v>13.3</v>
      </c>
      <c r="AR53">
        <v>2</v>
      </c>
      <c r="AS53">
        <v>0</v>
      </c>
      <c r="AT53">
        <v>27</v>
      </c>
    </row>
    <row r="54" spans="1:46" ht="12.75" customHeight="1">
      <c r="A54" t="str">
        <f t="shared" si="6"/>
        <v>Brandon Weeden</v>
      </c>
      <c r="B54" s="33" t="s">
        <v>2803</v>
      </c>
      <c r="C54" s="33">
        <v>46.5</v>
      </c>
      <c r="D54" s="33">
        <v>28</v>
      </c>
      <c r="E54" s="33">
        <v>315</v>
      </c>
      <c r="F54" s="33">
        <v>1</v>
      </c>
      <c r="G54" s="33">
        <v>1.5</v>
      </c>
      <c r="H54" s="33">
        <v>60.2</v>
      </c>
      <c r="I54" s="33">
        <v>6.8</v>
      </c>
      <c r="J54" s="33">
        <v>1</v>
      </c>
      <c r="K54" s="33">
        <v>1</v>
      </c>
      <c r="L54" s="33">
        <v>1</v>
      </c>
      <c r="M54" s="33">
        <v>0</v>
      </c>
      <c r="N54" s="33">
        <v>0.5</v>
      </c>
      <c r="O54" s="33">
        <v>6</v>
      </c>
      <c r="P54" s="33"/>
      <c r="Q54" t="str">
        <f t="shared" si="7"/>
        <v>Dexter McCluster</v>
      </c>
      <c r="R54" s="33" t="s">
        <v>2429</v>
      </c>
      <c r="S54" s="33">
        <v>72.5</v>
      </c>
      <c r="T54" s="33">
        <v>325</v>
      </c>
      <c r="U54" s="33">
        <v>4.5</v>
      </c>
      <c r="V54" s="33">
        <v>1</v>
      </c>
      <c r="W54">
        <v>49.5</v>
      </c>
      <c r="X54">
        <v>433.5</v>
      </c>
      <c r="Y54">
        <v>8.8000000000000007</v>
      </c>
      <c r="Z54">
        <v>2</v>
      </c>
      <c r="AA54">
        <v>1.5</v>
      </c>
      <c r="AB54">
        <v>76</v>
      </c>
      <c r="AD54" t="str">
        <f t="shared" si="4"/>
        <v>Tavon Austin</v>
      </c>
      <c r="AE54" t="s">
        <v>2266</v>
      </c>
      <c r="AF54">
        <v>48.5</v>
      </c>
      <c r="AG54">
        <v>658.5</v>
      </c>
      <c r="AH54">
        <v>13.6</v>
      </c>
      <c r="AI54">
        <v>4.5</v>
      </c>
      <c r="AJ54">
        <v>1.5</v>
      </c>
      <c r="AK54">
        <v>95</v>
      </c>
      <c r="AM54" t="str">
        <f t="shared" si="8"/>
        <v>Ryan Griffin</v>
      </c>
      <c r="AN54" t="s">
        <v>2479</v>
      </c>
      <c r="AO54">
        <v>21.5</v>
      </c>
      <c r="AP54">
        <v>247.5</v>
      </c>
      <c r="AQ54">
        <v>11.5</v>
      </c>
      <c r="AR54">
        <v>1.5</v>
      </c>
      <c r="AS54">
        <v>0</v>
      </c>
      <c r="AT54">
        <v>26</v>
      </c>
    </row>
    <row r="55" spans="1:46" ht="12.75" customHeight="1">
      <c r="A55" t="str">
        <f t="shared" si="6"/>
        <v>Matt Moore</v>
      </c>
      <c r="B55" s="33" t="s">
        <v>2804</v>
      </c>
      <c r="C55" s="33">
        <v>38.5</v>
      </c>
      <c r="D55" s="33">
        <v>22.5</v>
      </c>
      <c r="E55" s="33">
        <v>238.5</v>
      </c>
      <c r="F55" s="33">
        <v>1</v>
      </c>
      <c r="G55" s="33">
        <v>1</v>
      </c>
      <c r="H55" s="33">
        <v>58.4</v>
      </c>
      <c r="I55" s="33">
        <v>6.2</v>
      </c>
      <c r="J55" s="33">
        <v>2</v>
      </c>
      <c r="K55" s="33">
        <v>4.5</v>
      </c>
      <c r="L55" s="33">
        <v>2.2000000000000002</v>
      </c>
      <c r="M55" s="33">
        <v>0</v>
      </c>
      <c r="N55" s="33">
        <v>1</v>
      </c>
      <c r="O55" s="33">
        <v>5</v>
      </c>
      <c r="P55" s="33"/>
      <c r="Q55" t="str">
        <f t="shared" si="7"/>
        <v>Tre Mason</v>
      </c>
      <c r="R55" s="33" t="s">
        <v>2227</v>
      </c>
      <c r="S55" s="33">
        <v>119</v>
      </c>
      <c r="T55" s="33">
        <v>530.5</v>
      </c>
      <c r="U55" s="33">
        <v>4.5</v>
      </c>
      <c r="V55" s="33">
        <v>2</v>
      </c>
      <c r="W55">
        <v>31.5</v>
      </c>
      <c r="X55">
        <v>250.5</v>
      </c>
      <c r="Y55">
        <v>8</v>
      </c>
      <c r="Z55">
        <v>0.5</v>
      </c>
      <c r="AA55">
        <v>1</v>
      </c>
      <c r="AB55">
        <v>76</v>
      </c>
      <c r="AD55" t="str">
        <f t="shared" si="4"/>
        <v>Jordan Matthews</v>
      </c>
      <c r="AE55" t="s">
        <v>2502</v>
      </c>
      <c r="AF55">
        <v>48.5</v>
      </c>
      <c r="AG55">
        <v>741.5</v>
      </c>
      <c r="AH55">
        <v>15.3</v>
      </c>
      <c r="AI55">
        <v>5</v>
      </c>
      <c r="AJ55">
        <v>0.5</v>
      </c>
      <c r="AK55">
        <v>95</v>
      </c>
      <c r="AM55" t="str">
        <f t="shared" si="8"/>
        <v>Clay Harbor</v>
      </c>
      <c r="AN55" t="s">
        <v>2805</v>
      </c>
      <c r="AO55">
        <v>22</v>
      </c>
      <c r="AP55">
        <v>244.5</v>
      </c>
      <c r="AQ55">
        <v>11.1</v>
      </c>
      <c r="AR55">
        <v>1.5</v>
      </c>
      <c r="AS55">
        <v>0</v>
      </c>
      <c r="AT55">
        <v>26</v>
      </c>
    </row>
    <row r="56" spans="1:46" ht="12.75" customHeight="1">
      <c r="A56" t="str">
        <f t="shared" si="6"/>
        <v>Jason Campbell</v>
      </c>
      <c r="B56" s="33" t="s">
        <v>2806</v>
      </c>
      <c r="C56" s="33">
        <v>17.5</v>
      </c>
      <c r="D56" s="33">
        <v>9.5</v>
      </c>
      <c r="E56" s="33">
        <v>123</v>
      </c>
      <c r="F56" s="33">
        <v>0</v>
      </c>
      <c r="G56" s="33">
        <v>0.5</v>
      </c>
      <c r="H56" s="33">
        <v>54.3</v>
      </c>
      <c r="I56" s="33">
        <v>7</v>
      </c>
      <c r="J56" s="33">
        <v>0.5</v>
      </c>
      <c r="K56" s="33">
        <v>1</v>
      </c>
      <c r="L56" s="33">
        <v>2</v>
      </c>
      <c r="M56" s="33">
        <v>0</v>
      </c>
      <c r="N56" s="33">
        <v>0</v>
      </c>
      <c r="O56" s="33">
        <v>1</v>
      </c>
      <c r="P56" s="33"/>
      <c r="Q56" t="str">
        <f t="shared" si="7"/>
        <v>Jonathan Grimes</v>
      </c>
      <c r="R56" s="33" t="s">
        <v>2490</v>
      </c>
      <c r="S56" s="33">
        <v>121.5</v>
      </c>
      <c r="T56" s="33">
        <v>534</v>
      </c>
      <c r="U56" s="33">
        <v>4.4000000000000004</v>
      </c>
      <c r="V56" s="33">
        <v>4</v>
      </c>
      <c r="W56">
        <v>16</v>
      </c>
      <c r="X56">
        <v>120</v>
      </c>
      <c r="Y56">
        <v>7.5</v>
      </c>
      <c r="Z56">
        <v>0.5</v>
      </c>
      <c r="AA56">
        <v>1</v>
      </c>
      <c r="AB56">
        <v>76</v>
      </c>
      <c r="AD56" t="str">
        <f t="shared" si="4"/>
        <v>Cecil Shorts</v>
      </c>
      <c r="AE56" t="s">
        <v>2025</v>
      </c>
      <c r="AF56">
        <v>59.5</v>
      </c>
      <c r="AG56">
        <v>802</v>
      </c>
      <c r="AH56">
        <v>13.5</v>
      </c>
      <c r="AI56">
        <v>3.5</v>
      </c>
      <c r="AJ56">
        <v>0</v>
      </c>
      <c r="AK56">
        <v>94</v>
      </c>
      <c r="AM56" t="str">
        <f t="shared" si="8"/>
        <v>Vance McDonald</v>
      </c>
      <c r="AN56" t="s">
        <v>2807</v>
      </c>
      <c r="AO56">
        <v>18</v>
      </c>
      <c r="AP56">
        <v>256.5</v>
      </c>
      <c r="AQ56">
        <v>14.2</v>
      </c>
      <c r="AR56">
        <v>1</v>
      </c>
      <c r="AS56">
        <v>0</v>
      </c>
      <c r="AT56">
        <v>24</v>
      </c>
    </row>
    <row r="57" spans="1:46" ht="12.75" customHeight="1">
      <c r="A57" t="str">
        <f t="shared" si="6"/>
        <v>Brock Osweiler</v>
      </c>
      <c r="B57" s="33" t="s">
        <v>2808</v>
      </c>
      <c r="C57" s="33">
        <v>3</v>
      </c>
      <c r="D57" s="33">
        <v>2</v>
      </c>
      <c r="E57" s="33">
        <v>27</v>
      </c>
      <c r="F57" s="33">
        <v>0</v>
      </c>
      <c r="G57" s="33">
        <v>0</v>
      </c>
      <c r="H57" s="33">
        <v>66.7</v>
      </c>
      <c r="I57" s="33">
        <v>9</v>
      </c>
      <c r="J57" s="33">
        <v>1</v>
      </c>
      <c r="K57" s="33">
        <v>0</v>
      </c>
      <c r="L57" s="33">
        <v>0</v>
      </c>
      <c r="M57" s="33">
        <v>0</v>
      </c>
      <c r="N57" s="33">
        <v>0</v>
      </c>
      <c r="O57" s="33">
        <v>0</v>
      </c>
      <c r="P57" s="33"/>
      <c r="Q57" t="str">
        <f t="shared" si="7"/>
        <v>Mark Ingram</v>
      </c>
      <c r="R57" s="33" t="s">
        <v>2148</v>
      </c>
      <c r="S57" s="33">
        <v>126</v>
      </c>
      <c r="T57" s="33">
        <v>554.5</v>
      </c>
      <c r="U57" s="33">
        <v>4.4000000000000004</v>
      </c>
      <c r="V57" s="33">
        <v>5</v>
      </c>
      <c r="W57">
        <v>6</v>
      </c>
      <c r="X57">
        <v>41.5</v>
      </c>
      <c r="Y57">
        <v>6.9</v>
      </c>
      <c r="Z57">
        <v>0</v>
      </c>
      <c r="AA57">
        <v>1</v>
      </c>
      <c r="AB57">
        <v>76</v>
      </c>
      <c r="AD57" t="str">
        <f t="shared" si="4"/>
        <v>Brian Hartline</v>
      </c>
      <c r="AE57" t="s">
        <v>2270</v>
      </c>
      <c r="AF57">
        <v>71</v>
      </c>
      <c r="AG57">
        <v>946</v>
      </c>
      <c r="AH57">
        <v>13.3</v>
      </c>
      <c r="AI57">
        <v>1.5</v>
      </c>
      <c r="AJ57">
        <v>1</v>
      </c>
      <c r="AK57">
        <v>94</v>
      </c>
      <c r="AM57" t="str">
        <f t="shared" si="8"/>
        <v>Jermichael Finley</v>
      </c>
      <c r="AN57" t="s">
        <v>2809</v>
      </c>
      <c r="AO57">
        <v>13.5</v>
      </c>
      <c r="AP57">
        <v>179</v>
      </c>
      <c r="AQ57">
        <v>13.3</v>
      </c>
      <c r="AR57">
        <v>2</v>
      </c>
      <c r="AS57">
        <v>0</v>
      </c>
      <c r="AT57">
        <v>23</v>
      </c>
    </row>
    <row r="58" spans="1:46" ht="12.75" customHeight="1">
      <c r="A58" t="e">
        <f t="shared" si="6"/>
        <v>#VALUE!</v>
      </c>
      <c r="B58" s="33" t="s">
        <v>2810</v>
      </c>
      <c r="C58" s="33" t="s">
        <v>804</v>
      </c>
      <c r="D58" s="33" t="s">
        <v>804</v>
      </c>
      <c r="E58" s="33" t="s">
        <v>804</v>
      </c>
      <c r="F58" s="33" t="s">
        <v>804</v>
      </c>
      <c r="G58" s="33" t="s">
        <v>804</v>
      </c>
      <c r="H58" s="33" t="s">
        <v>804</v>
      </c>
      <c r="I58" s="33" t="s">
        <v>804</v>
      </c>
      <c r="J58" s="33" t="s">
        <v>804</v>
      </c>
      <c r="K58" s="33" t="s">
        <v>804</v>
      </c>
      <c r="L58" s="33" t="s">
        <v>804</v>
      </c>
      <c r="M58" s="33" t="s">
        <v>804</v>
      </c>
      <c r="N58" s="33" t="s">
        <v>804</v>
      </c>
      <c r="O58" s="33" t="s">
        <v>804</v>
      </c>
      <c r="P58" s="33"/>
      <c r="Q58" t="str">
        <f t="shared" si="7"/>
        <v>Shonn Greene</v>
      </c>
      <c r="R58" s="33" t="s">
        <v>2121</v>
      </c>
      <c r="S58" s="33">
        <v>123.5</v>
      </c>
      <c r="T58" s="33">
        <v>518.5</v>
      </c>
      <c r="U58" s="33">
        <v>4.2</v>
      </c>
      <c r="V58" s="33">
        <v>4.5</v>
      </c>
      <c r="W58">
        <v>11</v>
      </c>
      <c r="X58">
        <v>81.5</v>
      </c>
      <c r="Y58">
        <v>7.4</v>
      </c>
      <c r="Z58">
        <v>0</v>
      </c>
      <c r="AA58">
        <v>1</v>
      </c>
      <c r="AB58">
        <v>73</v>
      </c>
      <c r="AD58" t="str">
        <f t="shared" si="4"/>
        <v>DeAndre Hopkins</v>
      </c>
      <c r="AE58" t="s">
        <v>2050</v>
      </c>
      <c r="AF58">
        <v>59</v>
      </c>
      <c r="AG58">
        <v>747</v>
      </c>
      <c r="AH58">
        <v>12.7</v>
      </c>
      <c r="AI58">
        <v>4.5</v>
      </c>
      <c r="AJ58">
        <v>0.5</v>
      </c>
      <c r="AK58">
        <v>92</v>
      </c>
      <c r="AM58" t="str">
        <f t="shared" si="8"/>
        <v>Troy Niklas</v>
      </c>
      <c r="AN58" t="s">
        <v>2811</v>
      </c>
      <c r="AO58">
        <v>17.5</v>
      </c>
      <c r="AP58">
        <v>223.5</v>
      </c>
      <c r="AQ58">
        <v>12.8</v>
      </c>
      <c r="AR58">
        <v>1.5</v>
      </c>
      <c r="AS58">
        <v>0</v>
      </c>
      <c r="AT58">
        <v>23</v>
      </c>
    </row>
    <row r="59" spans="1:46" ht="12.75" customHeight="1">
      <c r="A59" t="e">
        <f t="shared" si="6"/>
        <v>#VALUE!</v>
      </c>
      <c r="B59" s="33"/>
      <c r="C59" s="33"/>
      <c r="D59" s="33"/>
      <c r="E59" s="33"/>
      <c r="F59" s="33"/>
      <c r="G59" s="33"/>
      <c r="H59" s="33"/>
      <c r="I59" s="33"/>
      <c r="J59" s="33"/>
      <c r="K59" s="33"/>
      <c r="L59" s="33"/>
      <c r="M59" s="33"/>
      <c r="N59" s="33"/>
      <c r="O59" s="33"/>
      <c r="P59" s="33"/>
      <c r="Q59" t="str">
        <f t="shared" si="7"/>
        <v>James White</v>
      </c>
      <c r="R59" s="33" t="s">
        <v>2527</v>
      </c>
      <c r="S59" s="33">
        <v>94</v>
      </c>
      <c r="T59" s="33">
        <v>462.5</v>
      </c>
      <c r="U59" s="33">
        <v>4.9000000000000004</v>
      </c>
      <c r="V59" s="33">
        <v>3</v>
      </c>
      <c r="W59">
        <v>21.5</v>
      </c>
      <c r="X59">
        <v>182</v>
      </c>
      <c r="Y59">
        <v>8.5</v>
      </c>
      <c r="Z59">
        <v>0.5</v>
      </c>
      <c r="AA59">
        <v>0</v>
      </c>
      <c r="AB59">
        <v>69</v>
      </c>
      <c r="AD59" t="str">
        <f t="shared" si="4"/>
        <v>Kenny Britt</v>
      </c>
      <c r="AE59" t="s">
        <v>2467</v>
      </c>
      <c r="AF59">
        <v>47</v>
      </c>
      <c r="AG59">
        <v>676.5</v>
      </c>
      <c r="AH59">
        <v>14.4</v>
      </c>
      <c r="AI59">
        <v>4.5</v>
      </c>
      <c r="AJ59">
        <v>0</v>
      </c>
      <c r="AK59">
        <v>87</v>
      </c>
      <c r="AM59" t="str">
        <f t="shared" si="8"/>
        <v>Benjamin Watson</v>
      </c>
      <c r="AN59" t="s">
        <v>2812</v>
      </c>
      <c r="AO59">
        <v>17.5</v>
      </c>
      <c r="AP59">
        <v>195.5</v>
      </c>
      <c r="AQ59">
        <v>11.2</v>
      </c>
      <c r="AR59">
        <v>1.5</v>
      </c>
      <c r="AS59">
        <v>0</v>
      </c>
      <c r="AT59">
        <v>21</v>
      </c>
    </row>
    <row r="60" spans="1:46" ht="12.75" customHeight="1">
      <c r="A60" t="e">
        <f t="shared" si="6"/>
        <v>#VALUE!</v>
      </c>
      <c r="B60" s="33"/>
      <c r="C60" s="33"/>
      <c r="D60" s="33"/>
      <c r="E60" s="33"/>
      <c r="F60" s="33"/>
      <c r="G60" s="33"/>
      <c r="H60" s="33"/>
      <c r="I60" s="33"/>
      <c r="J60" s="33"/>
      <c r="K60" s="33"/>
      <c r="L60" s="33"/>
      <c r="M60" s="33"/>
      <c r="N60" s="33"/>
      <c r="O60" s="33"/>
      <c r="P60" s="33"/>
      <c r="Q60" t="str">
        <f t="shared" si="7"/>
        <v>Ronnie Hillman</v>
      </c>
      <c r="R60" s="33" t="s">
        <v>2535</v>
      </c>
      <c r="S60" s="33">
        <v>96</v>
      </c>
      <c r="T60" s="33">
        <v>424</v>
      </c>
      <c r="U60" s="33">
        <v>4.4000000000000004</v>
      </c>
      <c r="V60" s="33">
        <v>4</v>
      </c>
      <c r="W60">
        <v>18</v>
      </c>
      <c r="X60">
        <v>156</v>
      </c>
      <c r="Y60">
        <v>8.6999999999999993</v>
      </c>
      <c r="Z60">
        <v>1</v>
      </c>
      <c r="AA60">
        <v>1</v>
      </c>
      <c r="AB60">
        <v>69</v>
      </c>
      <c r="AD60" t="str">
        <f t="shared" si="4"/>
        <v>Steve Smith</v>
      </c>
      <c r="AE60" t="s">
        <v>2088</v>
      </c>
      <c r="AF60">
        <v>54</v>
      </c>
      <c r="AG60">
        <v>690.5</v>
      </c>
      <c r="AH60">
        <v>12.8</v>
      </c>
      <c r="AI60">
        <v>4.5</v>
      </c>
      <c r="AJ60">
        <v>1.5</v>
      </c>
      <c r="AK60">
        <v>86</v>
      </c>
      <c r="AM60" t="str">
        <f t="shared" si="8"/>
        <v>Tony Moeaki</v>
      </c>
      <c r="AN60" t="s">
        <v>2813</v>
      </c>
      <c r="AO60">
        <v>14.5</v>
      </c>
      <c r="AP60">
        <v>188.5</v>
      </c>
      <c r="AQ60">
        <v>13</v>
      </c>
      <c r="AR60">
        <v>1.5</v>
      </c>
      <c r="AS60">
        <v>0</v>
      </c>
      <c r="AT60">
        <v>20</v>
      </c>
    </row>
    <row r="61" spans="1:46" ht="12.75" customHeight="1">
      <c r="A61" t="e">
        <f t="shared" si="6"/>
        <v>#VALUE!</v>
      </c>
      <c r="B61" s="33"/>
      <c r="C61" s="33"/>
      <c r="D61" s="33"/>
      <c r="E61" s="33"/>
      <c r="F61" s="33"/>
      <c r="G61" s="33"/>
      <c r="H61" s="33"/>
      <c r="I61" s="33"/>
      <c r="J61" s="33"/>
      <c r="K61" s="33"/>
      <c r="L61" s="33"/>
      <c r="M61" s="33"/>
      <c r="N61" s="33"/>
      <c r="O61" s="33"/>
      <c r="P61" s="33"/>
      <c r="Q61" t="str">
        <f t="shared" si="7"/>
        <v>Knile Davis</v>
      </c>
      <c r="R61" s="33" t="s">
        <v>2243</v>
      </c>
      <c r="S61" s="33">
        <v>101</v>
      </c>
      <c r="T61" s="33">
        <v>497.5</v>
      </c>
      <c r="U61" s="33">
        <v>4.9000000000000004</v>
      </c>
      <c r="V61" s="33">
        <v>2.5</v>
      </c>
      <c r="W61">
        <v>14</v>
      </c>
      <c r="X61">
        <v>128.5</v>
      </c>
      <c r="Y61">
        <v>9.1999999999999993</v>
      </c>
      <c r="Z61">
        <v>0.5</v>
      </c>
      <c r="AA61">
        <v>0.5</v>
      </c>
      <c r="AB61">
        <v>66</v>
      </c>
      <c r="AD61" t="str">
        <f t="shared" si="4"/>
        <v>Marqise Lee</v>
      </c>
      <c r="AE61" t="s">
        <v>2415</v>
      </c>
      <c r="AF61">
        <v>46.5</v>
      </c>
      <c r="AG61">
        <v>678</v>
      </c>
      <c r="AH61">
        <v>14.6</v>
      </c>
      <c r="AI61">
        <v>4.5</v>
      </c>
      <c r="AJ61">
        <v>1</v>
      </c>
      <c r="AK61">
        <v>86</v>
      </c>
      <c r="AM61" t="str">
        <f t="shared" si="8"/>
        <v>Logan Paulsen</v>
      </c>
      <c r="AN61" t="s">
        <v>2814</v>
      </c>
      <c r="AO61">
        <v>19</v>
      </c>
      <c r="AP61">
        <v>208</v>
      </c>
      <c r="AQ61">
        <v>10.9</v>
      </c>
      <c r="AR61">
        <v>1</v>
      </c>
      <c r="AS61">
        <v>0</v>
      </c>
      <c r="AT61">
        <v>20</v>
      </c>
    </row>
    <row r="62" spans="1:46" ht="12.75" customHeight="1">
      <c r="A62" t="e">
        <f t="shared" si="6"/>
        <v>#VALUE!</v>
      </c>
      <c r="B62" s="33"/>
      <c r="C62" s="33"/>
      <c r="D62" s="33"/>
      <c r="E62" s="33"/>
      <c r="F62" s="33"/>
      <c r="G62" s="33"/>
      <c r="H62" s="33"/>
      <c r="I62" s="33"/>
      <c r="J62" s="33"/>
      <c r="K62" s="33"/>
      <c r="L62" s="33"/>
      <c r="M62" s="33"/>
      <c r="N62" s="33"/>
      <c r="O62" s="33"/>
      <c r="P62" s="33"/>
      <c r="Q62" t="str">
        <f t="shared" si="7"/>
        <v>Lance Dunbar</v>
      </c>
      <c r="R62" s="33" t="s">
        <v>2439</v>
      </c>
      <c r="S62" s="33">
        <v>73.5</v>
      </c>
      <c r="T62" s="33">
        <v>322</v>
      </c>
      <c r="U62" s="33">
        <v>4.4000000000000004</v>
      </c>
      <c r="V62" s="33">
        <v>1.5</v>
      </c>
      <c r="W62">
        <v>34.5</v>
      </c>
      <c r="X62">
        <v>294.5</v>
      </c>
      <c r="Y62">
        <v>8.5</v>
      </c>
      <c r="Z62">
        <v>1</v>
      </c>
      <c r="AA62">
        <v>0</v>
      </c>
      <c r="AB62">
        <v>61</v>
      </c>
      <c r="AD62" t="str">
        <f t="shared" si="4"/>
        <v>Greg Jennings</v>
      </c>
      <c r="AE62" t="s">
        <v>2073</v>
      </c>
      <c r="AF62">
        <v>54</v>
      </c>
      <c r="AG62">
        <v>668</v>
      </c>
      <c r="AH62">
        <v>12.4</v>
      </c>
      <c r="AI62">
        <v>4.5</v>
      </c>
      <c r="AJ62">
        <v>0.5</v>
      </c>
      <c r="AK62">
        <v>85</v>
      </c>
      <c r="AM62" t="str">
        <f t="shared" si="8"/>
        <v>Jacob Tamme</v>
      </c>
      <c r="AN62" t="s">
        <v>2815</v>
      </c>
      <c r="AO62">
        <v>18.5</v>
      </c>
      <c r="AP62">
        <v>195.5</v>
      </c>
      <c r="AQ62">
        <v>10.6</v>
      </c>
      <c r="AR62">
        <v>1</v>
      </c>
      <c r="AS62">
        <v>0</v>
      </c>
      <c r="AT62">
        <v>18</v>
      </c>
    </row>
    <row r="63" spans="1:46" ht="12.75" customHeight="1">
      <c r="A63" t="e">
        <f t="shared" si="6"/>
        <v>#VALUE!</v>
      </c>
      <c r="B63" s="33"/>
      <c r="C63" s="33"/>
      <c r="D63" s="33"/>
      <c r="E63" s="33"/>
      <c r="F63" s="33"/>
      <c r="G63" s="33"/>
      <c r="H63" s="33"/>
      <c r="I63" s="33"/>
      <c r="J63" s="33"/>
      <c r="K63" s="33"/>
      <c r="L63" s="33"/>
      <c r="M63" s="33"/>
      <c r="N63" s="33"/>
      <c r="O63" s="33"/>
      <c r="P63" s="33"/>
      <c r="Q63" t="str">
        <f t="shared" si="7"/>
        <v>James Starks</v>
      </c>
      <c r="R63" s="33" t="s">
        <v>2239</v>
      </c>
      <c r="S63" s="33">
        <v>105.5</v>
      </c>
      <c r="T63" s="33">
        <v>477.5</v>
      </c>
      <c r="U63" s="33">
        <v>4.5</v>
      </c>
      <c r="V63" s="33">
        <v>3</v>
      </c>
      <c r="W63">
        <v>13</v>
      </c>
      <c r="X63">
        <v>111</v>
      </c>
      <c r="Y63">
        <v>8.5</v>
      </c>
      <c r="Z63">
        <v>0</v>
      </c>
      <c r="AA63">
        <v>1</v>
      </c>
      <c r="AB63">
        <v>59</v>
      </c>
      <c r="AD63" t="str">
        <f t="shared" si="4"/>
        <v>Markus Wheaton</v>
      </c>
      <c r="AE63" t="s">
        <v>2170</v>
      </c>
      <c r="AF63">
        <v>45</v>
      </c>
      <c r="AG63">
        <v>683.5</v>
      </c>
      <c r="AH63">
        <v>15.2</v>
      </c>
      <c r="AI63">
        <v>4</v>
      </c>
      <c r="AJ63">
        <v>0.5</v>
      </c>
      <c r="AK63">
        <v>83</v>
      </c>
      <c r="AM63" t="str">
        <f t="shared" si="8"/>
        <v>Zach Sudfeld</v>
      </c>
      <c r="AN63" t="s">
        <v>2816</v>
      </c>
      <c r="AO63">
        <v>16.5</v>
      </c>
      <c r="AP63">
        <v>227.5</v>
      </c>
      <c r="AQ63">
        <v>13.8</v>
      </c>
      <c r="AR63">
        <v>0.5</v>
      </c>
      <c r="AS63">
        <v>0</v>
      </c>
      <c r="AT63">
        <v>18</v>
      </c>
    </row>
    <row r="64" spans="1:46" ht="12.75" customHeight="1">
      <c r="A64" t="e">
        <f t="shared" si="6"/>
        <v>#VALUE!</v>
      </c>
      <c r="B64" s="33"/>
      <c r="C64" s="33"/>
      <c r="D64" s="33"/>
      <c r="E64" s="33"/>
      <c r="F64" s="33"/>
      <c r="G64" s="33"/>
      <c r="H64" s="33"/>
      <c r="I64" s="33"/>
      <c r="J64" s="33"/>
      <c r="K64" s="33"/>
      <c r="L64" s="33"/>
      <c r="M64" s="33"/>
      <c r="N64" s="33"/>
      <c r="O64" s="33"/>
      <c r="P64" s="33"/>
      <c r="Q64" t="str">
        <f t="shared" si="7"/>
        <v>Mike Tolbert</v>
      </c>
      <c r="R64" s="33" t="s">
        <v>2477</v>
      </c>
      <c r="S64" s="33">
        <v>82</v>
      </c>
      <c r="T64" s="33">
        <v>303.5</v>
      </c>
      <c r="U64" s="33">
        <v>3.7</v>
      </c>
      <c r="V64" s="33">
        <v>3.5</v>
      </c>
      <c r="W64">
        <v>22.5</v>
      </c>
      <c r="X64">
        <v>151</v>
      </c>
      <c r="Y64">
        <v>6.7</v>
      </c>
      <c r="Z64">
        <v>1</v>
      </c>
      <c r="AA64">
        <v>0</v>
      </c>
      <c r="AB64">
        <v>55</v>
      </c>
      <c r="AD64" t="str">
        <f t="shared" si="4"/>
        <v>Danny Amendola</v>
      </c>
      <c r="AE64" t="s">
        <v>2067</v>
      </c>
      <c r="AF64">
        <v>59</v>
      </c>
      <c r="AG64">
        <v>678.5</v>
      </c>
      <c r="AH64">
        <v>11.5</v>
      </c>
      <c r="AI64">
        <v>4</v>
      </c>
      <c r="AJ64">
        <v>0.5</v>
      </c>
      <c r="AK64">
        <v>83</v>
      </c>
      <c r="AM64" t="str">
        <f t="shared" si="8"/>
        <v>David Ausberry</v>
      </c>
      <c r="AN64" t="s">
        <v>2817</v>
      </c>
      <c r="AO64">
        <v>14.5</v>
      </c>
      <c r="AP64">
        <v>178</v>
      </c>
      <c r="AQ64">
        <v>12.3</v>
      </c>
      <c r="AR64">
        <v>1</v>
      </c>
      <c r="AS64">
        <v>0</v>
      </c>
      <c r="AT64">
        <v>17</v>
      </c>
    </row>
    <row r="65" spans="1:46" ht="12.75" customHeight="1">
      <c r="A65" t="e">
        <f t="shared" si="6"/>
        <v>#VALUE!</v>
      </c>
      <c r="B65" s="33"/>
      <c r="C65" s="33"/>
      <c r="D65" s="33"/>
      <c r="E65" s="33"/>
      <c r="F65" s="33"/>
      <c r="G65" s="33"/>
      <c r="H65" s="33"/>
      <c r="I65" s="33"/>
      <c r="J65" s="33"/>
      <c r="K65" s="33"/>
      <c r="L65" s="33"/>
      <c r="M65" s="33"/>
      <c r="N65" s="33"/>
      <c r="O65" s="33"/>
      <c r="P65" s="33"/>
      <c r="Q65" t="str">
        <f t="shared" si="7"/>
        <v>Ahmad Bradshaw</v>
      </c>
      <c r="R65" s="33" t="s">
        <v>2344</v>
      </c>
      <c r="S65" s="33">
        <v>106.5</v>
      </c>
      <c r="T65" s="33">
        <v>436.5</v>
      </c>
      <c r="U65" s="33">
        <v>4.0999999999999996</v>
      </c>
      <c r="V65" s="33">
        <v>2</v>
      </c>
      <c r="W65">
        <v>19.5</v>
      </c>
      <c r="X65">
        <v>158.5</v>
      </c>
      <c r="Y65">
        <v>8.1</v>
      </c>
      <c r="Z65">
        <v>0.5</v>
      </c>
      <c r="AA65">
        <v>1.5</v>
      </c>
      <c r="AB65">
        <v>55</v>
      </c>
      <c r="AD65" t="str">
        <f t="shared" si="4"/>
        <v>Andrew Hawkins</v>
      </c>
      <c r="AE65" t="s">
        <v>2229</v>
      </c>
      <c r="AF65">
        <v>51.5</v>
      </c>
      <c r="AG65">
        <v>647</v>
      </c>
      <c r="AH65">
        <v>12.6</v>
      </c>
      <c r="AI65">
        <v>4</v>
      </c>
      <c r="AJ65">
        <v>0</v>
      </c>
      <c r="AK65">
        <v>82</v>
      </c>
      <c r="AM65" t="str">
        <f t="shared" si="8"/>
        <v>Dion Sims</v>
      </c>
      <c r="AN65" t="s">
        <v>2818</v>
      </c>
      <c r="AO65">
        <v>13</v>
      </c>
      <c r="AP65">
        <v>167.5</v>
      </c>
      <c r="AQ65">
        <v>12.9</v>
      </c>
      <c r="AR65">
        <v>1</v>
      </c>
      <c r="AS65">
        <v>0</v>
      </c>
      <c r="AT65">
        <v>15</v>
      </c>
    </row>
    <row r="66" spans="1:46" ht="12.75" customHeight="1">
      <c r="A66" t="e">
        <f t="shared" si="6"/>
        <v>#VALUE!</v>
      </c>
      <c r="B66" s="33"/>
      <c r="C66" s="33"/>
      <c r="D66" s="33"/>
      <c r="E66" s="33"/>
      <c r="F66" s="33"/>
      <c r="G66" s="33"/>
      <c r="H66" s="33"/>
      <c r="I66" s="33"/>
      <c r="J66" s="33"/>
      <c r="K66" s="33"/>
      <c r="L66" s="33"/>
      <c r="M66" s="33"/>
      <c r="N66" s="33"/>
      <c r="O66" s="33"/>
      <c r="P66" s="33"/>
      <c r="Q66" t="str">
        <f t="shared" si="7"/>
        <v>Jonathan Stewart</v>
      </c>
      <c r="R66" s="33" t="s">
        <v>2264</v>
      </c>
      <c r="S66" s="33">
        <v>89</v>
      </c>
      <c r="T66" s="33">
        <v>378.5</v>
      </c>
      <c r="U66" s="33">
        <v>4.3</v>
      </c>
      <c r="V66" s="33">
        <v>2</v>
      </c>
      <c r="W66">
        <v>18</v>
      </c>
      <c r="X66">
        <v>135</v>
      </c>
      <c r="Y66">
        <v>7.5</v>
      </c>
      <c r="Z66">
        <v>1</v>
      </c>
      <c r="AA66">
        <v>0.5</v>
      </c>
      <c r="AB66">
        <v>53</v>
      </c>
      <c r="AD66" t="str">
        <f t="shared" si="4"/>
        <v>Robert Woods</v>
      </c>
      <c r="AE66" t="s">
        <v>2481</v>
      </c>
      <c r="AF66">
        <v>53</v>
      </c>
      <c r="AG66">
        <v>695</v>
      </c>
      <c r="AH66">
        <v>13.1</v>
      </c>
      <c r="AI66">
        <v>3.5</v>
      </c>
      <c r="AJ66">
        <v>0.5</v>
      </c>
      <c r="AK66">
        <v>82</v>
      </c>
      <c r="AM66" t="str">
        <f t="shared" si="8"/>
        <v>Gary Barnidge</v>
      </c>
      <c r="AN66" t="s">
        <v>2819</v>
      </c>
      <c r="AO66">
        <v>16</v>
      </c>
      <c r="AP66">
        <v>148</v>
      </c>
      <c r="AQ66">
        <v>9.1999999999999993</v>
      </c>
      <c r="AR66">
        <v>1</v>
      </c>
      <c r="AS66">
        <v>0</v>
      </c>
      <c r="AT66">
        <v>13</v>
      </c>
    </row>
    <row r="67" spans="1:46" ht="12.75" customHeight="1">
      <c r="B67" s="33"/>
      <c r="C67" s="33"/>
      <c r="D67" s="33"/>
      <c r="E67" s="33"/>
      <c r="F67" s="33"/>
      <c r="G67" s="33"/>
      <c r="H67" s="33"/>
      <c r="I67" s="33"/>
      <c r="J67" s="33"/>
      <c r="K67" s="33"/>
      <c r="L67" s="33"/>
      <c r="M67" s="33"/>
      <c r="N67" s="33"/>
      <c r="O67" s="33"/>
      <c r="P67" s="33"/>
      <c r="Q67" t="str">
        <f t="shared" si="7"/>
        <v>Roy Helu</v>
      </c>
      <c r="R67" s="33" t="s">
        <v>2255</v>
      </c>
      <c r="S67" s="33">
        <v>78.5</v>
      </c>
      <c r="T67" s="33">
        <v>327.5</v>
      </c>
      <c r="U67" s="33">
        <v>4.2</v>
      </c>
      <c r="V67" s="33">
        <v>1</v>
      </c>
      <c r="W67">
        <v>37</v>
      </c>
      <c r="X67">
        <v>296.5</v>
      </c>
      <c r="Y67">
        <v>8</v>
      </c>
      <c r="Z67">
        <v>0.5</v>
      </c>
      <c r="AA67">
        <v>1</v>
      </c>
      <c r="AB67">
        <v>53</v>
      </c>
      <c r="AD67" t="str">
        <f t="shared" si="4"/>
        <v>James Jones</v>
      </c>
      <c r="AE67" t="s">
        <v>2113</v>
      </c>
      <c r="AF67">
        <v>51.5</v>
      </c>
      <c r="AG67">
        <v>643.5</v>
      </c>
      <c r="AH67">
        <v>12.5</v>
      </c>
      <c r="AI67">
        <v>4</v>
      </c>
      <c r="AJ67">
        <v>0</v>
      </c>
      <c r="AK67">
        <v>81</v>
      </c>
      <c r="AM67" t="str">
        <f t="shared" si="8"/>
        <v>Michael Hoomanawanui</v>
      </c>
      <c r="AN67" t="s">
        <v>2820</v>
      </c>
      <c r="AO67">
        <v>14.5</v>
      </c>
      <c r="AP67">
        <v>171</v>
      </c>
      <c r="AQ67">
        <v>11.8</v>
      </c>
      <c r="AR67">
        <v>0.5</v>
      </c>
      <c r="AS67">
        <v>0</v>
      </c>
      <c r="AT67">
        <v>12</v>
      </c>
    </row>
    <row r="68" spans="1:46" ht="12.75" customHeight="1">
      <c r="B68" s="33"/>
      <c r="C68" s="33"/>
      <c r="D68" s="33"/>
      <c r="E68" s="33"/>
      <c r="F68" s="33"/>
      <c r="G68" s="33"/>
      <c r="H68" s="33"/>
      <c r="I68" s="33"/>
      <c r="J68" s="33"/>
      <c r="K68" s="33"/>
      <c r="L68" s="33"/>
      <c r="M68" s="33"/>
      <c r="N68" s="33"/>
      <c r="O68" s="33"/>
      <c r="P68" s="33"/>
      <c r="Q68" t="str">
        <f t="shared" ref="Q68:Q99" si="9">LEFT(R68,(FIND(",",R68)-1))</f>
        <v>Donald Brown</v>
      </c>
      <c r="R68" s="33" t="s">
        <v>2160</v>
      </c>
      <c r="S68" s="33">
        <v>88</v>
      </c>
      <c r="T68" s="33">
        <v>391.5</v>
      </c>
      <c r="U68" s="33">
        <v>4.4000000000000004</v>
      </c>
      <c r="V68" s="33">
        <v>2</v>
      </c>
      <c r="W68">
        <v>16.5</v>
      </c>
      <c r="X68">
        <v>140.5</v>
      </c>
      <c r="Y68">
        <v>8.5</v>
      </c>
      <c r="Z68">
        <v>0.5</v>
      </c>
      <c r="AA68">
        <v>0</v>
      </c>
      <c r="AB68">
        <v>52</v>
      </c>
      <c r="AD68" t="str">
        <f t="shared" ref="AD68:AD131" si="10">LEFT(AE68,(FIND(",",AE68)-1))</f>
        <v>Jerricho Cotchery</v>
      </c>
      <c r="AE68" t="s">
        <v>2296</v>
      </c>
      <c r="AF68">
        <v>48.5</v>
      </c>
      <c r="AG68">
        <v>659.5</v>
      </c>
      <c r="AH68">
        <v>13.6</v>
      </c>
      <c r="AI68">
        <v>4</v>
      </c>
      <c r="AJ68">
        <v>1.5</v>
      </c>
      <c r="AK68">
        <v>80</v>
      </c>
      <c r="AM68" t="str">
        <f t="shared" ref="AM68:AM99" si="11">LEFT(AN68,(FIND(",",AN68)-1))</f>
        <v>Virgil Green</v>
      </c>
      <c r="AN68" t="s">
        <v>2821</v>
      </c>
      <c r="AO68">
        <v>12</v>
      </c>
      <c r="AP68">
        <v>165.5</v>
      </c>
      <c r="AQ68">
        <v>13.8</v>
      </c>
      <c r="AR68">
        <v>0.5</v>
      </c>
      <c r="AS68">
        <v>0</v>
      </c>
      <c r="AT68">
        <v>12</v>
      </c>
    </row>
    <row r="69" spans="1:46" ht="12.75" customHeight="1">
      <c r="B69" s="33"/>
      <c r="C69" s="33"/>
      <c r="D69" s="33"/>
      <c r="E69" s="33"/>
      <c r="F69" s="33"/>
      <c r="G69" s="33"/>
      <c r="H69" s="33"/>
      <c r="I69" s="33"/>
      <c r="J69" s="33"/>
      <c r="K69" s="33"/>
      <c r="L69" s="33"/>
      <c r="M69" s="33"/>
      <c r="N69" s="33"/>
      <c r="O69" s="33"/>
      <c r="P69" s="33"/>
      <c r="Q69" t="str">
        <f t="shared" si="9"/>
        <v>Jerick McKinnon</v>
      </c>
      <c r="R69" s="33" t="s">
        <v>2506</v>
      </c>
      <c r="S69" s="33">
        <v>61.5</v>
      </c>
      <c r="T69" s="33">
        <v>276</v>
      </c>
      <c r="U69" s="33">
        <v>4.5</v>
      </c>
      <c r="V69" s="33">
        <v>1.5</v>
      </c>
      <c r="W69">
        <v>25</v>
      </c>
      <c r="X69">
        <v>217.5</v>
      </c>
      <c r="Y69">
        <v>8.6999999999999993</v>
      </c>
      <c r="Z69">
        <v>1</v>
      </c>
      <c r="AA69">
        <v>0.5</v>
      </c>
      <c r="AB69">
        <v>48</v>
      </c>
      <c r="AD69" t="str">
        <f t="shared" si="10"/>
        <v>Andre Holmes</v>
      </c>
      <c r="AE69" t="s">
        <v>2531</v>
      </c>
      <c r="AF69">
        <v>40</v>
      </c>
      <c r="AG69">
        <v>622.5</v>
      </c>
      <c r="AH69">
        <v>15.6</v>
      </c>
      <c r="AI69">
        <v>4.5</v>
      </c>
      <c r="AJ69">
        <v>0</v>
      </c>
      <c r="AK69">
        <v>80</v>
      </c>
      <c r="AM69" t="str">
        <f t="shared" si="11"/>
        <v>Cory Harkey</v>
      </c>
      <c r="AN69" t="s">
        <v>2822</v>
      </c>
      <c r="AO69">
        <v>12.5</v>
      </c>
      <c r="AP69">
        <v>121.5</v>
      </c>
      <c r="AQ69">
        <v>9.6999999999999993</v>
      </c>
      <c r="AR69">
        <v>1</v>
      </c>
      <c r="AS69">
        <v>0</v>
      </c>
      <c r="AT69">
        <v>11</v>
      </c>
    </row>
    <row r="70" spans="1:46" ht="12.75" customHeight="1">
      <c r="B70" s="33"/>
      <c r="C70" s="33"/>
      <c r="D70" s="33"/>
      <c r="E70" s="33"/>
      <c r="F70" s="33"/>
      <c r="G70" s="33"/>
      <c r="H70" s="33"/>
      <c r="I70" s="33"/>
      <c r="J70" s="33"/>
      <c r="K70" s="33"/>
      <c r="L70" s="33"/>
      <c r="M70" s="33"/>
      <c r="N70" s="33"/>
      <c r="O70" s="33"/>
      <c r="P70" s="33"/>
      <c r="Q70" t="str">
        <f t="shared" si="9"/>
        <v>Travaris Cadet</v>
      </c>
      <c r="R70" s="33" t="s">
        <v>2585</v>
      </c>
      <c r="S70" s="33">
        <v>46</v>
      </c>
      <c r="T70" s="33">
        <v>224.5</v>
      </c>
      <c r="U70" s="33">
        <v>4.9000000000000004</v>
      </c>
      <c r="V70" s="33">
        <v>0.5</v>
      </c>
      <c r="W70">
        <v>34.5</v>
      </c>
      <c r="X70">
        <v>271</v>
      </c>
      <c r="Y70">
        <v>7.9</v>
      </c>
      <c r="Z70">
        <v>2</v>
      </c>
      <c r="AA70">
        <v>0</v>
      </c>
      <c r="AB70">
        <v>48</v>
      </c>
      <c r="AD70" t="str">
        <f t="shared" si="10"/>
        <v>Marvin Jones</v>
      </c>
      <c r="AE70" t="s">
        <v>2492</v>
      </c>
      <c r="AF70">
        <v>42</v>
      </c>
      <c r="AG70">
        <v>606.5</v>
      </c>
      <c r="AH70">
        <v>14.4</v>
      </c>
      <c r="AI70">
        <v>5</v>
      </c>
      <c r="AJ70">
        <v>1</v>
      </c>
      <c r="AK70">
        <v>80</v>
      </c>
      <c r="AM70" t="str">
        <f t="shared" si="11"/>
        <v>Josh Hill</v>
      </c>
      <c r="AN70" t="s">
        <v>2823</v>
      </c>
      <c r="AO70">
        <v>11</v>
      </c>
      <c r="AP70">
        <v>115</v>
      </c>
      <c r="AQ70">
        <v>10.5</v>
      </c>
      <c r="AR70">
        <v>1</v>
      </c>
      <c r="AS70">
        <v>0</v>
      </c>
      <c r="AT70">
        <v>11</v>
      </c>
    </row>
    <row r="71" spans="1:46" ht="12.75" customHeight="1">
      <c r="B71" s="33"/>
      <c r="C71" s="33"/>
      <c r="D71" s="33"/>
      <c r="E71" s="33"/>
      <c r="F71" s="33"/>
      <c r="G71" s="33"/>
      <c r="H71" s="33"/>
      <c r="I71" s="33"/>
      <c r="J71" s="33"/>
      <c r="K71" s="33"/>
      <c r="L71" s="33"/>
      <c r="M71" s="33"/>
      <c r="N71" s="33"/>
      <c r="O71" s="33"/>
      <c r="P71" s="33"/>
      <c r="Q71" t="str">
        <f t="shared" si="9"/>
        <v>Robert Turbin</v>
      </c>
      <c r="R71" s="33" t="s">
        <v>2459</v>
      </c>
      <c r="S71" s="33">
        <v>83</v>
      </c>
      <c r="T71" s="33">
        <v>385.5</v>
      </c>
      <c r="U71" s="33">
        <v>4.5999999999999996</v>
      </c>
      <c r="V71" s="33">
        <v>2</v>
      </c>
      <c r="W71">
        <v>13</v>
      </c>
      <c r="X71">
        <v>118.5</v>
      </c>
      <c r="Y71">
        <v>9.1</v>
      </c>
      <c r="Z71">
        <v>0</v>
      </c>
      <c r="AA71">
        <v>0.5</v>
      </c>
      <c r="AB71">
        <v>47</v>
      </c>
      <c r="AD71" t="str">
        <f t="shared" si="10"/>
        <v>Mohamed Sanu</v>
      </c>
      <c r="AE71" t="s">
        <v>2581</v>
      </c>
      <c r="AF71">
        <v>51</v>
      </c>
      <c r="AG71">
        <v>628.5</v>
      </c>
      <c r="AH71">
        <v>12.3</v>
      </c>
      <c r="AI71">
        <v>3.5</v>
      </c>
      <c r="AJ71">
        <v>0</v>
      </c>
      <c r="AK71">
        <v>76</v>
      </c>
      <c r="AM71" t="str">
        <f t="shared" si="11"/>
        <v>Dante Rosario</v>
      </c>
      <c r="AN71" t="s">
        <v>2824</v>
      </c>
      <c r="AO71">
        <v>9</v>
      </c>
      <c r="AP71">
        <v>116.5</v>
      </c>
      <c r="AQ71">
        <v>12.9</v>
      </c>
      <c r="AR71">
        <v>1</v>
      </c>
      <c r="AS71">
        <v>0</v>
      </c>
      <c r="AT71">
        <v>11</v>
      </c>
    </row>
    <row r="72" spans="1:46" ht="12.75" customHeight="1">
      <c r="B72" s="33"/>
      <c r="C72" s="33"/>
      <c r="D72" s="33"/>
      <c r="E72" s="33"/>
      <c r="F72" s="33"/>
      <c r="G72" s="33"/>
      <c r="H72" s="33"/>
      <c r="I72" s="33"/>
      <c r="J72" s="33"/>
      <c r="K72" s="33"/>
      <c r="L72" s="33"/>
      <c r="M72" s="33"/>
      <c r="N72" s="33"/>
      <c r="O72" s="33"/>
      <c r="P72" s="33"/>
      <c r="Q72" t="str">
        <f t="shared" si="9"/>
        <v>Jacquizz Rodgers</v>
      </c>
      <c r="R72" s="33" t="s">
        <v>2504</v>
      </c>
      <c r="S72" s="33">
        <v>70.5</v>
      </c>
      <c r="T72" s="33">
        <v>279.5</v>
      </c>
      <c r="U72" s="33">
        <v>4</v>
      </c>
      <c r="V72" s="33">
        <v>0.5</v>
      </c>
      <c r="W72">
        <v>28.5</v>
      </c>
      <c r="X72">
        <v>207.5</v>
      </c>
      <c r="Y72">
        <v>7.3</v>
      </c>
      <c r="Z72">
        <v>1.5</v>
      </c>
      <c r="AA72">
        <v>1</v>
      </c>
      <c r="AB72">
        <v>42</v>
      </c>
      <c r="AD72" t="str">
        <f t="shared" si="10"/>
        <v>Odell Beckham</v>
      </c>
      <c r="AE72" t="s">
        <v>2431</v>
      </c>
      <c r="AF72">
        <v>40</v>
      </c>
      <c r="AG72">
        <v>599</v>
      </c>
      <c r="AH72">
        <v>15</v>
      </c>
      <c r="AI72">
        <v>4</v>
      </c>
      <c r="AJ72">
        <v>0.5</v>
      </c>
      <c r="AK72">
        <v>76</v>
      </c>
      <c r="AM72" t="str">
        <f t="shared" si="11"/>
        <v>Rhett Ellison</v>
      </c>
      <c r="AN72" t="s">
        <v>2825</v>
      </c>
      <c r="AO72">
        <v>13</v>
      </c>
      <c r="AP72">
        <v>150</v>
      </c>
      <c r="AQ72">
        <v>11.5</v>
      </c>
      <c r="AR72">
        <v>0.5</v>
      </c>
      <c r="AS72">
        <v>0</v>
      </c>
      <c r="AT72">
        <v>10</v>
      </c>
    </row>
    <row r="73" spans="1:46" ht="12.75" customHeight="1">
      <c r="B73" s="33"/>
      <c r="C73" s="33"/>
      <c r="D73" s="33"/>
      <c r="E73" s="33"/>
      <c r="F73" s="33"/>
      <c r="G73" s="33"/>
      <c r="H73" s="33"/>
      <c r="I73" s="33"/>
      <c r="J73" s="33"/>
      <c r="K73" s="33"/>
      <c r="L73" s="33"/>
      <c r="M73" s="33"/>
      <c r="N73" s="33"/>
      <c r="O73" s="33"/>
      <c r="P73" s="33"/>
      <c r="Q73" t="str">
        <f t="shared" si="9"/>
        <v>C.J. Anderson</v>
      </c>
      <c r="R73" s="33" t="s">
        <v>2249</v>
      </c>
      <c r="S73" s="33">
        <v>77.5</v>
      </c>
      <c r="T73" s="33">
        <v>327</v>
      </c>
      <c r="U73" s="33">
        <v>4.2</v>
      </c>
      <c r="V73" s="33">
        <v>2</v>
      </c>
      <c r="W73">
        <v>9.5</v>
      </c>
      <c r="X73">
        <v>79</v>
      </c>
      <c r="Y73">
        <v>8.3000000000000007</v>
      </c>
      <c r="Z73">
        <v>0.5</v>
      </c>
      <c r="AA73">
        <v>0.5</v>
      </c>
      <c r="AB73">
        <v>42</v>
      </c>
      <c r="AD73" t="str">
        <f t="shared" si="10"/>
        <v>Malcom Floyd</v>
      </c>
      <c r="AE73" t="s">
        <v>2455</v>
      </c>
      <c r="AF73">
        <v>41.5</v>
      </c>
      <c r="AG73">
        <v>589</v>
      </c>
      <c r="AH73">
        <v>14.2</v>
      </c>
      <c r="AI73">
        <v>4</v>
      </c>
      <c r="AJ73">
        <v>0.5</v>
      </c>
      <c r="AK73">
        <v>73</v>
      </c>
      <c r="AM73" t="str">
        <f t="shared" si="11"/>
        <v>Bear Pascoe</v>
      </c>
      <c r="AN73" t="s">
        <v>2826</v>
      </c>
      <c r="AO73">
        <v>13</v>
      </c>
      <c r="AP73">
        <v>128</v>
      </c>
      <c r="AQ73">
        <v>9.8000000000000007</v>
      </c>
      <c r="AR73">
        <v>0.5</v>
      </c>
      <c r="AS73">
        <v>0</v>
      </c>
      <c r="AT73">
        <v>9</v>
      </c>
    </row>
    <row r="74" spans="1:46" ht="12.75" customHeight="1">
      <c r="B74" s="33"/>
      <c r="C74" s="33"/>
      <c r="D74" s="33"/>
      <c r="E74" s="33"/>
      <c r="F74" s="33"/>
      <c r="G74" s="33"/>
      <c r="H74" s="33"/>
      <c r="I74" s="33"/>
      <c r="J74" s="33"/>
      <c r="K74" s="33"/>
      <c r="L74" s="33"/>
      <c r="M74" s="33"/>
      <c r="N74" s="33"/>
      <c r="O74" s="33"/>
      <c r="P74" s="33"/>
      <c r="Q74" t="str">
        <f t="shared" si="9"/>
        <v>Marcus Lattimore</v>
      </c>
      <c r="R74" s="33" t="s">
        <v>2615</v>
      </c>
      <c r="S74" s="33">
        <v>72.5</v>
      </c>
      <c r="T74" s="33">
        <v>332</v>
      </c>
      <c r="U74" s="33">
        <v>4.5999999999999996</v>
      </c>
      <c r="V74" s="33">
        <v>2.5</v>
      </c>
      <c r="W74">
        <v>6.5</v>
      </c>
      <c r="X74">
        <v>58</v>
      </c>
      <c r="Y74">
        <v>8.9</v>
      </c>
      <c r="Z74">
        <v>0</v>
      </c>
      <c r="AA74">
        <v>0</v>
      </c>
      <c r="AB74">
        <v>42</v>
      </c>
      <c r="AD74" t="str">
        <f t="shared" si="10"/>
        <v>Nate Washington</v>
      </c>
      <c r="AE74" t="s">
        <v>2522</v>
      </c>
      <c r="AF74">
        <v>43.5</v>
      </c>
      <c r="AG74">
        <v>603.5</v>
      </c>
      <c r="AH74">
        <v>13.9</v>
      </c>
      <c r="AI74">
        <v>3.5</v>
      </c>
      <c r="AJ74">
        <v>0.5</v>
      </c>
      <c r="AK74">
        <v>72</v>
      </c>
      <c r="AM74" t="str">
        <f t="shared" si="11"/>
        <v>Matt Spaeth</v>
      </c>
      <c r="AN74" t="s">
        <v>2827</v>
      </c>
      <c r="AO74">
        <v>6.5</v>
      </c>
      <c r="AP74">
        <v>73</v>
      </c>
      <c r="AQ74">
        <v>11.2</v>
      </c>
      <c r="AR74">
        <v>1</v>
      </c>
      <c r="AS74">
        <v>0</v>
      </c>
      <c r="AT74">
        <v>9</v>
      </c>
    </row>
    <row r="75" spans="1:46" ht="12.75" customHeight="1">
      <c r="B75" s="33"/>
      <c r="C75" s="33"/>
      <c r="D75" s="33"/>
      <c r="E75" s="33"/>
      <c r="F75" s="33"/>
      <c r="G75" s="33"/>
      <c r="H75" s="33"/>
      <c r="I75" s="33"/>
      <c r="J75" s="33"/>
      <c r="K75" s="33"/>
      <c r="L75" s="33"/>
      <c r="M75" s="33"/>
      <c r="N75" s="33"/>
      <c r="O75" s="33"/>
      <c r="P75" s="33"/>
      <c r="Q75" t="str">
        <f t="shared" si="9"/>
        <v>Dri Archer</v>
      </c>
      <c r="R75" s="33" t="s">
        <v>2691</v>
      </c>
      <c r="S75" s="33">
        <v>32.5</v>
      </c>
      <c r="T75" s="33">
        <v>162.5</v>
      </c>
      <c r="U75" s="33">
        <v>5</v>
      </c>
      <c r="V75" s="33">
        <v>1</v>
      </c>
      <c r="W75">
        <v>26</v>
      </c>
      <c r="X75">
        <v>261</v>
      </c>
      <c r="Y75">
        <v>10</v>
      </c>
      <c r="Z75">
        <v>1.5</v>
      </c>
      <c r="AA75">
        <v>0.5</v>
      </c>
      <c r="AB75">
        <v>41</v>
      </c>
      <c r="AD75" t="str">
        <f t="shared" si="10"/>
        <v>Miles Austin</v>
      </c>
      <c r="AE75" t="s">
        <v>2651</v>
      </c>
      <c r="AF75">
        <v>47</v>
      </c>
      <c r="AG75">
        <v>596</v>
      </c>
      <c r="AH75">
        <v>12.7</v>
      </c>
      <c r="AI75">
        <v>3.5</v>
      </c>
      <c r="AJ75">
        <v>0.5</v>
      </c>
      <c r="AK75">
        <v>72</v>
      </c>
      <c r="AM75" t="str">
        <f t="shared" si="11"/>
        <v>James Hanna</v>
      </c>
      <c r="AN75" t="s">
        <v>2828</v>
      </c>
      <c r="AO75">
        <v>13</v>
      </c>
      <c r="AP75">
        <v>137</v>
      </c>
      <c r="AQ75">
        <v>10.5</v>
      </c>
      <c r="AR75">
        <v>0.5</v>
      </c>
      <c r="AS75">
        <v>0</v>
      </c>
      <c r="AT75">
        <v>9</v>
      </c>
    </row>
    <row r="76" spans="1:46" ht="12.75" customHeight="1">
      <c r="B76" s="33"/>
      <c r="C76" s="33"/>
      <c r="D76" s="33"/>
      <c r="E76" s="33"/>
      <c r="F76" s="33"/>
      <c r="G76" s="33"/>
      <c r="H76" s="33"/>
      <c r="I76" s="33"/>
      <c r="J76" s="33"/>
      <c r="K76" s="33"/>
      <c r="L76" s="33"/>
      <c r="M76" s="33"/>
      <c r="N76" s="33"/>
      <c r="O76" s="33"/>
      <c r="P76" s="33"/>
      <c r="Q76" t="str">
        <f t="shared" si="9"/>
        <v>Marcel Reece</v>
      </c>
      <c r="R76" s="33" t="s">
        <v>2453</v>
      </c>
      <c r="S76" s="33">
        <v>39.5</v>
      </c>
      <c r="T76" s="33">
        <v>179.5</v>
      </c>
      <c r="U76" s="33">
        <v>4.5</v>
      </c>
      <c r="V76" s="33">
        <v>2</v>
      </c>
      <c r="W76">
        <v>26.5</v>
      </c>
      <c r="X76">
        <v>236.5</v>
      </c>
      <c r="Y76">
        <v>8.9</v>
      </c>
      <c r="Z76">
        <v>0.5</v>
      </c>
      <c r="AA76">
        <v>0</v>
      </c>
      <c r="AB76">
        <v>41</v>
      </c>
      <c r="AD76" t="str">
        <f t="shared" si="10"/>
        <v>John Brown</v>
      </c>
      <c r="AE76" t="s">
        <v>2681</v>
      </c>
      <c r="AF76">
        <v>37.5</v>
      </c>
      <c r="AG76">
        <v>608.5</v>
      </c>
      <c r="AH76">
        <v>16.2</v>
      </c>
      <c r="AI76">
        <v>3</v>
      </c>
      <c r="AJ76">
        <v>0</v>
      </c>
      <c r="AK76">
        <v>72</v>
      </c>
      <c r="AM76" t="str">
        <f t="shared" si="11"/>
        <v>James Casey</v>
      </c>
      <c r="AN76" t="s">
        <v>2829</v>
      </c>
      <c r="AO76">
        <v>11</v>
      </c>
      <c r="AP76">
        <v>130</v>
      </c>
      <c r="AQ76">
        <v>11.8</v>
      </c>
      <c r="AR76">
        <v>0.5</v>
      </c>
      <c r="AS76">
        <v>0</v>
      </c>
      <c r="AT76">
        <v>9</v>
      </c>
    </row>
    <row r="77" spans="1:46" ht="12.75" customHeight="1">
      <c r="B77" s="33"/>
      <c r="C77" s="33"/>
      <c r="D77" s="33"/>
      <c r="E77" s="33"/>
      <c r="F77" s="33"/>
      <c r="G77" s="33"/>
      <c r="H77" s="33"/>
      <c r="I77" s="33"/>
      <c r="J77" s="33"/>
      <c r="K77" s="33"/>
      <c r="L77" s="33"/>
      <c r="M77" s="33"/>
      <c r="N77" s="33"/>
      <c r="O77" s="33"/>
      <c r="P77" s="33"/>
      <c r="Q77" t="str">
        <f t="shared" si="9"/>
        <v>Chris Polk</v>
      </c>
      <c r="R77" s="33" t="s">
        <v>2419</v>
      </c>
      <c r="S77" s="33">
        <v>64.5</v>
      </c>
      <c r="T77" s="33">
        <v>298</v>
      </c>
      <c r="U77" s="33">
        <v>4.5999999999999996</v>
      </c>
      <c r="V77" s="33">
        <v>2.5</v>
      </c>
      <c r="W77">
        <v>10.5</v>
      </c>
      <c r="X77">
        <v>82</v>
      </c>
      <c r="Y77">
        <v>7.8</v>
      </c>
      <c r="Z77">
        <v>0</v>
      </c>
      <c r="AA77">
        <v>0.5</v>
      </c>
      <c r="AB77">
        <v>39</v>
      </c>
      <c r="AD77" t="str">
        <f t="shared" si="10"/>
        <v>Jeremy Kerley</v>
      </c>
      <c r="AE77" t="s">
        <v>2487</v>
      </c>
      <c r="AF77">
        <v>45.5</v>
      </c>
      <c r="AG77">
        <v>601</v>
      </c>
      <c r="AH77">
        <v>13.2</v>
      </c>
      <c r="AI77">
        <v>3</v>
      </c>
      <c r="AJ77">
        <v>1</v>
      </c>
      <c r="AK77">
        <v>69</v>
      </c>
      <c r="AM77" t="str">
        <f t="shared" si="11"/>
        <v>Anthony McCoy</v>
      </c>
      <c r="AN77" t="s">
        <v>2830</v>
      </c>
      <c r="AO77">
        <v>10</v>
      </c>
      <c r="AP77">
        <v>113.5</v>
      </c>
      <c r="AQ77">
        <v>11.3</v>
      </c>
      <c r="AR77">
        <v>0.5</v>
      </c>
      <c r="AS77">
        <v>0</v>
      </c>
      <c r="AT77">
        <v>8</v>
      </c>
    </row>
    <row r="78" spans="1:46" ht="12.75" customHeight="1">
      <c r="B78" s="33"/>
      <c r="C78" s="33"/>
      <c r="D78" s="33"/>
      <c r="E78" s="33"/>
      <c r="F78" s="33"/>
      <c r="G78" s="33"/>
      <c r="H78" s="33"/>
      <c r="I78" s="33"/>
      <c r="J78" s="33"/>
      <c r="K78" s="33"/>
      <c r="L78" s="33"/>
      <c r="M78" s="33"/>
      <c r="N78" s="33"/>
      <c r="O78" s="33"/>
      <c r="P78" s="33"/>
      <c r="Q78" t="str">
        <f t="shared" si="9"/>
        <v>Latavius Murray</v>
      </c>
      <c r="R78" s="33" t="s">
        <v>2397</v>
      </c>
      <c r="S78" s="33">
        <v>60.5</v>
      </c>
      <c r="T78" s="33">
        <v>256</v>
      </c>
      <c r="U78" s="33">
        <v>4.2</v>
      </c>
      <c r="V78" s="33">
        <v>3</v>
      </c>
      <c r="W78">
        <v>10</v>
      </c>
      <c r="X78">
        <v>74.5</v>
      </c>
      <c r="Y78">
        <v>7.5</v>
      </c>
      <c r="Z78">
        <v>0</v>
      </c>
      <c r="AA78">
        <v>0</v>
      </c>
      <c r="AB78">
        <v>39</v>
      </c>
      <c r="AD78" t="str">
        <f t="shared" si="10"/>
        <v>Davante Adams</v>
      </c>
      <c r="AE78" t="s">
        <v>2629</v>
      </c>
      <c r="AF78">
        <v>35.5</v>
      </c>
      <c r="AG78">
        <v>536.5</v>
      </c>
      <c r="AH78">
        <v>15.1</v>
      </c>
      <c r="AI78">
        <v>4</v>
      </c>
      <c r="AJ78">
        <v>1</v>
      </c>
      <c r="AK78">
        <v>68</v>
      </c>
      <c r="AM78" t="str">
        <f t="shared" si="11"/>
        <v>Jim Dray</v>
      </c>
      <c r="AN78" t="s">
        <v>2831</v>
      </c>
      <c r="AO78">
        <v>8.5</v>
      </c>
      <c r="AP78">
        <v>85.5</v>
      </c>
      <c r="AQ78">
        <v>10.1</v>
      </c>
      <c r="AR78">
        <v>0.5</v>
      </c>
      <c r="AS78">
        <v>0</v>
      </c>
      <c r="AT78">
        <v>7</v>
      </c>
    </row>
    <row r="79" spans="1:46" ht="12.75" customHeight="1">
      <c r="B79" s="33"/>
      <c r="C79" s="33"/>
      <c r="D79" s="33"/>
      <c r="E79" s="33"/>
      <c r="F79" s="33"/>
      <c r="G79" s="33"/>
      <c r="H79" s="33"/>
      <c r="I79" s="33"/>
      <c r="J79" s="33"/>
      <c r="K79" s="33"/>
      <c r="L79" s="33"/>
      <c r="M79" s="33"/>
      <c r="N79" s="33"/>
      <c r="O79" s="33"/>
      <c r="P79" s="33"/>
      <c r="Q79" t="str">
        <f t="shared" si="9"/>
        <v>Denard Robinson</v>
      </c>
      <c r="R79" s="33" t="s">
        <v>2551</v>
      </c>
      <c r="S79" s="33">
        <v>66</v>
      </c>
      <c r="T79" s="33">
        <v>304.5</v>
      </c>
      <c r="U79" s="33">
        <v>4.5999999999999996</v>
      </c>
      <c r="V79" s="33">
        <v>1.5</v>
      </c>
      <c r="W79">
        <v>13.5</v>
      </c>
      <c r="X79">
        <v>122</v>
      </c>
      <c r="Y79">
        <v>9</v>
      </c>
      <c r="Z79">
        <v>0.5</v>
      </c>
      <c r="AA79">
        <v>1.5</v>
      </c>
      <c r="AB79">
        <v>37</v>
      </c>
      <c r="AD79" t="str">
        <f t="shared" si="10"/>
        <v>Lance Moore</v>
      </c>
      <c r="AE79" t="s">
        <v>2473</v>
      </c>
      <c r="AF79">
        <v>49.5</v>
      </c>
      <c r="AG79">
        <v>619</v>
      </c>
      <c r="AH79">
        <v>12.5</v>
      </c>
      <c r="AI79">
        <v>2.5</v>
      </c>
      <c r="AJ79">
        <v>0</v>
      </c>
      <c r="AK79">
        <v>68</v>
      </c>
      <c r="AM79" t="str">
        <f t="shared" si="11"/>
        <v>Chris Gragg</v>
      </c>
      <c r="AN79" t="s">
        <v>2832</v>
      </c>
      <c r="AO79">
        <v>7.5</v>
      </c>
      <c r="AP79">
        <v>82.5</v>
      </c>
      <c r="AQ79">
        <v>11</v>
      </c>
      <c r="AR79">
        <v>0.5</v>
      </c>
      <c r="AS79">
        <v>0</v>
      </c>
      <c r="AT79">
        <v>7</v>
      </c>
    </row>
    <row r="80" spans="1:46" ht="12.75" customHeight="1">
      <c r="B80" s="33"/>
      <c r="C80" s="33"/>
      <c r="D80" s="33"/>
      <c r="E80" s="33"/>
      <c r="F80" s="33"/>
      <c r="G80" s="33"/>
      <c r="H80" s="33"/>
      <c r="I80" s="33"/>
      <c r="J80" s="33"/>
      <c r="K80" s="33"/>
      <c r="L80" s="33"/>
      <c r="M80" s="33"/>
      <c r="N80" s="33"/>
      <c r="O80" s="33"/>
      <c r="P80" s="33"/>
      <c r="Q80" t="str">
        <f t="shared" si="9"/>
        <v>Bobby Rainey</v>
      </c>
      <c r="R80" s="33" t="s">
        <v>2496</v>
      </c>
      <c r="S80" s="33">
        <v>71</v>
      </c>
      <c r="T80" s="33">
        <v>296.5</v>
      </c>
      <c r="U80" s="33">
        <v>4.2</v>
      </c>
      <c r="V80" s="33">
        <v>1.5</v>
      </c>
      <c r="W80">
        <v>14</v>
      </c>
      <c r="X80">
        <v>104.5</v>
      </c>
      <c r="Y80">
        <v>7.5</v>
      </c>
      <c r="Z80">
        <v>0.5</v>
      </c>
      <c r="AA80">
        <v>0</v>
      </c>
      <c r="AB80">
        <v>37</v>
      </c>
      <c r="AD80" t="str">
        <f t="shared" si="10"/>
        <v>Mike Williams</v>
      </c>
      <c r="AE80" t="s">
        <v>2312</v>
      </c>
      <c r="AF80">
        <v>43</v>
      </c>
      <c r="AG80">
        <v>583.5</v>
      </c>
      <c r="AH80">
        <v>13.6</v>
      </c>
      <c r="AI80">
        <v>3</v>
      </c>
      <c r="AJ80">
        <v>0.5</v>
      </c>
      <c r="AK80">
        <v>67</v>
      </c>
      <c r="AM80" t="str">
        <f t="shared" si="11"/>
        <v>Arthur Lynch</v>
      </c>
      <c r="AN80" t="s">
        <v>2833</v>
      </c>
      <c r="AO80">
        <v>9.5</v>
      </c>
      <c r="AP80">
        <v>111</v>
      </c>
      <c r="AQ80">
        <v>11.7</v>
      </c>
      <c r="AR80">
        <v>0.5</v>
      </c>
      <c r="AS80">
        <v>0</v>
      </c>
      <c r="AT80">
        <v>7</v>
      </c>
    </row>
    <row r="81" spans="2:46" ht="12.75" customHeight="1">
      <c r="B81" s="33"/>
      <c r="C81" s="33"/>
      <c r="D81" s="33"/>
      <c r="E81" s="33"/>
      <c r="F81" s="33"/>
      <c r="G81" s="33"/>
      <c r="H81" s="33"/>
      <c r="I81" s="33"/>
      <c r="J81" s="33"/>
      <c r="K81" s="33"/>
      <c r="L81" s="33"/>
      <c r="M81" s="33"/>
      <c r="N81" s="33"/>
      <c r="O81" s="33"/>
      <c r="P81" s="33"/>
      <c r="Q81" t="str">
        <f t="shared" si="9"/>
        <v>Jordan Todman</v>
      </c>
      <c r="R81" s="33" t="s">
        <v>2391</v>
      </c>
      <c r="S81" s="33">
        <v>70.5</v>
      </c>
      <c r="T81" s="33">
        <v>310</v>
      </c>
      <c r="U81" s="33">
        <v>4.4000000000000004</v>
      </c>
      <c r="V81" s="33">
        <v>1</v>
      </c>
      <c r="W81">
        <v>18.5</v>
      </c>
      <c r="X81">
        <v>150</v>
      </c>
      <c r="Y81">
        <v>8.1</v>
      </c>
      <c r="Z81">
        <v>0.5</v>
      </c>
      <c r="AA81">
        <v>1.5</v>
      </c>
      <c r="AB81">
        <v>36</v>
      </c>
      <c r="AD81" t="str">
        <f t="shared" si="10"/>
        <v>Donnie Avery</v>
      </c>
      <c r="AE81" t="s">
        <v>2461</v>
      </c>
      <c r="AF81">
        <v>44.5</v>
      </c>
      <c r="AG81">
        <v>603.5</v>
      </c>
      <c r="AH81">
        <v>13.6</v>
      </c>
      <c r="AI81">
        <v>2.5</v>
      </c>
      <c r="AJ81">
        <v>0</v>
      </c>
      <c r="AK81">
        <v>67</v>
      </c>
      <c r="AM81" t="str">
        <f t="shared" si="11"/>
        <v>Nick Kasa</v>
      </c>
      <c r="AN81" t="s">
        <v>2834</v>
      </c>
      <c r="AO81">
        <v>8.5</v>
      </c>
      <c r="AP81">
        <v>93</v>
      </c>
      <c r="AQ81">
        <v>10.9</v>
      </c>
      <c r="AR81">
        <v>0.5</v>
      </c>
      <c r="AS81">
        <v>0</v>
      </c>
      <c r="AT81">
        <v>7</v>
      </c>
    </row>
    <row r="82" spans="2:46" ht="12.75" customHeight="1">
      <c r="B82" s="33"/>
      <c r="C82" s="33"/>
      <c r="D82" s="33"/>
      <c r="E82" s="33"/>
      <c r="F82" s="33"/>
      <c r="G82" s="33"/>
      <c r="H82" s="33"/>
      <c r="I82" s="33"/>
      <c r="J82" s="33"/>
      <c r="K82" s="33"/>
      <c r="L82" s="33"/>
      <c r="M82" s="33"/>
      <c r="N82" s="33"/>
      <c r="O82" s="33"/>
      <c r="P82" s="33"/>
      <c r="Q82" t="str">
        <f t="shared" si="9"/>
        <v>BenJarvus Green-Ellis</v>
      </c>
      <c r="R82" s="33" t="s">
        <v>2413</v>
      </c>
      <c r="S82" s="33">
        <v>79.5</v>
      </c>
      <c r="T82" s="33">
        <v>301</v>
      </c>
      <c r="U82" s="33">
        <v>3.8</v>
      </c>
      <c r="V82" s="33">
        <v>2.5</v>
      </c>
      <c r="W82">
        <v>4</v>
      </c>
      <c r="X82">
        <v>26.5</v>
      </c>
      <c r="Y82">
        <v>6.6</v>
      </c>
      <c r="Z82">
        <v>0</v>
      </c>
      <c r="AA82">
        <v>0.5</v>
      </c>
      <c r="AB82">
        <v>36</v>
      </c>
      <c r="AD82" t="str">
        <f t="shared" si="10"/>
        <v>Andre Roberts</v>
      </c>
      <c r="AE82" t="s">
        <v>2445</v>
      </c>
      <c r="AF82">
        <v>52</v>
      </c>
      <c r="AG82">
        <v>578.5</v>
      </c>
      <c r="AH82">
        <v>11.1</v>
      </c>
      <c r="AI82">
        <v>2.5</v>
      </c>
      <c r="AJ82">
        <v>0.5</v>
      </c>
      <c r="AK82">
        <v>64</v>
      </c>
      <c r="AM82" t="str">
        <f t="shared" si="11"/>
        <v>Sean McGrath</v>
      </c>
      <c r="AN82" t="s">
        <v>2835</v>
      </c>
      <c r="AO82">
        <v>7.5</v>
      </c>
      <c r="AP82">
        <v>82.5</v>
      </c>
      <c r="AQ82">
        <v>11</v>
      </c>
      <c r="AR82">
        <v>0.5</v>
      </c>
      <c r="AS82">
        <v>0</v>
      </c>
      <c r="AT82">
        <v>7</v>
      </c>
    </row>
    <row r="83" spans="2:46" ht="12.75" customHeight="1">
      <c r="B83" s="33"/>
      <c r="C83" s="33"/>
      <c r="D83" s="33"/>
      <c r="E83" s="33"/>
      <c r="F83" s="33"/>
      <c r="G83" s="33"/>
      <c r="H83" s="33"/>
      <c r="I83" s="33"/>
      <c r="J83" s="33"/>
      <c r="K83" s="33"/>
      <c r="L83" s="33"/>
      <c r="M83" s="33"/>
      <c r="N83" s="33"/>
      <c r="O83" s="33"/>
      <c r="P83" s="33"/>
      <c r="Q83" t="str">
        <f t="shared" si="9"/>
        <v>Bilal Powell</v>
      </c>
      <c r="R83" s="33" t="s">
        <v>2569</v>
      </c>
      <c r="S83" s="33">
        <v>60</v>
      </c>
      <c r="T83" s="33">
        <v>252</v>
      </c>
      <c r="U83" s="33">
        <v>4.2</v>
      </c>
      <c r="V83" s="33">
        <v>1</v>
      </c>
      <c r="W83">
        <v>20.5</v>
      </c>
      <c r="X83">
        <v>162.5</v>
      </c>
      <c r="Y83">
        <v>7.9</v>
      </c>
      <c r="Z83">
        <v>0.5</v>
      </c>
      <c r="AA83">
        <v>0</v>
      </c>
      <c r="AB83">
        <v>35</v>
      </c>
      <c r="AD83" t="str">
        <f t="shared" si="10"/>
        <v>Brandon LaFell</v>
      </c>
      <c r="AE83" t="s">
        <v>2302</v>
      </c>
      <c r="AF83">
        <v>34.5</v>
      </c>
      <c r="AG83">
        <v>520</v>
      </c>
      <c r="AH83">
        <v>15.1</v>
      </c>
      <c r="AI83">
        <v>3.5</v>
      </c>
      <c r="AJ83">
        <v>0.5</v>
      </c>
      <c r="AK83">
        <v>64</v>
      </c>
      <c r="AM83" t="str">
        <f t="shared" si="11"/>
        <v>Larry Donnell</v>
      </c>
      <c r="AN83" t="s">
        <v>2836</v>
      </c>
      <c r="AO83">
        <v>9.5</v>
      </c>
      <c r="AP83">
        <v>107.5</v>
      </c>
      <c r="AQ83">
        <v>11.3</v>
      </c>
      <c r="AR83">
        <v>0.5</v>
      </c>
      <c r="AS83">
        <v>0</v>
      </c>
      <c r="AT83">
        <v>7</v>
      </c>
    </row>
    <row r="84" spans="2:46" ht="12.75" customHeight="1">
      <c r="B84" s="33"/>
      <c r="C84" s="33"/>
      <c r="D84" s="33"/>
      <c r="E84" s="33"/>
      <c r="F84" s="33"/>
      <c r="G84" s="33"/>
      <c r="H84" s="33"/>
      <c r="I84" s="33"/>
      <c r="J84" s="33"/>
      <c r="K84" s="33"/>
      <c r="L84" s="33"/>
      <c r="M84" s="33"/>
      <c r="N84" s="33"/>
      <c r="O84" s="33"/>
      <c r="P84" s="33"/>
      <c r="Q84" t="str">
        <f t="shared" si="9"/>
        <v>Mike James</v>
      </c>
      <c r="R84" s="33" t="s">
        <v>2579</v>
      </c>
      <c r="S84" s="33">
        <v>63.5</v>
      </c>
      <c r="T84" s="33">
        <v>281.5</v>
      </c>
      <c r="U84" s="33">
        <v>4.4000000000000004</v>
      </c>
      <c r="V84" s="33">
        <v>1.5</v>
      </c>
      <c r="W84">
        <v>12</v>
      </c>
      <c r="X84">
        <v>87</v>
      </c>
      <c r="Y84">
        <v>7.2</v>
      </c>
      <c r="Z84">
        <v>0</v>
      </c>
      <c r="AA84">
        <v>0.5</v>
      </c>
      <c r="AB84">
        <v>32</v>
      </c>
      <c r="AD84" t="str">
        <f t="shared" si="10"/>
        <v>Jerome Simpson</v>
      </c>
      <c r="AE84" t="s">
        <v>2457</v>
      </c>
      <c r="AF84">
        <v>38.5</v>
      </c>
      <c r="AG84">
        <v>569.5</v>
      </c>
      <c r="AH84">
        <v>14.8</v>
      </c>
      <c r="AI84">
        <v>2.5</v>
      </c>
      <c r="AJ84">
        <v>1</v>
      </c>
      <c r="AK84">
        <v>62</v>
      </c>
      <c r="AM84" t="str">
        <f t="shared" si="11"/>
        <v>Jake Ballard</v>
      </c>
      <c r="AN84" t="s">
        <v>2837</v>
      </c>
      <c r="AO84">
        <v>7.5</v>
      </c>
      <c r="AP84">
        <v>94</v>
      </c>
      <c r="AQ84">
        <v>12.5</v>
      </c>
      <c r="AR84">
        <v>0.5</v>
      </c>
      <c r="AS84">
        <v>0</v>
      </c>
      <c r="AT84">
        <v>7</v>
      </c>
    </row>
    <row r="85" spans="2:46" ht="12.75" customHeight="1">
      <c r="B85" s="33"/>
      <c r="C85" s="33"/>
      <c r="D85" s="33"/>
      <c r="E85" s="33"/>
      <c r="F85" s="33"/>
      <c r="G85" s="33"/>
      <c r="H85" s="33"/>
      <c r="I85" s="33"/>
      <c r="J85" s="33"/>
      <c r="K85" s="33"/>
      <c r="L85" s="33"/>
      <c r="M85" s="33"/>
      <c r="N85" s="33"/>
      <c r="O85" s="33"/>
      <c r="P85" s="33"/>
      <c r="Q85" t="str">
        <f t="shared" si="9"/>
        <v>Daniel Thomas</v>
      </c>
      <c r="R85" s="33" t="s">
        <v>2518</v>
      </c>
      <c r="S85" s="33">
        <v>67.5</v>
      </c>
      <c r="T85" s="33">
        <v>266.5</v>
      </c>
      <c r="U85" s="33">
        <v>3.9</v>
      </c>
      <c r="V85" s="33">
        <v>2</v>
      </c>
      <c r="W85">
        <v>11</v>
      </c>
      <c r="X85">
        <v>76.5</v>
      </c>
      <c r="Y85">
        <v>7</v>
      </c>
      <c r="Z85">
        <v>0</v>
      </c>
      <c r="AA85">
        <v>0.5</v>
      </c>
      <c r="AB85">
        <v>32</v>
      </c>
      <c r="AD85" t="str">
        <f t="shared" si="10"/>
        <v>Aaron Dobson</v>
      </c>
      <c r="AE85" t="s">
        <v>2399</v>
      </c>
      <c r="AF85">
        <v>36</v>
      </c>
      <c r="AG85">
        <v>511</v>
      </c>
      <c r="AH85">
        <v>14.2</v>
      </c>
      <c r="AI85">
        <v>3</v>
      </c>
      <c r="AJ85">
        <v>0</v>
      </c>
      <c r="AK85">
        <v>61</v>
      </c>
      <c r="AM85" t="str">
        <f t="shared" si="11"/>
        <v>Kellen Davis</v>
      </c>
      <c r="AN85" t="s">
        <v>2838</v>
      </c>
      <c r="AO85">
        <v>7.5</v>
      </c>
      <c r="AP85">
        <v>77.5</v>
      </c>
      <c r="AQ85">
        <v>10.3</v>
      </c>
      <c r="AR85">
        <v>0.5</v>
      </c>
      <c r="AS85">
        <v>0</v>
      </c>
      <c r="AT85">
        <v>6</v>
      </c>
    </row>
    <row r="86" spans="2:46" ht="12.75" customHeight="1">
      <c r="B86" s="33"/>
      <c r="C86" s="33"/>
      <c r="D86" s="33"/>
      <c r="E86" s="33"/>
      <c r="F86" s="33"/>
      <c r="G86" s="33"/>
      <c r="H86" s="33"/>
      <c r="I86" s="33"/>
      <c r="J86" s="33"/>
      <c r="K86" s="33"/>
      <c r="L86" s="33"/>
      <c r="M86" s="33"/>
      <c r="N86" s="33"/>
      <c r="O86" s="33"/>
      <c r="P86" s="33"/>
      <c r="Q86" t="str">
        <f t="shared" si="9"/>
        <v>Brandon Bolden</v>
      </c>
      <c r="R86" s="33" t="s">
        <v>2485</v>
      </c>
      <c r="S86" s="33">
        <v>62</v>
      </c>
      <c r="T86" s="33">
        <v>284</v>
      </c>
      <c r="U86" s="33">
        <v>4.5999999999999996</v>
      </c>
      <c r="V86" s="33">
        <v>1.5</v>
      </c>
      <c r="W86">
        <v>7.5</v>
      </c>
      <c r="X86">
        <v>58.5</v>
      </c>
      <c r="Y86">
        <v>7.8</v>
      </c>
      <c r="Z86">
        <v>0</v>
      </c>
      <c r="AA86">
        <v>0</v>
      </c>
      <c r="AB86">
        <v>31</v>
      </c>
      <c r="AD86" t="str">
        <f t="shared" si="10"/>
        <v>Steve Johnson</v>
      </c>
      <c r="AE86" t="s">
        <v>2290</v>
      </c>
      <c r="AF86">
        <v>43.5</v>
      </c>
      <c r="AG86">
        <v>558</v>
      </c>
      <c r="AH86">
        <v>12.8</v>
      </c>
      <c r="AI86">
        <v>2.5</v>
      </c>
      <c r="AJ86">
        <v>1</v>
      </c>
      <c r="AK86">
        <v>60</v>
      </c>
      <c r="AM86" t="str">
        <f t="shared" si="11"/>
        <v>Crockett Gillmore</v>
      </c>
      <c r="AN86" t="s">
        <v>2839</v>
      </c>
      <c r="AO86">
        <v>6</v>
      </c>
      <c r="AP86">
        <v>77</v>
      </c>
      <c r="AQ86">
        <v>12.8</v>
      </c>
      <c r="AR86">
        <v>0.5</v>
      </c>
      <c r="AS86">
        <v>0</v>
      </c>
      <c r="AT86">
        <v>6</v>
      </c>
    </row>
    <row r="87" spans="2:46" ht="12.75" customHeight="1">
      <c r="B87" s="33"/>
      <c r="C87" s="33"/>
      <c r="D87" s="33"/>
      <c r="E87" s="33"/>
      <c r="F87" s="33"/>
      <c r="G87" s="33"/>
      <c r="H87" s="33"/>
      <c r="I87" s="33"/>
      <c r="J87" s="33"/>
      <c r="K87" s="33"/>
      <c r="L87" s="33"/>
      <c r="M87" s="33"/>
      <c r="N87" s="33"/>
      <c r="O87" s="33"/>
      <c r="P87" s="33"/>
      <c r="Q87" t="str">
        <f t="shared" si="9"/>
        <v>Ka'Deem Carey</v>
      </c>
      <c r="R87" s="33" t="s">
        <v>2407</v>
      </c>
      <c r="S87" s="33">
        <v>50.5</v>
      </c>
      <c r="T87" s="33">
        <v>232</v>
      </c>
      <c r="U87" s="33">
        <v>4.5999999999999996</v>
      </c>
      <c r="V87" s="33">
        <v>1.5</v>
      </c>
      <c r="W87">
        <v>12.5</v>
      </c>
      <c r="X87">
        <v>102.5</v>
      </c>
      <c r="Y87">
        <v>8.1999999999999993</v>
      </c>
      <c r="Z87">
        <v>0.5</v>
      </c>
      <c r="AA87">
        <v>0.5</v>
      </c>
      <c r="AB87">
        <v>30</v>
      </c>
      <c r="AD87" t="str">
        <f t="shared" si="10"/>
        <v>Denarius Moore</v>
      </c>
      <c r="AE87" t="s">
        <v>2385</v>
      </c>
      <c r="AF87">
        <v>32.5</v>
      </c>
      <c r="AG87">
        <v>524</v>
      </c>
      <c r="AH87">
        <v>16.100000000000001</v>
      </c>
      <c r="AI87">
        <v>3</v>
      </c>
      <c r="AJ87">
        <v>1.5</v>
      </c>
      <c r="AK87">
        <v>60</v>
      </c>
      <c r="AM87" t="str">
        <f t="shared" si="11"/>
        <v>Joel Dreessen</v>
      </c>
      <c r="AN87" t="s">
        <v>2840</v>
      </c>
      <c r="AO87">
        <v>5.5</v>
      </c>
      <c r="AP87">
        <v>48.5</v>
      </c>
      <c r="AQ87">
        <v>8.8000000000000007</v>
      </c>
      <c r="AR87">
        <v>0.5</v>
      </c>
      <c r="AS87">
        <v>0</v>
      </c>
      <c r="AT87">
        <v>5</v>
      </c>
    </row>
    <row r="88" spans="2:46" ht="12.75" customHeight="1">
      <c r="B88" s="33"/>
      <c r="C88" s="33"/>
      <c r="D88" s="33"/>
      <c r="E88" s="33"/>
      <c r="F88" s="33"/>
      <c r="G88" s="33"/>
      <c r="H88" s="33"/>
      <c r="I88" s="33"/>
      <c r="J88" s="33"/>
      <c r="K88" s="33"/>
      <c r="L88" s="33"/>
      <c r="M88" s="33"/>
      <c r="N88" s="33"/>
      <c r="O88" s="33"/>
      <c r="P88" s="33"/>
      <c r="Q88" t="str">
        <f t="shared" si="9"/>
        <v>Bryce Brown</v>
      </c>
      <c r="R88" s="33" t="s">
        <v>2423</v>
      </c>
      <c r="S88" s="33">
        <v>66.5</v>
      </c>
      <c r="T88" s="33">
        <v>294.5</v>
      </c>
      <c r="U88" s="33">
        <v>4.4000000000000004</v>
      </c>
      <c r="V88" s="33">
        <v>1.5</v>
      </c>
      <c r="W88">
        <v>7.5</v>
      </c>
      <c r="X88">
        <v>56</v>
      </c>
      <c r="Y88">
        <v>7.5</v>
      </c>
      <c r="Z88">
        <v>0</v>
      </c>
      <c r="AA88">
        <v>1.5</v>
      </c>
      <c r="AB88">
        <v>29</v>
      </c>
      <c r="AD88" t="str">
        <f t="shared" si="10"/>
        <v>Kenbrell Thompkins</v>
      </c>
      <c r="AE88" t="s">
        <v>2516</v>
      </c>
      <c r="AF88">
        <v>34</v>
      </c>
      <c r="AG88">
        <v>492</v>
      </c>
      <c r="AH88">
        <v>14.5</v>
      </c>
      <c r="AI88">
        <v>3</v>
      </c>
      <c r="AJ88">
        <v>0</v>
      </c>
      <c r="AK88">
        <v>59</v>
      </c>
      <c r="AM88" t="str">
        <f t="shared" si="11"/>
        <v>Emil Igwenagu</v>
      </c>
      <c r="AN88" t="s">
        <v>2841</v>
      </c>
      <c r="AO88">
        <v>2</v>
      </c>
      <c r="AP88">
        <v>16.5</v>
      </c>
      <c r="AQ88">
        <v>8.1999999999999993</v>
      </c>
      <c r="AR88">
        <v>0</v>
      </c>
      <c r="AS88">
        <v>0</v>
      </c>
      <c r="AT88">
        <v>4</v>
      </c>
    </row>
    <row r="89" spans="2:46" ht="12.75" customHeight="1">
      <c r="B89" s="33"/>
      <c r="C89" s="33"/>
      <c r="D89" s="33"/>
      <c r="E89" s="33"/>
      <c r="F89" s="33"/>
      <c r="G89" s="33"/>
      <c r="H89" s="33"/>
      <c r="I89" s="33"/>
      <c r="J89" s="33"/>
      <c r="K89" s="33"/>
      <c r="L89" s="33"/>
      <c r="M89" s="33"/>
      <c r="N89" s="33"/>
      <c r="O89" s="33"/>
      <c r="P89" s="33"/>
      <c r="Q89" t="str">
        <f t="shared" si="9"/>
        <v>Matt Asiata</v>
      </c>
      <c r="R89" s="33" t="s">
        <v>2567</v>
      </c>
      <c r="S89" s="33">
        <v>53.5</v>
      </c>
      <c r="T89" s="33">
        <v>209.5</v>
      </c>
      <c r="U89" s="33">
        <v>3.9</v>
      </c>
      <c r="V89" s="33">
        <v>2</v>
      </c>
      <c r="W89">
        <v>5.5</v>
      </c>
      <c r="X89">
        <v>36.5</v>
      </c>
      <c r="Y89">
        <v>6.6</v>
      </c>
      <c r="Z89">
        <v>0</v>
      </c>
      <c r="AA89">
        <v>0</v>
      </c>
      <c r="AB89">
        <v>27</v>
      </c>
      <c r="AD89" t="str">
        <f t="shared" si="10"/>
        <v>Brian Quick</v>
      </c>
      <c r="AE89" t="s">
        <v>2842</v>
      </c>
      <c r="AF89">
        <v>35</v>
      </c>
      <c r="AG89">
        <v>492</v>
      </c>
      <c r="AH89">
        <v>14.1</v>
      </c>
      <c r="AI89">
        <v>3</v>
      </c>
      <c r="AJ89">
        <v>0</v>
      </c>
      <c r="AK89">
        <v>59</v>
      </c>
      <c r="AM89" t="str">
        <f t="shared" si="11"/>
        <v>Chase Ford</v>
      </c>
      <c r="AN89" t="s">
        <v>2843</v>
      </c>
      <c r="AO89">
        <v>6.5</v>
      </c>
      <c r="AP89">
        <v>85</v>
      </c>
      <c r="AQ89">
        <v>13.1</v>
      </c>
      <c r="AR89">
        <v>0</v>
      </c>
      <c r="AS89">
        <v>0</v>
      </c>
      <c r="AT89">
        <v>4</v>
      </c>
    </row>
    <row r="90" spans="2:46" ht="12.75" customHeight="1">
      <c r="B90" s="33"/>
      <c r="C90" s="33"/>
      <c r="D90" s="33"/>
      <c r="E90" s="33"/>
      <c r="F90" s="33"/>
      <c r="G90" s="33"/>
      <c r="H90" s="33"/>
      <c r="I90" s="33"/>
      <c r="J90" s="33"/>
      <c r="K90" s="33"/>
      <c r="L90" s="33"/>
      <c r="M90" s="33"/>
      <c r="N90" s="33"/>
      <c r="O90" s="33"/>
      <c r="P90" s="33"/>
      <c r="Q90" t="str">
        <f t="shared" si="9"/>
        <v>Isaiah Crowell</v>
      </c>
      <c r="R90" s="33" t="s">
        <v>2545</v>
      </c>
      <c r="S90" s="33">
        <v>64.5</v>
      </c>
      <c r="T90" s="33">
        <v>293.5</v>
      </c>
      <c r="U90" s="33">
        <v>4.5999999999999996</v>
      </c>
      <c r="V90" s="33">
        <v>0.5</v>
      </c>
      <c r="W90">
        <v>10</v>
      </c>
      <c r="X90">
        <v>67.5</v>
      </c>
      <c r="Y90">
        <v>6.8</v>
      </c>
      <c r="Z90">
        <v>0</v>
      </c>
      <c r="AA90">
        <v>0</v>
      </c>
      <c r="AB90">
        <v>27</v>
      </c>
      <c r="AD90" t="str">
        <f t="shared" si="10"/>
        <v>Chris Givens</v>
      </c>
      <c r="AE90" t="s">
        <v>2533</v>
      </c>
      <c r="AF90">
        <v>36</v>
      </c>
      <c r="AG90">
        <v>534</v>
      </c>
      <c r="AH90">
        <v>14.8</v>
      </c>
      <c r="AI90">
        <v>2</v>
      </c>
      <c r="AJ90">
        <v>0.5</v>
      </c>
      <c r="AK90">
        <v>57</v>
      </c>
      <c r="AM90" t="str">
        <f t="shared" si="11"/>
        <v>David Paulson</v>
      </c>
      <c r="AN90" t="s">
        <v>2844</v>
      </c>
      <c r="AO90">
        <v>9.5</v>
      </c>
      <c r="AP90">
        <v>101.5</v>
      </c>
      <c r="AQ90">
        <v>10.7</v>
      </c>
      <c r="AR90">
        <v>0</v>
      </c>
      <c r="AS90">
        <v>0</v>
      </c>
      <c r="AT90">
        <v>4</v>
      </c>
    </row>
    <row r="91" spans="2:46" ht="12.75" customHeight="1">
      <c r="B91" s="33"/>
      <c r="C91" s="33"/>
      <c r="D91" s="33"/>
      <c r="E91" s="33"/>
      <c r="F91" s="33"/>
      <c r="G91" s="33"/>
      <c r="H91" s="33"/>
      <c r="I91" s="33"/>
      <c r="J91" s="33"/>
      <c r="K91" s="33"/>
      <c r="L91" s="33"/>
      <c r="M91" s="33"/>
      <c r="N91" s="33"/>
      <c r="O91" s="33"/>
      <c r="P91" s="33"/>
      <c r="Q91" t="str">
        <f t="shared" si="9"/>
        <v>Lorenzo Taliaferro</v>
      </c>
      <c r="R91" s="33" t="s">
        <v>2595</v>
      </c>
      <c r="S91" s="33">
        <v>60.5</v>
      </c>
      <c r="T91" s="33">
        <v>286</v>
      </c>
      <c r="U91" s="33">
        <v>4.7</v>
      </c>
      <c r="V91" s="33">
        <v>1</v>
      </c>
      <c r="W91">
        <v>6</v>
      </c>
      <c r="X91">
        <v>36.5</v>
      </c>
      <c r="Y91">
        <v>6.1</v>
      </c>
      <c r="Z91">
        <v>0</v>
      </c>
      <c r="AA91">
        <v>0</v>
      </c>
      <c r="AB91">
        <v>27</v>
      </c>
      <c r="AD91" t="str">
        <f t="shared" si="10"/>
        <v>Martavis Bryant</v>
      </c>
      <c r="AE91" t="s">
        <v>2647</v>
      </c>
      <c r="AF91">
        <v>25.5</v>
      </c>
      <c r="AG91">
        <v>436.5</v>
      </c>
      <c r="AH91">
        <v>17.100000000000001</v>
      </c>
      <c r="AI91">
        <v>3</v>
      </c>
      <c r="AJ91">
        <v>0</v>
      </c>
      <c r="AK91">
        <v>54</v>
      </c>
      <c r="AM91" t="str">
        <f t="shared" si="11"/>
        <v>Taylor Thompson</v>
      </c>
      <c r="AN91" t="s">
        <v>2845</v>
      </c>
      <c r="AO91">
        <v>8</v>
      </c>
      <c r="AP91">
        <v>90.5</v>
      </c>
      <c r="AQ91">
        <v>11.3</v>
      </c>
      <c r="AR91">
        <v>0</v>
      </c>
      <c r="AS91">
        <v>0</v>
      </c>
      <c r="AT91">
        <v>4</v>
      </c>
    </row>
    <row r="92" spans="2:46" ht="12.75" customHeight="1">
      <c r="B92" s="33"/>
      <c r="C92" s="33"/>
      <c r="D92" s="33"/>
      <c r="E92" s="33"/>
      <c r="F92" s="33"/>
      <c r="G92" s="33"/>
      <c r="H92" s="33"/>
      <c r="I92" s="33"/>
      <c r="J92" s="33"/>
      <c r="K92" s="33"/>
      <c r="L92" s="33"/>
      <c r="M92" s="33"/>
      <c r="N92" s="33"/>
      <c r="O92" s="33"/>
      <c r="P92" s="33"/>
      <c r="Q92" t="str">
        <f t="shared" si="9"/>
        <v>Peyton Hillis</v>
      </c>
      <c r="R92" s="33" t="s">
        <v>2605</v>
      </c>
      <c r="S92" s="33">
        <v>60</v>
      </c>
      <c r="T92" s="33">
        <v>233.5</v>
      </c>
      <c r="U92" s="33">
        <v>3.9</v>
      </c>
      <c r="V92" s="33">
        <v>1.5</v>
      </c>
      <c r="W92">
        <v>15.5</v>
      </c>
      <c r="X92">
        <v>108</v>
      </c>
      <c r="Y92">
        <v>7</v>
      </c>
      <c r="Z92">
        <v>0</v>
      </c>
      <c r="AA92">
        <v>0.5</v>
      </c>
      <c r="AB92">
        <v>27</v>
      </c>
      <c r="AD92" t="str">
        <f t="shared" si="10"/>
        <v>Nate Burleson</v>
      </c>
      <c r="AE92" t="s">
        <v>2555</v>
      </c>
      <c r="AF92">
        <v>41.5</v>
      </c>
      <c r="AG92">
        <v>488</v>
      </c>
      <c r="AH92">
        <v>11.8</v>
      </c>
      <c r="AI92">
        <v>2</v>
      </c>
      <c r="AJ92">
        <v>0</v>
      </c>
      <c r="AK92">
        <v>53</v>
      </c>
      <c r="AM92" t="str">
        <f t="shared" si="11"/>
        <v>Lee Smith</v>
      </c>
      <c r="AN92" t="s">
        <v>2846</v>
      </c>
      <c r="AO92">
        <v>6.5</v>
      </c>
      <c r="AP92">
        <v>64.5</v>
      </c>
      <c r="AQ92">
        <v>9.9</v>
      </c>
      <c r="AR92">
        <v>0</v>
      </c>
      <c r="AS92">
        <v>0</v>
      </c>
      <c r="AT92">
        <v>3</v>
      </c>
    </row>
    <row r="93" spans="2:46" ht="12.75" customHeight="1">
      <c r="B93" s="33"/>
      <c r="C93" s="33"/>
      <c r="D93" s="33"/>
      <c r="E93" s="33"/>
      <c r="F93" s="33"/>
      <c r="G93" s="33"/>
      <c r="H93" s="33"/>
      <c r="I93" s="33"/>
      <c r="J93" s="33"/>
      <c r="K93" s="33"/>
      <c r="L93" s="33"/>
      <c r="M93" s="33"/>
      <c r="N93" s="33"/>
      <c r="O93" s="33"/>
      <c r="P93" s="33"/>
      <c r="Q93" t="str">
        <f t="shared" si="9"/>
        <v>Lache Seastrunk</v>
      </c>
      <c r="R93" s="33" t="s">
        <v>2621</v>
      </c>
      <c r="S93" s="33">
        <v>53</v>
      </c>
      <c r="T93" s="33">
        <v>234.5</v>
      </c>
      <c r="U93" s="33">
        <v>4.4000000000000004</v>
      </c>
      <c r="V93" s="33">
        <v>1.5</v>
      </c>
      <c r="W93">
        <v>6.5</v>
      </c>
      <c r="X93">
        <v>67</v>
      </c>
      <c r="Y93">
        <v>10.3</v>
      </c>
      <c r="Z93">
        <v>0</v>
      </c>
      <c r="AA93">
        <v>0</v>
      </c>
      <c r="AB93">
        <v>27</v>
      </c>
      <c r="AD93" t="str">
        <f t="shared" si="10"/>
        <v>Allen Robinson</v>
      </c>
      <c r="AE93" t="s">
        <v>2639</v>
      </c>
      <c r="AF93">
        <v>32</v>
      </c>
      <c r="AG93">
        <v>474.5</v>
      </c>
      <c r="AH93">
        <v>14.8</v>
      </c>
      <c r="AI93">
        <v>2.5</v>
      </c>
      <c r="AJ93">
        <v>1</v>
      </c>
      <c r="AK93">
        <v>52</v>
      </c>
      <c r="AM93" t="str">
        <f t="shared" si="11"/>
        <v>John Phillips</v>
      </c>
      <c r="AN93" t="s">
        <v>2847</v>
      </c>
      <c r="AO93">
        <v>8</v>
      </c>
      <c r="AP93">
        <v>72.5</v>
      </c>
      <c r="AQ93">
        <v>9.1</v>
      </c>
      <c r="AR93">
        <v>0</v>
      </c>
      <c r="AS93">
        <v>0</v>
      </c>
      <c r="AT93">
        <v>3</v>
      </c>
    </row>
    <row r="94" spans="2:46" ht="12.75" customHeight="1">
      <c r="B94" s="33"/>
      <c r="C94" s="33"/>
      <c r="D94" s="33"/>
      <c r="E94" s="33"/>
      <c r="F94" s="33"/>
      <c r="G94" s="33"/>
      <c r="H94" s="33"/>
      <c r="I94" s="33"/>
      <c r="J94" s="33"/>
      <c r="K94" s="33"/>
      <c r="L94" s="33"/>
      <c r="M94" s="33"/>
      <c r="N94" s="33"/>
      <c r="O94" s="33"/>
      <c r="P94" s="33"/>
      <c r="Q94" t="str">
        <f t="shared" si="9"/>
        <v>DuJuan Harris</v>
      </c>
      <c r="R94" s="33" t="s">
        <v>2665</v>
      </c>
      <c r="S94" s="33">
        <v>59</v>
      </c>
      <c r="T94" s="33">
        <v>250</v>
      </c>
      <c r="U94" s="33">
        <v>4.2</v>
      </c>
      <c r="V94" s="33">
        <v>1</v>
      </c>
      <c r="W94">
        <v>8</v>
      </c>
      <c r="X94">
        <v>54.5</v>
      </c>
      <c r="Y94">
        <v>6.8</v>
      </c>
      <c r="Z94">
        <v>0</v>
      </c>
      <c r="AA94">
        <v>0</v>
      </c>
      <c r="AB94">
        <v>25</v>
      </c>
      <c r="AD94" t="str">
        <f t="shared" si="10"/>
        <v>Austin Pettis</v>
      </c>
      <c r="AE94" t="s">
        <v>2848</v>
      </c>
      <c r="AF94">
        <v>35.5</v>
      </c>
      <c r="AG94">
        <v>389.5</v>
      </c>
      <c r="AH94">
        <v>11</v>
      </c>
      <c r="AI94">
        <v>3.5</v>
      </c>
      <c r="AJ94">
        <v>0</v>
      </c>
      <c r="AK94">
        <v>52</v>
      </c>
      <c r="AM94" t="str">
        <f t="shared" si="11"/>
        <v>Ryan Taylor</v>
      </c>
      <c r="AN94" t="s">
        <v>2849</v>
      </c>
      <c r="AO94">
        <v>5.5</v>
      </c>
      <c r="AP94">
        <v>67</v>
      </c>
      <c r="AQ94">
        <v>12.2</v>
      </c>
      <c r="AR94">
        <v>0</v>
      </c>
      <c r="AS94">
        <v>0</v>
      </c>
      <c r="AT94">
        <v>3</v>
      </c>
    </row>
    <row r="95" spans="2:46" ht="12.75" customHeight="1">
      <c r="B95" s="33"/>
      <c r="C95" s="33"/>
      <c r="D95" s="33"/>
      <c r="E95" s="33"/>
      <c r="F95" s="33"/>
      <c r="G95" s="33"/>
      <c r="H95" s="33"/>
      <c r="I95" s="33"/>
      <c r="J95" s="33"/>
      <c r="K95" s="33"/>
      <c r="L95" s="33"/>
      <c r="M95" s="33"/>
      <c r="N95" s="33"/>
      <c r="O95" s="33"/>
      <c r="P95" s="33"/>
      <c r="Q95" t="str">
        <f t="shared" si="9"/>
        <v>Alfred Blue</v>
      </c>
      <c r="R95" s="33" t="s">
        <v>2850</v>
      </c>
      <c r="S95" s="33">
        <v>48.5</v>
      </c>
      <c r="T95" s="33">
        <v>214.5</v>
      </c>
      <c r="U95" s="33">
        <v>4.4000000000000004</v>
      </c>
      <c r="V95" s="33">
        <v>1.5</v>
      </c>
      <c r="W95">
        <v>8.5</v>
      </c>
      <c r="X95">
        <v>60.5</v>
      </c>
      <c r="Y95">
        <v>7.1</v>
      </c>
      <c r="Z95">
        <v>0</v>
      </c>
      <c r="AA95">
        <v>0</v>
      </c>
      <c r="AB95">
        <v>25</v>
      </c>
      <c r="AD95" t="str">
        <f t="shared" si="10"/>
        <v>Paul Richardson</v>
      </c>
      <c r="AE95" t="s">
        <v>2851</v>
      </c>
      <c r="AF95">
        <v>23</v>
      </c>
      <c r="AG95">
        <v>441.5</v>
      </c>
      <c r="AH95">
        <v>19.2</v>
      </c>
      <c r="AI95">
        <v>2.5</v>
      </c>
      <c r="AJ95">
        <v>0</v>
      </c>
      <c r="AK95">
        <v>51</v>
      </c>
      <c r="AM95" t="str">
        <f t="shared" si="11"/>
        <v>Craig Stevens</v>
      </c>
      <c r="AN95" t="s">
        <v>2852</v>
      </c>
      <c r="AO95">
        <v>6.5</v>
      </c>
      <c r="AP95">
        <v>71</v>
      </c>
      <c r="AQ95">
        <v>10.9</v>
      </c>
      <c r="AR95">
        <v>0</v>
      </c>
      <c r="AS95">
        <v>0</v>
      </c>
      <c r="AT95">
        <v>3</v>
      </c>
    </row>
    <row r="96" spans="2:46" ht="12.75" customHeight="1">
      <c r="B96" s="33"/>
      <c r="C96" s="33"/>
      <c r="D96" s="33"/>
      <c r="E96" s="33"/>
      <c r="F96" s="33"/>
      <c r="G96" s="33"/>
      <c r="H96" s="33"/>
      <c r="I96" s="33"/>
      <c r="J96" s="33"/>
      <c r="K96" s="33"/>
      <c r="L96" s="33"/>
      <c r="M96" s="33"/>
      <c r="N96" s="33"/>
      <c r="O96" s="33"/>
      <c r="P96" s="33"/>
      <c r="Q96" t="str">
        <f t="shared" si="9"/>
        <v>Justin Forsett</v>
      </c>
      <c r="R96" s="33" t="s">
        <v>2653</v>
      </c>
      <c r="S96" s="33">
        <v>65.5</v>
      </c>
      <c r="T96" s="33">
        <v>283.5</v>
      </c>
      <c r="U96" s="33">
        <v>4.3</v>
      </c>
      <c r="V96" s="33">
        <v>0.5</v>
      </c>
      <c r="W96">
        <v>6.5</v>
      </c>
      <c r="X96">
        <v>40</v>
      </c>
      <c r="Y96">
        <v>6.2</v>
      </c>
      <c r="Z96">
        <v>0</v>
      </c>
      <c r="AA96">
        <v>0</v>
      </c>
      <c r="AB96">
        <v>24</v>
      </c>
      <c r="AD96" t="str">
        <f t="shared" si="10"/>
        <v>Jarvis Landry</v>
      </c>
      <c r="AE96" t="s">
        <v>2587</v>
      </c>
      <c r="AF96">
        <v>33.5</v>
      </c>
      <c r="AG96">
        <v>428</v>
      </c>
      <c r="AH96">
        <v>12.8</v>
      </c>
      <c r="AI96">
        <v>3</v>
      </c>
      <c r="AJ96">
        <v>0.5</v>
      </c>
      <c r="AK96">
        <v>51</v>
      </c>
      <c r="AM96" t="str">
        <f t="shared" si="11"/>
        <v>Demetrius Harris</v>
      </c>
      <c r="AN96" t="s">
        <v>2853</v>
      </c>
      <c r="AO96">
        <v>5.5</v>
      </c>
      <c r="AP96">
        <v>78.5</v>
      </c>
      <c r="AQ96">
        <v>14.3</v>
      </c>
      <c r="AR96">
        <v>0</v>
      </c>
      <c r="AS96">
        <v>0</v>
      </c>
      <c r="AT96">
        <v>3</v>
      </c>
    </row>
    <row r="97" spans="2:46" ht="12.75" customHeight="1">
      <c r="B97" s="33"/>
      <c r="C97" s="33"/>
      <c r="D97" s="33"/>
      <c r="E97" s="33"/>
      <c r="F97" s="33"/>
      <c r="G97" s="33"/>
      <c r="H97" s="33"/>
      <c r="I97" s="33"/>
      <c r="J97" s="33"/>
      <c r="K97" s="33"/>
      <c r="L97" s="33"/>
      <c r="M97" s="33"/>
      <c r="N97" s="33"/>
      <c r="O97" s="33"/>
      <c r="P97" s="33"/>
      <c r="Q97" t="str">
        <f t="shared" si="9"/>
        <v>Anthony Dixon</v>
      </c>
      <c r="R97" s="33" t="s">
        <v>2854</v>
      </c>
      <c r="S97" s="33">
        <v>31</v>
      </c>
      <c r="T97" s="33">
        <v>135.5</v>
      </c>
      <c r="U97" s="33">
        <v>4.4000000000000004</v>
      </c>
      <c r="V97" s="33">
        <v>2.5</v>
      </c>
      <c r="W97">
        <v>2</v>
      </c>
      <c r="X97">
        <v>16.5</v>
      </c>
      <c r="Y97">
        <v>8.1999999999999993</v>
      </c>
      <c r="Z97">
        <v>0</v>
      </c>
      <c r="AA97">
        <v>0</v>
      </c>
      <c r="AB97">
        <v>22</v>
      </c>
      <c r="AD97" t="str">
        <f t="shared" si="10"/>
        <v>Brandon Gibson</v>
      </c>
      <c r="AE97" t="s">
        <v>2855</v>
      </c>
      <c r="AF97">
        <v>41</v>
      </c>
      <c r="AG97">
        <v>477.5</v>
      </c>
      <c r="AH97">
        <v>11.6</v>
      </c>
      <c r="AI97">
        <v>2</v>
      </c>
      <c r="AJ97">
        <v>0</v>
      </c>
      <c r="AK97">
        <v>51</v>
      </c>
      <c r="AM97" t="str">
        <f t="shared" si="11"/>
        <v>Michael Egnew</v>
      </c>
      <c r="AN97" t="s">
        <v>2856</v>
      </c>
      <c r="AO97">
        <v>5.5</v>
      </c>
      <c r="AP97">
        <v>61</v>
      </c>
      <c r="AQ97">
        <v>11.1</v>
      </c>
      <c r="AR97">
        <v>0</v>
      </c>
      <c r="AS97">
        <v>0</v>
      </c>
      <c r="AT97">
        <v>2</v>
      </c>
    </row>
    <row r="98" spans="2:46" ht="12.75" customHeight="1">
      <c r="B98" s="33"/>
      <c r="C98" s="33"/>
      <c r="D98" s="33"/>
      <c r="E98" s="33"/>
      <c r="F98" s="33"/>
      <c r="G98" s="33"/>
      <c r="H98" s="33"/>
      <c r="I98" s="33"/>
      <c r="J98" s="33"/>
      <c r="K98" s="33"/>
      <c r="L98" s="33"/>
      <c r="M98" s="33"/>
      <c r="N98" s="33"/>
      <c r="O98" s="33"/>
      <c r="P98" s="33"/>
      <c r="Q98" t="str">
        <f t="shared" si="9"/>
        <v>Darrel Young</v>
      </c>
      <c r="R98" s="33" t="s">
        <v>2857</v>
      </c>
      <c r="S98" s="33">
        <v>13.5</v>
      </c>
      <c r="T98" s="33">
        <v>53</v>
      </c>
      <c r="U98" s="33">
        <v>3.9</v>
      </c>
      <c r="V98" s="33">
        <v>2</v>
      </c>
      <c r="W98">
        <v>8.5</v>
      </c>
      <c r="X98">
        <v>92</v>
      </c>
      <c r="Y98">
        <v>10.8</v>
      </c>
      <c r="Z98">
        <v>0.5</v>
      </c>
      <c r="AA98">
        <v>0</v>
      </c>
      <c r="AB98">
        <v>21</v>
      </c>
      <c r="AD98" t="str">
        <f t="shared" si="10"/>
        <v>Junior Hemingway</v>
      </c>
      <c r="AE98" t="s">
        <v>2858</v>
      </c>
      <c r="AF98">
        <v>30</v>
      </c>
      <c r="AG98">
        <v>389</v>
      </c>
      <c r="AH98">
        <v>13</v>
      </c>
      <c r="AI98">
        <v>3</v>
      </c>
      <c r="AJ98">
        <v>0</v>
      </c>
      <c r="AK98">
        <v>49</v>
      </c>
      <c r="AM98" t="str">
        <f t="shared" si="11"/>
        <v>Mickey Shuler</v>
      </c>
      <c r="AN98" t="s">
        <v>2859</v>
      </c>
      <c r="AO98">
        <v>4.5</v>
      </c>
      <c r="AP98">
        <v>49</v>
      </c>
      <c r="AQ98">
        <v>10.9</v>
      </c>
      <c r="AR98">
        <v>0</v>
      </c>
      <c r="AS98">
        <v>0</v>
      </c>
      <c r="AT98">
        <v>2</v>
      </c>
    </row>
    <row r="99" spans="2:46" ht="12.75" customHeight="1">
      <c r="B99" s="33"/>
      <c r="C99" s="33"/>
      <c r="D99" s="33"/>
      <c r="E99" s="33"/>
      <c r="F99" s="33"/>
      <c r="G99" s="33"/>
      <c r="H99" s="33"/>
      <c r="I99" s="33"/>
      <c r="J99" s="33"/>
      <c r="K99" s="33"/>
      <c r="L99" s="33"/>
      <c r="M99" s="33"/>
      <c r="N99" s="33"/>
      <c r="O99" s="33"/>
      <c r="P99" s="33"/>
      <c r="Q99" t="str">
        <f t="shared" si="9"/>
        <v>Jonathan Dwyer</v>
      </c>
      <c r="R99" s="33" t="s">
        <v>2447</v>
      </c>
      <c r="S99" s="33">
        <v>62.5</v>
      </c>
      <c r="T99" s="33">
        <v>254.5</v>
      </c>
      <c r="U99" s="33">
        <v>4.0999999999999996</v>
      </c>
      <c r="V99" s="33">
        <v>0.5</v>
      </c>
      <c r="W99">
        <v>6.5</v>
      </c>
      <c r="X99">
        <v>48.5</v>
      </c>
      <c r="Y99">
        <v>7.5</v>
      </c>
      <c r="Z99">
        <v>0</v>
      </c>
      <c r="AA99">
        <v>0.5</v>
      </c>
      <c r="AB99">
        <v>21</v>
      </c>
      <c r="AD99" t="str">
        <f t="shared" si="10"/>
        <v>Marquise Goodwin</v>
      </c>
      <c r="AE99" t="s">
        <v>2860</v>
      </c>
      <c r="AF99">
        <v>23</v>
      </c>
      <c r="AG99">
        <v>373.5</v>
      </c>
      <c r="AH99">
        <v>16.2</v>
      </c>
      <c r="AI99">
        <v>3</v>
      </c>
      <c r="AJ99">
        <v>0.5</v>
      </c>
      <c r="AK99">
        <v>48</v>
      </c>
      <c r="AM99" t="str">
        <f t="shared" si="11"/>
        <v>Jack Doyle</v>
      </c>
      <c r="AN99" t="s">
        <v>2861</v>
      </c>
      <c r="AO99">
        <v>5</v>
      </c>
      <c r="AP99">
        <v>49.5</v>
      </c>
      <c r="AQ99">
        <v>9.9</v>
      </c>
      <c r="AR99">
        <v>0</v>
      </c>
      <c r="AS99">
        <v>0</v>
      </c>
      <c r="AT99">
        <v>2</v>
      </c>
    </row>
    <row r="100" spans="2:46" ht="12.75" customHeight="1">
      <c r="B100" s="33"/>
      <c r="C100" s="33"/>
      <c r="D100" s="33"/>
      <c r="E100" s="33"/>
      <c r="F100" s="33"/>
      <c r="G100" s="33"/>
      <c r="H100" s="33"/>
      <c r="I100" s="33"/>
      <c r="J100" s="33"/>
      <c r="K100" s="33"/>
      <c r="L100" s="33"/>
      <c r="M100" s="33"/>
      <c r="N100" s="33"/>
      <c r="O100" s="33"/>
      <c r="P100" s="33"/>
      <c r="Q100" t="str">
        <f t="shared" ref="Q100:Q131" si="12">LEFT(R100,(FIND(",",R100)-1))</f>
        <v>Shaun Draughn</v>
      </c>
      <c r="R100" s="33" t="s">
        <v>2575</v>
      </c>
      <c r="S100" s="33">
        <v>45</v>
      </c>
      <c r="T100" s="33">
        <v>196.5</v>
      </c>
      <c r="U100" s="33">
        <v>4.4000000000000004</v>
      </c>
      <c r="V100" s="33">
        <v>1</v>
      </c>
      <c r="W100">
        <v>9.5</v>
      </c>
      <c r="X100">
        <v>73</v>
      </c>
      <c r="Y100">
        <v>7.7</v>
      </c>
      <c r="Z100">
        <v>0</v>
      </c>
      <c r="AA100">
        <v>0</v>
      </c>
      <c r="AB100">
        <v>21</v>
      </c>
      <c r="AD100" t="str">
        <f t="shared" si="10"/>
        <v>Jason Avant</v>
      </c>
      <c r="AE100" t="s">
        <v>2623</v>
      </c>
      <c r="AF100">
        <v>35</v>
      </c>
      <c r="AG100">
        <v>421</v>
      </c>
      <c r="AH100">
        <v>12</v>
      </c>
      <c r="AI100">
        <v>2.5</v>
      </c>
      <c r="AJ100">
        <v>0.5</v>
      </c>
      <c r="AK100">
        <v>48</v>
      </c>
      <c r="AM100" t="str">
        <f t="shared" ref="AM100:AM131" si="13">LEFT(AN100,(FIND(",",AN100)-1))</f>
        <v>D.J. Williams</v>
      </c>
      <c r="AN100" t="s">
        <v>2862</v>
      </c>
      <c r="AO100">
        <v>5</v>
      </c>
      <c r="AP100">
        <v>49</v>
      </c>
      <c r="AQ100">
        <v>9.8000000000000007</v>
      </c>
      <c r="AR100">
        <v>0</v>
      </c>
      <c r="AS100">
        <v>0</v>
      </c>
      <c r="AT100">
        <v>2</v>
      </c>
    </row>
    <row r="101" spans="2:46" ht="12.75" customHeight="1">
      <c r="B101" s="33"/>
      <c r="C101" s="33"/>
      <c r="D101" s="33"/>
      <c r="E101" s="33"/>
      <c r="F101" s="33"/>
      <c r="G101" s="33"/>
      <c r="H101" s="33"/>
      <c r="I101" s="33"/>
      <c r="J101" s="33"/>
      <c r="K101" s="33"/>
      <c r="L101" s="33"/>
      <c r="M101" s="33"/>
      <c r="N101" s="33"/>
      <c r="O101" s="33"/>
      <c r="P101" s="33"/>
      <c r="Q101" t="str">
        <f t="shared" si="12"/>
        <v>Jackie Battle</v>
      </c>
      <c r="R101" s="33" t="s">
        <v>2863</v>
      </c>
      <c r="S101" s="33">
        <v>45.5</v>
      </c>
      <c r="T101" s="33">
        <v>182.5</v>
      </c>
      <c r="U101" s="33">
        <v>4</v>
      </c>
      <c r="V101" s="33">
        <v>1</v>
      </c>
      <c r="W101">
        <v>2.5</v>
      </c>
      <c r="X101">
        <v>19.5</v>
      </c>
      <c r="Y101">
        <v>7.8</v>
      </c>
      <c r="Z101">
        <v>0</v>
      </c>
      <c r="AA101">
        <v>0</v>
      </c>
      <c r="AB101">
        <v>18</v>
      </c>
      <c r="AD101" t="str">
        <f t="shared" si="10"/>
        <v>Cole Beasley</v>
      </c>
      <c r="AE101" t="s">
        <v>2607</v>
      </c>
      <c r="AF101">
        <v>37</v>
      </c>
      <c r="AG101">
        <v>407</v>
      </c>
      <c r="AH101">
        <v>11</v>
      </c>
      <c r="AI101">
        <v>2.5</v>
      </c>
      <c r="AJ101">
        <v>0</v>
      </c>
      <c r="AK101">
        <v>48</v>
      </c>
      <c r="AM101" t="str">
        <f t="shared" si="13"/>
        <v>Kevin Brock</v>
      </c>
      <c r="AN101" t="s">
        <v>2864</v>
      </c>
      <c r="AO101">
        <v>5</v>
      </c>
      <c r="AP101">
        <v>55.5</v>
      </c>
      <c r="AQ101">
        <v>11.1</v>
      </c>
      <c r="AR101">
        <v>0</v>
      </c>
      <c r="AS101">
        <v>0</v>
      </c>
      <c r="AT101">
        <v>2</v>
      </c>
    </row>
    <row r="102" spans="2:46" ht="12.75" customHeight="1">
      <c r="B102" s="33"/>
      <c r="C102" s="33"/>
      <c r="D102" s="33"/>
      <c r="E102" s="33"/>
      <c r="F102" s="33"/>
      <c r="G102" s="33"/>
      <c r="H102" s="33"/>
      <c r="I102" s="33"/>
      <c r="J102" s="33"/>
      <c r="K102" s="33"/>
      <c r="L102" s="33"/>
      <c r="M102" s="33"/>
      <c r="N102" s="33"/>
      <c r="O102" s="33"/>
      <c r="P102" s="33"/>
      <c r="Q102" t="str">
        <f t="shared" si="12"/>
        <v>Charles Sims</v>
      </c>
      <c r="R102" s="33" t="s">
        <v>2865</v>
      </c>
      <c r="S102" s="33">
        <v>32.5</v>
      </c>
      <c r="T102" s="33">
        <v>141</v>
      </c>
      <c r="U102" s="33">
        <v>4.3</v>
      </c>
      <c r="V102" s="33">
        <v>0.5</v>
      </c>
      <c r="W102">
        <v>13.5</v>
      </c>
      <c r="X102">
        <v>119.5</v>
      </c>
      <c r="Y102">
        <v>8.9</v>
      </c>
      <c r="Z102">
        <v>1</v>
      </c>
      <c r="AA102">
        <v>1</v>
      </c>
      <c r="AB102">
        <v>18</v>
      </c>
      <c r="AD102" t="str">
        <f t="shared" si="10"/>
        <v>Marlon Brown</v>
      </c>
      <c r="AE102" t="s">
        <v>2553</v>
      </c>
      <c r="AF102">
        <v>34</v>
      </c>
      <c r="AG102">
        <v>437.5</v>
      </c>
      <c r="AH102">
        <v>12.9</v>
      </c>
      <c r="AI102">
        <v>2</v>
      </c>
      <c r="AJ102">
        <v>0</v>
      </c>
      <c r="AK102">
        <v>48</v>
      </c>
      <c r="AM102" t="str">
        <f t="shared" si="13"/>
        <v>Gerell Robinson</v>
      </c>
      <c r="AN102" t="s">
        <v>2866</v>
      </c>
      <c r="AO102">
        <v>4</v>
      </c>
      <c r="AP102">
        <v>48.5</v>
      </c>
      <c r="AQ102">
        <v>12.1</v>
      </c>
      <c r="AR102">
        <v>0</v>
      </c>
      <c r="AS102">
        <v>0</v>
      </c>
      <c r="AT102">
        <v>2</v>
      </c>
    </row>
    <row r="103" spans="2:46" ht="12.75" customHeight="1">
      <c r="B103" s="33"/>
      <c r="C103" s="33"/>
      <c r="D103" s="33"/>
      <c r="E103" s="33"/>
      <c r="F103" s="33"/>
      <c r="G103" s="33"/>
      <c r="H103" s="33"/>
      <c r="I103" s="33"/>
      <c r="J103" s="33"/>
      <c r="K103" s="33"/>
      <c r="L103" s="33"/>
      <c r="M103" s="33"/>
      <c r="N103" s="33"/>
      <c r="O103" s="33"/>
      <c r="P103" s="33"/>
      <c r="Q103" t="str">
        <f t="shared" si="12"/>
        <v>De'Anthony Thomas</v>
      </c>
      <c r="R103" s="33" t="s">
        <v>2597</v>
      </c>
      <c r="S103" s="33">
        <v>19.5</v>
      </c>
      <c r="T103" s="33">
        <v>97</v>
      </c>
      <c r="U103" s="33">
        <v>5</v>
      </c>
      <c r="V103" s="33">
        <v>1</v>
      </c>
      <c r="W103">
        <v>16</v>
      </c>
      <c r="X103">
        <v>126.5</v>
      </c>
      <c r="Y103">
        <v>7.9</v>
      </c>
      <c r="Z103">
        <v>0.5</v>
      </c>
      <c r="AA103">
        <v>0</v>
      </c>
      <c r="AB103">
        <v>18</v>
      </c>
      <c r="AD103" t="str">
        <f t="shared" si="10"/>
        <v>Eddie Royal</v>
      </c>
      <c r="AE103" t="s">
        <v>2547</v>
      </c>
      <c r="AF103">
        <v>38.5</v>
      </c>
      <c r="AG103">
        <v>491</v>
      </c>
      <c r="AH103">
        <v>12.8</v>
      </c>
      <c r="AI103">
        <v>1</v>
      </c>
      <c r="AJ103">
        <v>0.5</v>
      </c>
      <c r="AK103">
        <v>47</v>
      </c>
      <c r="AM103" t="str">
        <f t="shared" si="13"/>
        <v>MarQueis Gray</v>
      </c>
      <c r="AN103" t="s">
        <v>2867</v>
      </c>
      <c r="AO103">
        <v>3.5</v>
      </c>
      <c r="AP103">
        <v>27.5</v>
      </c>
      <c r="AQ103">
        <v>7.9</v>
      </c>
      <c r="AR103">
        <v>0</v>
      </c>
      <c r="AS103">
        <v>0</v>
      </c>
      <c r="AT103">
        <v>1</v>
      </c>
    </row>
    <row r="104" spans="2:46" ht="12.75" customHeight="1">
      <c r="B104" s="33"/>
      <c r="C104" s="33"/>
      <c r="D104" s="33"/>
      <c r="E104" s="33"/>
      <c r="F104" s="33"/>
      <c r="G104" s="33"/>
      <c r="H104" s="33"/>
      <c r="I104" s="33"/>
      <c r="J104" s="33"/>
      <c r="K104" s="33"/>
      <c r="L104" s="33"/>
      <c r="M104" s="33"/>
      <c r="N104" s="33"/>
      <c r="O104" s="33"/>
      <c r="P104" s="33"/>
      <c r="Q104" t="str">
        <f t="shared" si="12"/>
        <v>John Kuhn</v>
      </c>
      <c r="R104" s="33" t="s">
        <v>2868</v>
      </c>
      <c r="S104" s="33">
        <v>17.5</v>
      </c>
      <c r="T104" s="33">
        <v>63</v>
      </c>
      <c r="U104" s="33">
        <v>3.6</v>
      </c>
      <c r="V104" s="33">
        <v>1.5</v>
      </c>
      <c r="W104">
        <v>11</v>
      </c>
      <c r="X104">
        <v>78.5</v>
      </c>
      <c r="Y104">
        <v>7.1</v>
      </c>
      <c r="Z104">
        <v>0.5</v>
      </c>
      <c r="AA104">
        <v>0</v>
      </c>
      <c r="AB104">
        <v>17</v>
      </c>
      <c r="AD104" t="str">
        <f t="shared" si="10"/>
        <v>Ted Ginn</v>
      </c>
      <c r="AE104" t="s">
        <v>2573</v>
      </c>
      <c r="AF104">
        <v>26</v>
      </c>
      <c r="AG104">
        <v>394.5</v>
      </c>
      <c r="AH104">
        <v>15.2</v>
      </c>
      <c r="AI104">
        <v>2.5</v>
      </c>
      <c r="AJ104">
        <v>0</v>
      </c>
      <c r="AK104">
        <v>47</v>
      </c>
      <c r="AM104" t="str">
        <f t="shared" si="13"/>
        <v>Allen Reisner</v>
      </c>
      <c r="AN104" t="s">
        <v>2869</v>
      </c>
      <c r="AO104">
        <v>3</v>
      </c>
      <c r="AP104">
        <v>37.5</v>
      </c>
      <c r="AQ104">
        <v>12.5</v>
      </c>
      <c r="AR104">
        <v>0</v>
      </c>
      <c r="AS104">
        <v>0</v>
      </c>
      <c r="AT104">
        <v>1</v>
      </c>
    </row>
    <row r="105" spans="2:46" ht="12.75" customHeight="1">
      <c r="B105" s="33"/>
      <c r="C105" s="33"/>
      <c r="D105" s="33"/>
      <c r="E105" s="33"/>
      <c r="F105" s="33"/>
      <c r="G105" s="33"/>
      <c r="H105" s="33"/>
      <c r="I105" s="33"/>
      <c r="J105" s="33"/>
      <c r="K105" s="33"/>
      <c r="L105" s="33"/>
      <c r="M105" s="33"/>
      <c r="N105" s="33"/>
      <c r="O105" s="33"/>
      <c r="P105" s="33"/>
      <c r="Q105" t="str">
        <f t="shared" si="12"/>
        <v>Chris Ogbonnaya</v>
      </c>
      <c r="R105" s="33" t="s">
        <v>2870</v>
      </c>
      <c r="S105" s="33">
        <v>32.5</v>
      </c>
      <c r="T105" s="33">
        <v>131.5</v>
      </c>
      <c r="U105" s="33">
        <v>4</v>
      </c>
      <c r="V105" s="33">
        <v>0</v>
      </c>
      <c r="W105">
        <v>22.5</v>
      </c>
      <c r="X105">
        <v>162.5</v>
      </c>
      <c r="Y105">
        <v>7.2</v>
      </c>
      <c r="Z105">
        <v>0.5</v>
      </c>
      <c r="AA105">
        <v>1</v>
      </c>
      <c r="AB105">
        <v>16</v>
      </c>
      <c r="AD105" t="str">
        <f t="shared" si="10"/>
        <v>Marquess Wilson</v>
      </c>
      <c r="AE105" t="s">
        <v>2871</v>
      </c>
      <c r="AF105">
        <v>28</v>
      </c>
      <c r="AG105">
        <v>389</v>
      </c>
      <c r="AH105">
        <v>13.9</v>
      </c>
      <c r="AI105">
        <v>2.5</v>
      </c>
      <c r="AJ105">
        <v>0</v>
      </c>
      <c r="AK105">
        <v>46</v>
      </c>
      <c r="AM105" t="str">
        <f t="shared" si="13"/>
        <v>David Johnson</v>
      </c>
      <c r="AN105" t="s">
        <v>2872</v>
      </c>
      <c r="AO105">
        <v>3.5</v>
      </c>
      <c r="AP105">
        <v>33.5</v>
      </c>
      <c r="AQ105">
        <v>9.6</v>
      </c>
      <c r="AR105">
        <v>0</v>
      </c>
      <c r="AS105">
        <v>0</v>
      </c>
      <c r="AT105">
        <v>1</v>
      </c>
    </row>
    <row r="106" spans="2:46" ht="12.75" customHeight="1">
      <c r="B106" s="33"/>
      <c r="C106" s="33"/>
      <c r="D106" s="33"/>
      <c r="E106" s="33"/>
      <c r="F106" s="33"/>
      <c r="G106" s="33"/>
      <c r="H106" s="33"/>
      <c r="I106" s="33"/>
      <c r="J106" s="33"/>
      <c r="K106" s="33"/>
      <c r="L106" s="33"/>
      <c r="M106" s="33"/>
      <c r="N106" s="33"/>
      <c r="O106" s="33"/>
      <c r="P106" s="33"/>
      <c r="Q106" t="str">
        <f t="shared" si="12"/>
        <v>Joseph Randle</v>
      </c>
      <c r="R106" s="33" t="s">
        <v>2557</v>
      </c>
      <c r="S106" s="33">
        <v>44.5</v>
      </c>
      <c r="T106" s="33">
        <v>183</v>
      </c>
      <c r="U106" s="33">
        <v>4.0999999999999996</v>
      </c>
      <c r="V106" s="33">
        <v>0.5</v>
      </c>
      <c r="W106">
        <v>5</v>
      </c>
      <c r="X106">
        <v>32</v>
      </c>
      <c r="Y106">
        <v>6.4</v>
      </c>
      <c r="Z106">
        <v>0</v>
      </c>
      <c r="AA106">
        <v>0</v>
      </c>
      <c r="AB106">
        <v>15</v>
      </c>
      <c r="AD106" t="str">
        <f t="shared" si="10"/>
        <v>Jacoby Jones</v>
      </c>
      <c r="AE106" t="s">
        <v>2683</v>
      </c>
      <c r="AF106">
        <v>29.5</v>
      </c>
      <c r="AG106">
        <v>401.5</v>
      </c>
      <c r="AH106">
        <v>13.6</v>
      </c>
      <c r="AI106">
        <v>2</v>
      </c>
      <c r="AJ106">
        <v>0</v>
      </c>
      <c r="AK106">
        <v>45</v>
      </c>
      <c r="AM106" t="str">
        <f t="shared" si="13"/>
        <v>Brandon Barden</v>
      </c>
      <c r="AN106" t="s">
        <v>2873</v>
      </c>
      <c r="AO106">
        <v>1.5</v>
      </c>
      <c r="AP106">
        <v>20.5</v>
      </c>
      <c r="AQ106">
        <v>13.7</v>
      </c>
      <c r="AR106">
        <v>0</v>
      </c>
      <c r="AS106">
        <v>0</v>
      </c>
      <c r="AT106">
        <v>1</v>
      </c>
    </row>
    <row r="107" spans="2:46" ht="12.75" customHeight="1">
      <c r="B107" s="33"/>
      <c r="C107" s="33"/>
      <c r="D107" s="33"/>
      <c r="E107" s="33"/>
      <c r="F107" s="33"/>
      <c r="G107" s="33"/>
      <c r="H107" s="33"/>
      <c r="I107" s="33"/>
      <c r="J107" s="33"/>
      <c r="K107" s="33"/>
      <c r="L107" s="33"/>
      <c r="M107" s="33"/>
      <c r="N107" s="33"/>
      <c r="O107" s="33"/>
      <c r="P107" s="33"/>
      <c r="Q107" t="str">
        <f t="shared" si="12"/>
        <v>Theo Riddick</v>
      </c>
      <c r="R107" s="33" t="s">
        <v>2603</v>
      </c>
      <c r="S107" s="33">
        <v>38</v>
      </c>
      <c r="T107" s="33">
        <v>154.5</v>
      </c>
      <c r="U107" s="33">
        <v>4.0999999999999996</v>
      </c>
      <c r="V107" s="33">
        <v>1</v>
      </c>
      <c r="W107">
        <v>9.5</v>
      </c>
      <c r="X107">
        <v>62.5</v>
      </c>
      <c r="Y107">
        <v>6.6</v>
      </c>
      <c r="Z107">
        <v>0</v>
      </c>
      <c r="AA107">
        <v>0</v>
      </c>
      <c r="AB107">
        <v>15</v>
      </c>
      <c r="AD107" t="str">
        <f t="shared" si="10"/>
        <v>Greg Little</v>
      </c>
      <c r="AE107" t="s">
        <v>2635</v>
      </c>
      <c r="AF107">
        <v>29.5</v>
      </c>
      <c r="AG107">
        <v>423.5</v>
      </c>
      <c r="AH107">
        <v>14.4</v>
      </c>
      <c r="AI107">
        <v>1.5</v>
      </c>
      <c r="AJ107">
        <v>0</v>
      </c>
      <c r="AK107">
        <v>43</v>
      </c>
      <c r="AM107" t="str">
        <f t="shared" si="13"/>
        <v>Weslye Saunders</v>
      </c>
      <c r="AN107" t="s">
        <v>2874</v>
      </c>
      <c r="AO107">
        <v>4</v>
      </c>
      <c r="AP107">
        <v>45.5</v>
      </c>
      <c r="AQ107">
        <v>11.4</v>
      </c>
      <c r="AR107">
        <v>0</v>
      </c>
      <c r="AS107">
        <v>0</v>
      </c>
      <c r="AT107">
        <v>1</v>
      </c>
    </row>
    <row r="108" spans="2:46" ht="12.75" customHeight="1">
      <c r="B108" s="33"/>
      <c r="C108" s="33"/>
      <c r="D108" s="33"/>
      <c r="E108" s="33"/>
      <c r="F108" s="33"/>
      <c r="G108" s="33"/>
      <c r="H108" s="33"/>
      <c r="I108" s="33"/>
      <c r="J108" s="33"/>
      <c r="K108" s="33"/>
      <c r="L108" s="33"/>
      <c r="M108" s="33"/>
      <c r="N108" s="33"/>
      <c r="O108" s="33"/>
      <c r="P108" s="33"/>
      <c r="Q108" t="str">
        <f t="shared" si="12"/>
        <v>Benny Cunningham</v>
      </c>
      <c r="R108" s="33" t="s">
        <v>2512</v>
      </c>
      <c r="S108" s="33">
        <v>47</v>
      </c>
      <c r="T108" s="33">
        <v>204</v>
      </c>
      <c r="U108" s="33">
        <v>4.3</v>
      </c>
      <c r="V108" s="33">
        <v>0.5</v>
      </c>
      <c r="W108">
        <v>3.5</v>
      </c>
      <c r="X108">
        <v>29.5</v>
      </c>
      <c r="Y108">
        <v>8.4</v>
      </c>
      <c r="Z108">
        <v>0</v>
      </c>
      <c r="AA108">
        <v>1</v>
      </c>
      <c r="AB108">
        <v>14</v>
      </c>
      <c r="AD108" t="str">
        <f t="shared" si="10"/>
        <v>Cody Latimer</v>
      </c>
      <c r="AE108" t="s">
        <v>2673</v>
      </c>
      <c r="AF108">
        <v>29</v>
      </c>
      <c r="AG108">
        <v>370.5</v>
      </c>
      <c r="AH108">
        <v>12.8</v>
      </c>
      <c r="AI108">
        <v>2</v>
      </c>
      <c r="AJ108">
        <v>0</v>
      </c>
      <c r="AK108">
        <v>42</v>
      </c>
      <c r="AM108" t="str">
        <f t="shared" si="13"/>
        <v>Konrad Reuland</v>
      </c>
      <c r="AN108" t="s">
        <v>2875</v>
      </c>
      <c r="AO108">
        <v>5</v>
      </c>
      <c r="AP108">
        <v>47</v>
      </c>
      <c r="AQ108">
        <v>9.4</v>
      </c>
      <c r="AR108">
        <v>0</v>
      </c>
      <c r="AS108">
        <v>0</v>
      </c>
      <c r="AT108">
        <v>1</v>
      </c>
    </row>
    <row r="109" spans="2:46" ht="12.75" customHeight="1">
      <c r="B109" s="33"/>
      <c r="C109" s="33"/>
      <c r="D109" s="33"/>
      <c r="E109" s="33"/>
      <c r="F109" s="33"/>
      <c r="G109" s="33"/>
      <c r="H109" s="33"/>
      <c r="I109" s="33"/>
      <c r="J109" s="33"/>
      <c r="K109" s="33"/>
      <c r="L109" s="33"/>
      <c r="M109" s="33"/>
      <c r="N109" s="33"/>
      <c r="O109" s="33"/>
      <c r="P109" s="33"/>
      <c r="Q109" t="str">
        <f t="shared" si="12"/>
        <v>Derrick Coleman</v>
      </c>
      <c r="R109" s="33" t="s">
        <v>2876</v>
      </c>
      <c r="S109" s="33">
        <v>5.5</v>
      </c>
      <c r="T109" s="33">
        <v>20.5</v>
      </c>
      <c r="U109" s="33">
        <v>3.7</v>
      </c>
      <c r="V109" s="33">
        <v>0.5</v>
      </c>
      <c r="W109">
        <v>9.5</v>
      </c>
      <c r="X109">
        <v>66</v>
      </c>
      <c r="Y109">
        <v>6.9</v>
      </c>
      <c r="Z109">
        <v>1</v>
      </c>
      <c r="AA109">
        <v>0</v>
      </c>
      <c r="AB109">
        <v>13</v>
      </c>
      <c r="AD109" t="str">
        <f t="shared" si="10"/>
        <v>Jermaine Kearse</v>
      </c>
      <c r="AE109" t="s">
        <v>2539</v>
      </c>
      <c r="AF109">
        <v>23</v>
      </c>
      <c r="AG109">
        <v>368</v>
      </c>
      <c r="AH109">
        <v>16</v>
      </c>
      <c r="AI109">
        <v>2</v>
      </c>
      <c r="AJ109">
        <v>0</v>
      </c>
      <c r="AK109">
        <v>42</v>
      </c>
      <c r="AM109" t="str">
        <f t="shared" si="13"/>
        <v>Matthew Mulligan</v>
      </c>
      <c r="AN109" t="s">
        <v>2877</v>
      </c>
      <c r="AO109">
        <v>2.5</v>
      </c>
      <c r="AP109">
        <v>27</v>
      </c>
      <c r="AQ109">
        <v>10.8</v>
      </c>
      <c r="AR109">
        <v>0</v>
      </c>
      <c r="AS109">
        <v>0</v>
      </c>
      <c r="AT109">
        <v>1</v>
      </c>
    </row>
    <row r="110" spans="2:46" ht="12.75" customHeight="1">
      <c r="B110" s="33"/>
      <c r="C110" s="33"/>
      <c r="D110" s="33"/>
      <c r="E110" s="33"/>
      <c r="F110" s="33"/>
      <c r="G110" s="33"/>
      <c r="H110" s="33"/>
      <c r="I110" s="33"/>
      <c r="J110" s="33"/>
      <c r="K110" s="33"/>
      <c r="L110" s="33"/>
      <c r="M110" s="33"/>
      <c r="N110" s="33"/>
      <c r="O110" s="33"/>
      <c r="P110" s="33"/>
      <c r="Q110" t="str">
        <f t="shared" si="12"/>
        <v>Jed Collins</v>
      </c>
      <c r="R110" s="33" t="s">
        <v>2878</v>
      </c>
      <c r="S110" s="33">
        <v>7</v>
      </c>
      <c r="T110" s="33">
        <v>43.5</v>
      </c>
      <c r="U110" s="33">
        <v>6.2</v>
      </c>
      <c r="V110" s="33">
        <v>1</v>
      </c>
      <c r="W110">
        <v>10</v>
      </c>
      <c r="X110">
        <v>56.5</v>
      </c>
      <c r="Y110">
        <v>5.7</v>
      </c>
      <c r="Z110">
        <v>0.5</v>
      </c>
      <c r="AA110">
        <v>0</v>
      </c>
      <c r="AB110">
        <v>12</v>
      </c>
      <c r="AD110" t="str">
        <f t="shared" si="10"/>
        <v>Vincent Brown</v>
      </c>
      <c r="AE110" t="s">
        <v>2667</v>
      </c>
      <c r="AF110">
        <v>31</v>
      </c>
      <c r="AG110">
        <v>391.5</v>
      </c>
      <c r="AH110">
        <v>12.6</v>
      </c>
      <c r="AI110">
        <v>1.5</v>
      </c>
      <c r="AJ110">
        <v>0</v>
      </c>
      <c r="AK110">
        <v>40</v>
      </c>
      <c r="AM110" t="str">
        <f t="shared" si="13"/>
        <v>Zach Miller</v>
      </c>
      <c r="AN110" t="s">
        <v>2879</v>
      </c>
      <c r="AO110">
        <v>2</v>
      </c>
      <c r="AP110">
        <v>26.5</v>
      </c>
      <c r="AQ110">
        <v>13.2</v>
      </c>
      <c r="AR110">
        <v>0</v>
      </c>
      <c r="AS110">
        <v>0</v>
      </c>
      <c r="AT110">
        <v>1</v>
      </c>
    </row>
    <row r="111" spans="2:46" ht="12.75" customHeight="1">
      <c r="B111" s="33"/>
      <c r="C111" s="33"/>
      <c r="D111" s="33"/>
      <c r="E111" s="33"/>
      <c r="F111" s="33"/>
      <c r="G111" s="33"/>
      <c r="H111" s="33"/>
      <c r="I111" s="33"/>
      <c r="J111" s="33"/>
      <c r="K111" s="33"/>
      <c r="L111" s="33"/>
      <c r="M111" s="33"/>
      <c r="N111" s="33"/>
      <c r="O111" s="33"/>
      <c r="P111" s="33"/>
      <c r="Q111" t="str">
        <f t="shared" si="12"/>
        <v>Anthony Sherman</v>
      </c>
      <c r="R111" s="33" t="s">
        <v>2880</v>
      </c>
      <c r="S111" s="33">
        <v>6.5</v>
      </c>
      <c r="T111" s="33">
        <v>20.5</v>
      </c>
      <c r="U111" s="33">
        <v>3.2</v>
      </c>
      <c r="V111" s="33">
        <v>0.5</v>
      </c>
      <c r="W111">
        <v>13</v>
      </c>
      <c r="X111">
        <v>106</v>
      </c>
      <c r="Y111">
        <v>8.1999999999999993</v>
      </c>
      <c r="Z111">
        <v>0.5</v>
      </c>
      <c r="AA111">
        <v>0</v>
      </c>
      <c r="AB111">
        <v>11</v>
      </c>
      <c r="AD111" t="str">
        <f t="shared" si="10"/>
        <v>DeVier Posey</v>
      </c>
      <c r="AE111" t="s">
        <v>2881</v>
      </c>
      <c r="AF111">
        <v>31</v>
      </c>
      <c r="AG111">
        <v>376</v>
      </c>
      <c r="AH111">
        <v>12.1</v>
      </c>
      <c r="AI111">
        <v>1.5</v>
      </c>
      <c r="AJ111">
        <v>0</v>
      </c>
      <c r="AK111">
        <v>39</v>
      </c>
      <c r="AM111" t="str">
        <f t="shared" si="13"/>
        <v>Niles Paul</v>
      </c>
      <c r="AN111" t="s">
        <v>2882</v>
      </c>
      <c r="AO111">
        <v>4</v>
      </c>
      <c r="AP111">
        <v>38</v>
      </c>
      <c r="AQ111">
        <v>9.5</v>
      </c>
      <c r="AR111">
        <v>0</v>
      </c>
      <c r="AS111">
        <v>0</v>
      </c>
      <c r="AT111">
        <v>1</v>
      </c>
    </row>
    <row r="112" spans="2:46" ht="12.75" customHeight="1">
      <c r="B112" s="33"/>
      <c r="C112" s="33"/>
      <c r="D112" s="33"/>
      <c r="E112" s="33"/>
      <c r="F112" s="33"/>
      <c r="G112" s="33"/>
      <c r="H112" s="33"/>
      <c r="I112" s="33"/>
      <c r="J112" s="33"/>
      <c r="K112" s="33"/>
      <c r="L112" s="33"/>
      <c r="M112" s="33"/>
      <c r="N112" s="33"/>
      <c r="O112" s="33"/>
      <c r="P112" s="33"/>
      <c r="Q112" t="str">
        <f t="shared" si="12"/>
        <v>Storm Johnson</v>
      </c>
      <c r="R112" s="33" t="s">
        <v>2591</v>
      </c>
      <c r="S112" s="33">
        <v>32.5</v>
      </c>
      <c r="T112" s="33">
        <v>140.5</v>
      </c>
      <c r="U112" s="33">
        <v>4.3</v>
      </c>
      <c r="V112" s="33">
        <v>0.5</v>
      </c>
      <c r="W112">
        <v>7</v>
      </c>
      <c r="X112">
        <v>51.5</v>
      </c>
      <c r="Y112">
        <v>7.4</v>
      </c>
      <c r="Z112">
        <v>0</v>
      </c>
      <c r="AA112">
        <v>0</v>
      </c>
      <c r="AB112">
        <v>11</v>
      </c>
      <c r="AD112" t="str">
        <f t="shared" si="10"/>
        <v>Kevin Ogletree</v>
      </c>
      <c r="AE112" t="s">
        <v>2883</v>
      </c>
      <c r="AF112">
        <v>24</v>
      </c>
      <c r="AG112">
        <v>372</v>
      </c>
      <c r="AH112">
        <v>15.5</v>
      </c>
      <c r="AI112">
        <v>1.5</v>
      </c>
      <c r="AJ112">
        <v>0</v>
      </c>
      <c r="AK112">
        <v>39</v>
      </c>
      <c r="AM112" t="str">
        <f t="shared" si="13"/>
        <v>Darren Fells</v>
      </c>
      <c r="AN112" t="s">
        <v>2884</v>
      </c>
      <c r="AO112">
        <v>2.5</v>
      </c>
      <c r="AP112">
        <v>27</v>
      </c>
      <c r="AQ112">
        <v>10.8</v>
      </c>
      <c r="AR112">
        <v>0</v>
      </c>
      <c r="AS112">
        <v>0</v>
      </c>
      <c r="AT112">
        <v>1</v>
      </c>
    </row>
    <row r="113" spans="2:46" ht="12.75" customHeight="1">
      <c r="B113" s="33"/>
      <c r="C113" s="33"/>
      <c r="D113" s="33"/>
      <c r="E113" s="33"/>
      <c r="F113" s="33"/>
      <c r="G113" s="33"/>
      <c r="H113" s="33"/>
      <c r="I113" s="33"/>
      <c r="J113" s="33"/>
      <c r="K113" s="33"/>
      <c r="L113" s="33"/>
      <c r="M113" s="33"/>
      <c r="N113" s="33"/>
      <c r="O113" s="33"/>
      <c r="P113" s="33"/>
      <c r="Q113" t="str">
        <f t="shared" si="12"/>
        <v>Mikel Leshoure</v>
      </c>
      <c r="R113" s="33" t="s">
        <v>2885</v>
      </c>
      <c r="S113" s="33">
        <v>22</v>
      </c>
      <c r="T113" s="33">
        <v>99</v>
      </c>
      <c r="U113" s="33">
        <v>4.5</v>
      </c>
      <c r="V113" s="33">
        <v>1</v>
      </c>
      <c r="W113">
        <v>7.5</v>
      </c>
      <c r="X113">
        <v>57</v>
      </c>
      <c r="Y113">
        <v>7.6</v>
      </c>
      <c r="Z113">
        <v>0</v>
      </c>
      <c r="AA113">
        <v>0.5</v>
      </c>
      <c r="AB113">
        <v>11</v>
      </c>
      <c r="AD113" t="str">
        <f t="shared" si="10"/>
        <v>Robert Meachem</v>
      </c>
      <c r="AE113" t="s">
        <v>2886</v>
      </c>
      <c r="AF113">
        <v>18</v>
      </c>
      <c r="AG113">
        <v>340</v>
      </c>
      <c r="AH113">
        <v>18.899999999999999</v>
      </c>
      <c r="AI113">
        <v>2</v>
      </c>
      <c r="AJ113">
        <v>0</v>
      </c>
      <c r="AK113">
        <v>39</v>
      </c>
      <c r="AM113" t="str">
        <f t="shared" si="13"/>
        <v>Fendi Onobun</v>
      </c>
      <c r="AN113" t="s">
        <v>2887</v>
      </c>
      <c r="AO113">
        <v>3</v>
      </c>
      <c r="AP113">
        <v>37.5</v>
      </c>
      <c r="AQ113">
        <v>12.5</v>
      </c>
      <c r="AR113">
        <v>0</v>
      </c>
      <c r="AS113">
        <v>0</v>
      </c>
      <c r="AT113">
        <v>1</v>
      </c>
    </row>
    <row r="114" spans="2:46" ht="12.75" customHeight="1">
      <c r="B114" s="33"/>
      <c r="C114" s="33"/>
      <c r="D114" s="33"/>
      <c r="E114" s="33"/>
      <c r="F114" s="33"/>
      <c r="G114" s="33"/>
      <c r="H114" s="33"/>
      <c r="I114" s="33"/>
      <c r="J114" s="33"/>
      <c r="K114" s="33"/>
      <c r="L114" s="33"/>
      <c r="M114" s="33"/>
      <c r="N114" s="33"/>
      <c r="O114" s="33"/>
      <c r="P114" s="33"/>
      <c r="Q114" t="str">
        <f t="shared" si="12"/>
        <v>Erik Lorig</v>
      </c>
      <c r="R114" s="33" t="s">
        <v>2888</v>
      </c>
      <c r="S114" s="33">
        <v>5</v>
      </c>
      <c r="T114" s="33">
        <v>19.5</v>
      </c>
      <c r="U114" s="33">
        <v>3.9</v>
      </c>
      <c r="V114" s="33">
        <v>0</v>
      </c>
      <c r="W114">
        <v>10.5</v>
      </c>
      <c r="X114">
        <v>75.5</v>
      </c>
      <c r="Y114">
        <v>7.2</v>
      </c>
      <c r="Z114">
        <v>1</v>
      </c>
      <c r="AA114">
        <v>0</v>
      </c>
      <c r="AB114">
        <v>10</v>
      </c>
      <c r="AD114" t="str">
        <f t="shared" si="10"/>
        <v>Devin Street</v>
      </c>
      <c r="AE114" t="s">
        <v>2889</v>
      </c>
      <c r="AF114">
        <v>23.5</v>
      </c>
      <c r="AG114">
        <v>342.5</v>
      </c>
      <c r="AH114">
        <v>14.6</v>
      </c>
      <c r="AI114">
        <v>2</v>
      </c>
      <c r="AJ114">
        <v>0</v>
      </c>
      <c r="AK114">
        <v>39</v>
      </c>
      <c r="AM114" t="str">
        <f t="shared" si="13"/>
        <v>Andrew Szczerba</v>
      </c>
      <c r="AN114" t="s">
        <v>2890</v>
      </c>
      <c r="AO114">
        <v>2</v>
      </c>
      <c r="AP114">
        <v>21.5</v>
      </c>
      <c r="AQ114">
        <v>10.8</v>
      </c>
      <c r="AR114">
        <v>0</v>
      </c>
      <c r="AS114">
        <v>0</v>
      </c>
      <c r="AT114">
        <v>1</v>
      </c>
    </row>
    <row r="115" spans="2:46" ht="12.75" customHeight="1">
      <c r="B115" s="33"/>
      <c r="C115" s="33"/>
      <c r="D115" s="33"/>
      <c r="E115" s="33"/>
      <c r="F115" s="33"/>
      <c r="G115" s="33"/>
      <c r="H115" s="33"/>
      <c r="I115" s="33"/>
      <c r="J115" s="33"/>
      <c r="K115" s="33"/>
      <c r="L115" s="33"/>
      <c r="M115" s="33"/>
      <c r="N115" s="33"/>
      <c r="O115" s="33"/>
      <c r="P115" s="33"/>
      <c r="Q115" t="str">
        <f t="shared" si="12"/>
        <v>Frank Summers</v>
      </c>
      <c r="R115" s="33" t="s">
        <v>2891</v>
      </c>
      <c r="S115" s="33">
        <v>12</v>
      </c>
      <c r="T115" s="33">
        <v>44.5</v>
      </c>
      <c r="U115" s="33">
        <v>3.7</v>
      </c>
      <c r="V115" s="33">
        <v>0.5</v>
      </c>
      <c r="W115">
        <v>9</v>
      </c>
      <c r="X115">
        <v>72.5</v>
      </c>
      <c r="Y115">
        <v>8.1</v>
      </c>
      <c r="Z115">
        <v>0.5</v>
      </c>
      <c r="AA115">
        <v>0</v>
      </c>
      <c r="AB115">
        <v>10</v>
      </c>
      <c r="AD115" t="str">
        <f t="shared" si="10"/>
        <v>Stephen Hill</v>
      </c>
      <c r="AE115" t="s">
        <v>2892</v>
      </c>
      <c r="AF115">
        <v>25.5</v>
      </c>
      <c r="AG115">
        <v>351.5</v>
      </c>
      <c r="AH115">
        <v>13.8</v>
      </c>
      <c r="AI115">
        <v>2</v>
      </c>
      <c r="AJ115">
        <v>0</v>
      </c>
      <c r="AK115">
        <v>39</v>
      </c>
      <c r="AM115" t="str">
        <f t="shared" si="13"/>
        <v>Daniel Fells</v>
      </c>
      <c r="AN115" t="s">
        <v>2893</v>
      </c>
      <c r="AO115">
        <v>4.5</v>
      </c>
      <c r="AP115">
        <v>47.5</v>
      </c>
      <c r="AQ115">
        <v>10.6</v>
      </c>
      <c r="AR115">
        <v>0</v>
      </c>
      <c r="AS115">
        <v>0</v>
      </c>
      <c r="AT115">
        <v>1</v>
      </c>
    </row>
    <row r="116" spans="2:46" ht="12.75" customHeight="1">
      <c r="B116" s="33"/>
      <c r="C116" s="33"/>
      <c r="D116" s="33"/>
      <c r="E116" s="33"/>
      <c r="F116" s="33"/>
      <c r="G116" s="33"/>
      <c r="H116" s="33"/>
      <c r="I116" s="33"/>
      <c r="J116" s="33"/>
      <c r="K116" s="33"/>
      <c r="L116" s="33"/>
      <c r="M116" s="33"/>
      <c r="N116" s="33"/>
      <c r="O116" s="33"/>
      <c r="P116" s="33"/>
      <c r="Q116" t="str">
        <f t="shared" si="12"/>
        <v>Bruce Miller</v>
      </c>
      <c r="R116" s="33" t="s">
        <v>2894</v>
      </c>
      <c r="S116" s="33">
        <v>6</v>
      </c>
      <c r="T116" s="33">
        <v>21.5</v>
      </c>
      <c r="U116" s="33">
        <v>3.6</v>
      </c>
      <c r="V116" s="33">
        <v>0.5</v>
      </c>
      <c r="W116">
        <v>15.5</v>
      </c>
      <c r="X116">
        <v>124</v>
      </c>
      <c r="Y116">
        <v>8</v>
      </c>
      <c r="Z116">
        <v>0</v>
      </c>
      <c r="AA116">
        <v>0</v>
      </c>
      <c r="AB116">
        <v>9</v>
      </c>
      <c r="AD116" t="str">
        <f t="shared" si="10"/>
        <v>Kris Durham</v>
      </c>
      <c r="AE116" t="s">
        <v>2895</v>
      </c>
      <c r="AF116">
        <v>25.5</v>
      </c>
      <c r="AG116">
        <v>323.5</v>
      </c>
      <c r="AH116">
        <v>12.7</v>
      </c>
      <c r="AI116">
        <v>2</v>
      </c>
      <c r="AJ116">
        <v>0</v>
      </c>
      <c r="AK116">
        <v>37</v>
      </c>
      <c r="AM116" t="str">
        <f t="shared" si="13"/>
        <v>Luke Stocker</v>
      </c>
      <c r="AN116" t="s">
        <v>2896</v>
      </c>
      <c r="AO116">
        <v>3.5</v>
      </c>
      <c r="AP116">
        <v>43.5</v>
      </c>
      <c r="AQ116">
        <v>12.4</v>
      </c>
      <c r="AR116">
        <v>0</v>
      </c>
      <c r="AS116">
        <v>0</v>
      </c>
      <c r="AT116">
        <v>1</v>
      </c>
    </row>
    <row r="117" spans="2:46" ht="12.75" customHeight="1">
      <c r="B117" s="33"/>
      <c r="C117" s="33"/>
      <c r="D117" s="33"/>
      <c r="E117" s="33"/>
      <c r="F117" s="33"/>
      <c r="G117" s="33"/>
      <c r="H117" s="33"/>
      <c r="I117" s="33"/>
      <c r="J117" s="33"/>
      <c r="K117" s="33"/>
      <c r="L117" s="33"/>
      <c r="M117" s="33"/>
      <c r="N117" s="33"/>
      <c r="O117" s="33"/>
      <c r="P117" s="33"/>
      <c r="Q117" t="str">
        <f t="shared" si="12"/>
        <v>Michael Ford</v>
      </c>
      <c r="R117" s="33" t="s">
        <v>2897</v>
      </c>
      <c r="S117" s="33">
        <v>26.5</v>
      </c>
      <c r="T117" s="33">
        <v>115</v>
      </c>
      <c r="U117" s="33">
        <v>4.3</v>
      </c>
      <c r="V117" s="33">
        <v>0.5</v>
      </c>
      <c r="W117">
        <v>3</v>
      </c>
      <c r="X117">
        <v>24</v>
      </c>
      <c r="Y117">
        <v>8</v>
      </c>
      <c r="Z117">
        <v>0</v>
      </c>
      <c r="AA117">
        <v>0</v>
      </c>
      <c r="AB117">
        <v>9</v>
      </c>
      <c r="AD117" t="str">
        <f t="shared" si="10"/>
        <v>A.J. Jenkins</v>
      </c>
      <c r="AE117" t="s">
        <v>2693</v>
      </c>
      <c r="AF117">
        <v>28</v>
      </c>
      <c r="AG117">
        <v>363.5</v>
      </c>
      <c r="AH117">
        <v>13</v>
      </c>
      <c r="AI117">
        <v>1.5</v>
      </c>
      <c r="AJ117">
        <v>0</v>
      </c>
      <c r="AK117">
        <v>37</v>
      </c>
      <c r="AN117" t="s">
        <v>2898</v>
      </c>
      <c r="AO117">
        <v>3.5</v>
      </c>
      <c r="AP117">
        <v>39</v>
      </c>
      <c r="AQ117">
        <v>11.1</v>
      </c>
      <c r="AR117">
        <v>0</v>
      </c>
      <c r="AS117">
        <v>0</v>
      </c>
      <c r="AT117">
        <v>1</v>
      </c>
    </row>
    <row r="118" spans="2:46" ht="12.75" customHeight="1">
      <c r="B118" s="33"/>
      <c r="C118" s="33"/>
      <c r="D118" s="33"/>
      <c r="E118" s="33"/>
      <c r="F118" s="33"/>
      <c r="G118" s="33"/>
      <c r="H118" s="33"/>
      <c r="I118" s="33"/>
      <c r="J118" s="33"/>
      <c r="K118" s="33"/>
      <c r="L118" s="33"/>
      <c r="M118" s="33"/>
      <c r="N118" s="33"/>
      <c r="O118" s="33"/>
      <c r="P118" s="33"/>
      <c r="Q118" t="str">
        <f t="shared" si="12"/>
        <v>Dan Herron</v>
      </c>
      <c r="R118" s="33" t="s">
        <v>2649</v>
      </c>
      <c r="S118" s="33">
        <v>38.5</v>
      </c>
      <c r="T118" s="33">
        <v>147.5</v>
      </c>
      <c r="U118" s="33">
        <v>3.8</v>
      </c>
      <c r="V118" s="33">
        <v>0.5</v>
      </c>
      <c r="W118">
        <v>1.5</v>
      </c>
      <c r="X118">
        <v>12.5</v>
      </c>
      <c r="Y118">
        <v>8.3000000000000007</v>
      </c>
      <c r="Z118">
        <v>0</v>
      </c>
      <c r="AA118">
        <v>0.5</v>
      </c>
      <c r="AB118">
        <v>9</v>
      </c>
      <c r="AD118" t="str">
        <f t="shared" si="10"/>
        <v>Santana Moss</v>
      </c>
      <c r="AE118" t="s">
        <v>2899</v>
      </c>
      <c r="AF118">
        <v>28.5</v>
      </c>
      <c r="AG118">
        <v>329.5</v>
      </c>
      <c r="AH118">
        <v>11.6</v>
      </c>
      <c r="AI118">
        <v>2</v>
      </c>
      <c r="AJ118">
        <v>0.5</v>
      </c>
      <c r="AK118">
        <v>36</v>
      </c>
      <c r="AN118" t="s">
        <v>2900</v>
      </c>
      <c r="AO118">
        <v>2</v>
      </c>
      <c r="AP118">
        <v>26.5</v>
      </c>
      <c r="AQ118">
        <v>13.2</v>
      </c>
      <c r="AR118">
        <v>0</v>
      </c>
      <c r="AS118">
        <v>0</v>
      </c>
      <c r="AT118">
        <v>1</v>
      </c>
    </row>
    <row r="119" spans="2:46" ht="12.75" customHeight="1">
      <c r="B119" s="33"/>
      <c r="C119" s="33"/>
      <c r="D119" s="33"/>
      <c r="E119" s="33"/>
      <c r="F119" s="33"/>
      <c r="G119" s="33"/>
      <c r="H119" s="33"/>
      <c r="I119" s="33"/>
      <c r="J119" s="33"/>
      <c r="K119" s="33"/>
      <c r="L119" s="33"/>
      <c r="M119" s="33"/>
      <c r="N119" s="33"/>
      <c r="O119" s="33"/>
      <c r="P119" s="33"/>
      <c r="Q119" t="str">
        <f t="shared" si="12"/>
        <v>Kyle Juszczyk</v>
      </c>
      <c r="R119" s="33" t="s">
        <v>2901</v>
      </c>
      <c r="S119" s="33">
        <v>12</v>
      </c>
      <c r="T119" s="33">
        <v>42</v>
      </c>
      <c r="U119" s="33">
        <v>3.5</v>
      </c>
      <c r="V119" s="33">
        <v>0.5</v>
      </c>
      <c r="W119">
        <v>7.5</v>
      </c>
      <c r="X119">
        <v>48</v>
      </c>
      <c r="Y119">
        <v>6.4</v>
      </c>
      <c r="Z119">
        <v>0.5</v>
      </c>
      <c r="AA119">
        <v>0</v>
      </c>
      <c r="AB119">
        <v>9</v>
      </c>
      <c r="AD119" t="str">
        <f t="shared" si="10"/>
        <v>Ryan Broyles</v>
      </c>
      <c r="AE119" t="s">
        <v>2902</v>
      </c>
      <c r="AF119">
        <v>27.5</v>
      </c>
      <c r="AG119">
        <v>347.5</v>
      </c>
      <c r="AH119">
        <v>12.6</v>
      </c>
      <c r="AI119">
        <v>1.5</v>
      </c>
      <c r="AJ119">
        <v>0</v>
      </c>
      <c r="AK119">
        <v>36</v>
      </c>
      <c r="AN119" t="s">
        <v>2903</v>
      </c>
      <c r="AO119">
        <v>4</v>
      </c>
      <c r="AP119">
        <v>35.5</v>
      </c>
      <c r="AQ119">
        <v>8.9</v>
      </c>
      <c r="AR119">
        <v>0</v>
      </c>
      <c r="AS119">
        <v>0</v>
      </c>
      <c r="AT119">
        <v>1</v>
      </c>
    </row>
    <row r="120" spans="2:46" ht="12.75" customHeight="1">
      <c r="B120" s="33"/>
      <c r="C120" s="33"/>
      <c r="D120" s="33"/>
      <c r="E120" s="33"/>
      <c r="F120" s="33"/>
      <c r="G120" s="33"/>
      <c r="H120" s="33"/>
      <c r="I120" s="33"/>
      <c r="J120" s="33"/>
      <c r="K120" s="33"/>
      <c r="L120" s="33"/>
      <c r="M120" s="33"/>
      <c r="N120" s="33"/>
      <c r="O120" s="33"/>
      <c r="P120" s="33"/>
      <c r="Q120" t="str">
        <f t="shared" si="12"/>
        <v>Daryl Richardson</v>
      </c>
      <c r="R120" s="33" t="s">
        <v>2904</v>
      </c>
      <c r="S120" s="33">
        <v>21</v>
      </c>
      <c r="T120" s="33">
        <v>90</v>
      </c>
      <c r="U120" s="33">
        <v>4.3</v>
      </c>
      <c r="V120" s="33">
        <v>0</v>
      </c>
      <c r="W120">
        <v>12.5</v>
      </c>
      <c r="X120">
        <v>104.5</v>
      </c>
      <c r="Y120">
        <v>8.4</v>
      </c>
      <c r="Z120">
        <v>0</v>
      </c>
      <c r="AA120">
        <v>0.5</v>
      </c>
      <c r="AB120">
        <v>7</v>
      </c>
      <c r="AD120" t="str">
        <f t="shared" si="10"/>
        <v>Brandon Lloyd</v>
      </c>
      <c r="AE120" t="s">
        <v>2905</v>
      </c>
      <c r="AF120">
        <v>23</v>
      </c>
      <c r="AG120">
        <v>311.5</v>
      </c>
      <c r="AH120">
        <v>13.5</v>
      </c>
      <c r="AI120">
        <v>2</v>
      </c>
      <c r="AJ120">
        <v>0</v>
      </c>
      <c r="AK120">
        <v>35</v>
      </c>
      <c r="AN120" t="s">
        <v>2906</v>
      </c>
      <c r="AO120">
        <v>1.5</v>
      </c>
      <c r="AP120">
        <v>8</v>
      </c>
      <c r="AQ120">
        <v>5.3</v>
      </c>
      <c r="AR120">
        <v>0</v>
      </c>
      <c r="AS120">
        <v>0</v>
      </c>
      <c r="AT120">
        <v>0</v>
      </c>
    </row>
    <row r="121" spans="2:46" ht="12.75" customHeight="1">
      <c r="B121" s="33"/>
      <c r="C121" s="33"/>
      <c r="D121" s="33"/>
      <c r="E121" s="33"/>
      <c r="F121" s="33"/>
      <c r="G121" s="33"/>
      <c r="H121" s="33"/>
      <c r="I121" s="33"/>
      <c r="J121" s="33"/>
      <c r="K121" s="33"/>
      <c r="L121" s="33"/>
      <c r="M121" s="33"/>
      <c r="N121" s="33"/>
      <c r="O121" s="33"/>
      <c r="P121" s="33"/>
      <c r="Q121" t="str">
        <f t="shared" si="12"/>
        <v>Cyrus Gray</v>
      </c>
      <c r="R121" s="33" t="s">
        <v>2907</v>
      </c>
      <c r="S121" s="33">
        <v>12</v>
      </c>
      <c r="T121" s="33">
        <v>55</v>
      </c>
      <c r="U121" s="33">
        <v>4.5999999999999996</v>
      </c>
      <c r="V121" s="33">
        <v>0.5</v>
      </c>
      <c r="W121">
        <v>7</v>
      </c>
      <c r="X121">
        <v>48</v>
      </c>
      <c r="Y121">
        <v>6.9</v>
      </c>
      <c r="Z121">
        <v>0</v>
      </c>
      <c r="AA121">
        <v>0</v>
      </c>
      <c r="AB121">
        <v>7</v>
      </c>
      <c r="AD121" t="str">
        <f t="shared" si="10"/>
        <v>Tiquan Underwood</v>
      </c>
      <c r="AE121" t="s">
        <v>2908</v>
      </c>
      <c r="AF121">
        <v>19</v>
      </c>
      <c r="AG121">
        <v>314.5</v>
      </c>
      <c r="AH121">
        <v>16.600000000000001</v>
      </c>
      <c r="AI121">
        <v>2</v>
      </c>
      <c r="AJ121">
        <v>0</v>
      </c>
      <c r="AK121">
        <v>35</v>
      </c>
      <c r="AN121" t="s">
        <v>2909</v>
      </c>
      <c r="AO121">
        <v>1</v>
      </c>
      <c r="AP121">
        <v>6</v>
      </c>
      <c r="AQ121">
        <v>6</v>
      </c>
      <c r="AR121">
        <v>0</v>
      </c>
      <c r="AS121">
        <v>0</v>
      </c>
      <c r="AT121">
        <v>0</v>
      </c>
    </row>
    <row r="122" spans="2:46" ht="12.75" customHeight="1">
      <c r="B122" s="33"/>
      <c r="C122" s="33"/>
      <c r="D122" s="33"/>
      <c r="E122" s="33"/>
      <c r="F122" s="33"/>
      <c r="G122" s="33"/>
      <c r="H122" s="33"/>
      <c r="I122" s="33"/>
      <c r="J122" s="33"/>
      <c r="K122" s="33"/>
      <c r="L122" s="33"/>
      <c r="M122" s="33"/>
      <c r="N122" s="33"/>
      <c r="O122" s="33"/>
      <c r="P122" s="33"/>
      <c r="Q122" t="str">
        <f t="shared" si="12"/>
        <v>Mike Gillislee</v>
      </c>
      <c r="R122" s="33" t="s">
        <v>2669</v>
      </c>
      <c r="S122" s="33">
        <v>31</v>
      </c>
      <c r="T122" s="33">
        <v>130</v>
      </c>
      <c r="U122" s="33">
        <v>4.2</v>
      </c>
      <c r="V122" s="33">
        <v>0</v>
      </c>
      <c r="W122">
        <v>3</v>
      </c>
      <c r="X122">
        <v>20.5</v>
      </c>
      <c r="Y122">
        <v>6.8</v>
      </c>
      <c r="Z122">
        <v>0</v>
      </c>
      <c r="AA122">
        <v>0</v>
      </c>
      <c r="AB122">
        <v>7</v>
      </c>
      <c r="AD122" t="str">
        <f t="shared" si="10"/>
        <v>Jalen Saunders</v>
      </c>
      <c r="AE122" t="s">
        <v>2910</v>
      </c>
      <c r="AF122">
        <v>22</v>
      </c>
      <c r="AG122">
        <v>282</v>
      </c>
      <c r="AH122">
        <v>12.8</v>
      </c>
      <c r="AI122">
        <v>2</v>
      </c>
      <c r="AJ122">
        <v>0</v>
      </c>
      <c r="AK122">
        <v>32</v>
      </c>
      <c r="AN122" t="s">
        <v>2911</v>
      </c>
      <c r="AO122">
        <v>1</v>
      </c>
      <c r="AP122">
        <v>6</v>
      </c>
      <c r="AQ122">
        <v>6</v>
      </c>
      <c r="AR122">
        <v>0</v>
      </c>
      <c r="AS122">
        <v>0</v>
      </c>
      <c r="AT122">
        <v>0</v>
      </c>
    </row>
    <row r="123" spans="2:46" ht="12.75" customHeight="1">
      <c r="B123" s="33"/>
      <c r="C123" s="33"/>
      <c r="D123" s="33"/>
      <c r="E123" s="33"/>
      <c r="F123" s="33"/>
      <c r="G123" s="33"/>
      <c r="H123" s="33"/>
      <c r="I123" s="33"/>
      <c r="J123" s="33"/>
      <c r="K123" s="33"/>
      <c r="L123" s="33"/>
      <c r="M123" s="33"/>
      <c r="N123" s="33"/>
      <c r="O123" s="33"/>
      <c r="P123" s="33"/>
      <c r="Q123" t="str">
        <f t="shared" si="12"/>
        <v>Tommy Bohanon</v>
      </c>
      <c r="R123" s="33" t="s">
        <v>2912</v>
      </c>
      <c r="S123" s="33">
        <v>8</v>
      </c>
      <c r="T123" s="33">
        <v>29</v>
      </c>
      <c r="U123" s="33">
        <v>3.6</v>
      </c>
      <c r="V123" s="33">
        <v>0.5</v>
      </c>
      <c r="W123">
        <v>10.5</v>
      </c>
      <c r="X123">
        <v>70.5</v>
      </c>
      <c r="Y123">
        <v>6.7</v>
      </c>
      <c r="Z123">
        <v>0</v>
      </c>
      <c r="AA123">
        <v>0</v>
      </c>
      <c r="AB123">
        <v>7</v>
      </c>
      <c r="AD123" t="str">
        <f t="shared" si="10"/>
        <v>Stedman Bailey</v>
      </c>
      <c r="AE123" t="s">
        <v>2913</v>
      </c>
      <c r="AF123">
        <v>21.5</v>
      </c>
      <c r="AG123">
        <v>304</v>
      </c>
      <c r="AH123">
        <v>14.1</v>
      </c>
      <c r="AI123">
        <v>1.5</v>
      </c>
      <c r="AJ123">
        <v>0</v>
      </c>
      <c r="AK123">
        <v>32</v>
      </c>
      <c r="AN123" t="s">
        <v>2914</v>
      </c>
      <c r="AO123">
        <v>1.5</v>
      </c>
      <c r="AP123">
        <v>7</v>
      </c>
      <c r="AQ123">
        <v>4.7</v>
      </c>
      <c r="AR123">
        <v>0</v>
      </c>
      <c r="AS123">
        <v>0</v>
      </c>
      <c r="AT123">
        <v>0</v>
      </c>
    </row>
    <row r="124" spans="2:46" ht="12.75" customHeight="1">
      <c r="B124" s="33"/>
      <c r="C124" s="33"/>
      <c r="D124" s="33"/>
      <c r="E124" s="33"/>
      <c r="F124" s="33"/>
      <c r="G124" s="33"/>
      <c r="H124" s="33"/>
      <c r="I124" s="33"/>
      <c r="J124" s="33"/>
      <c r="K124" s="33"/>
      <c r="L124" s="33"/>
      <c r="M124" s="33"/>
      <c r="N124" s="33"/>
      <c r="O124" s="33"/>
      <c r="P124" s="33"/>
      <c r="Q124" t="str">
        <f t="shared" si="12"/>
        <v>Dion Lewis</v>
      </c>
      <c r="R124" s="33" t="s">
        <v>2655</v>
      </c>
      <c r="S124" s="33">
        <v>16.5</v>
      </c>
      <c r="T124" s="33">
        <v>77.5</v>
      </c>
      <c r="U124" s="33">
        <v>4.7</v>
      </c>
      <c r="V124" s="33">
        <v>0.5</v>
      </c>
      <c r="W124">
        <v>2</v>
      </c>
      <c r="X124">
        <v>17</v>
      </c>
      <c r="Y124">
        <v>8.5</v>
      </c>
      <c r="Z124">
        <v>0</v>
      </c>
      <c r="AA124">
        <v>0</v>
      </c>
      <c r="AB124">
        <v>7</v>
      </c>
      <c r="AD124" t="str">
        <f t="shared" si="10"/>
        <v>Jerrel Jernigan</v>
      </c>
      <c r="AE124" t="s">
        <v>2617</v>
      </c>
      <c r="AF124">
        <v>17.5</v>
      </c>
      <c r="AG124">
        <v>277</v>
      </c>
      <c r="AH124">
        <v>15.8</v>
      </c>
      <c r="AI124">
        <v>2</v>
      </c>
      <c r="AJ124">
        <v>0</v>
      </c>
      <c r="AK124">
        <v>32</v>
      </c>
      <c r="AN124" t="s">
        <v>2915</v>
      </c>
      <c r="AO124">
        <v>1.5</v>
      </c>
      <c r="AP124">
        <v>15.5</v>
      </c>
      <c r="AQ124">
        <v>10.3</v>
      </c>
      <c r="AR124">
        <v>0</v>
      </c>
      <c r="AS124">
        <v>0</v>
      </c>
      <c r="AT124">
        <v>0</v>
      </c>
    </row>
    <row r="125" spans="2:46" ht="12.75" customHeight="1">
      <c r="B125" s="33"/>
      <c r="C125" s="33"/>
      <c r="D125" s="33"/>
      <c r="E125" s="33"/>
      <c r="F125" s="33"/>
      <c r="G125" s="33"/>
      <c r="H125" s="33"/>
      <c r="I125" s="33"/>
      <c r="J125" s="33"/>
      <c r="K125" s="33"/>
      <c r="L125" s="33"/>
      <c r="M125" s="33"/>
      <c r="N125" s="33"/>
      <c r="O125" s="33"/>
      <c r="P125" s="33"/>
      <c r="Q125" t="str">
        <f t="shared" si="12"/>
        <v>James Develin</v>
      </c>
      <c r="R125" s="33" t="s">
        <v>2916</v>
      </c>
      <c r="S125" s="33">
        <v>4.5</v>
      </c>
      <c r="T125" s="33">
        <v>16</v>
      </c>
      <c r="U125" s="33">
        <v>3.6</v>
      </c>
      <c r="V125" s="33">
        <v>0.5</v>
      </c>
      <c r="W125">
        <v>7.5</v>
      </c>
      <c r="X125">
        <v>51</v>
      </c>
      <c r="Y125">
        <v>6.8</v>
      </c>
      <c r="Z125">
        <v>0</v>
      </c>
      <c r="AA125">
        <v>0</v>
      </c>
      <c r="AB125">
        <v>6</v>
      </c>
      <c r="AD125" t="str">
        <f t="shared" si="10"/>
        <v>Donte Moncrief</v>
      </c>
      <c r="AE125" t="s">
        <v>2917</v>
      </c>
      <c r="AF125">
        <v>18.5</v>
      </c>
      <c r="AG125">
        <v>304</v>
      </c>
      <c r="AH125">
        <v>16.399999999999999</v>
      </c>
      <c r="AI125">
        <v>1.5</v>
      </c>
      <c r="AJ125">
        <v>0</v>
      </c>
      <c r="AK125">
        <v>32</v>
      </c>
      <c r="AN125" t="s">
        <v>2918</v>
      </c>
      <c r="AO125" t="s">
        <v>804</v>
      </c>
      <c r="AP125" t="s">
        <v>804</v>
      </c>
      <c r="AQ125" t="s">
        <v>804</v>
      </c>
      <c r="AR125" t="s">
        <v>804</v>
      </c>
      <c r="AS125" t="s">
        <v>804</v>
      </c>
      <c r="AT125" t="s">
        <v>804</v>
      </c>
    </row>
    <row r="126" spans="2:46" ht="12.75" customHeight="1">
      <c r="B126" s="33"/>
      <c r="C126" s="33"/>
      <c r="D126" s="33"/>
      <c r="E126" s="33"/>
      <c r="F126" s="33"/>
      <c r="G126" s="33"/>
      <c r="H126" s="33"/>
      <c r="I126" s="33"/>
      <c r="J126" s="33"/>
      <c r="K126" s="33"/>
      <c r="L126" s="33"/>
      <c r="M126" s="33"/>
      <c r="N126" s="33"/>
      <c r="O126" s="33"/>
      <c r="P126" s="33"/>
      <c r="Q126" t="str">
        <f t="shared" si="12"/>
        <v>Will Johnson</v>
      </c>
      <c r="R126" s="33" t="s">
        <v>2919</v>
      </c>
      <c r="S126" s="33">
        <v>2</v>
      </c>
      <c r="T126" s="33">
        <v>7.5</v>
      </c>
      <c r="U126" s="33">
        <v>3.8</v>
      </c>
      <c r="V126" s="33">
        <v>0</v>
      </c>
      <c r="W126">
        <v>11</v>
      </c>
      <c r="X126">
        <v>70</v>
      </c>
      <c r="Y126">
        <v>6.4</v>
      </c>
      <c r="Z126">
        <v>0.5</v>
      </c>
      <c r="AA126">
        <v>0</v>
      </c>
      <c r="AB126">
        <v>6</v>
      </c>
      <c r="AD126" t="str">
        <f t="shared" si="10"/>
        <v>Mike Brown</v>
      </c>
      <c r="AE126" t="s">
        <v>2920</v>
      </c>
      <c r="AF126">
        <v>24</v>
      </c>
      <c r="AG126">
        <v>330</v>
      </c>
      <c r="AH126">
        <v>13.8</v>
      </c>
      <c r="AI126">
        <v>1</v>
      </c>
      <c r="AJ126">
        <v>0</v>
      </c>
      <c r="AK126">
        <v>31</v>
      </c>
    </row>
    <row r="127" spans="2:46" ht="12.75" customHeight="1">
      <c r="B127" s="33"/>
      <c r="C127" s="33"/>
      <c r="D127" s="33"/>
      <c r="E127" s="33"/>
      <c r="F127" s="33"/>
      <c r="G127" s="33"/>
      <c r="H127" s="33"/>
      <c r="I127" s="33"/>
      <c r="J127" s="33"/>
      <c r="K127" s="33"/>
      <c r="L127" s="33"/>
      <c r="M127" s="33"/>
      <c r="N127" s="33"/>
      <c r="O127" s="33"/>
      <c r="P127" s="33"/>
      <c r="Q127" t="str">
        <f t="shared" si="12"/>
        <v>Marion Grice</v>
      </c>
      <c r="R127" s="33" t="s">
        <v>2921</v>
      </c>
      <c r="S127" s="33">
        <v>11</v>
      </c>
      <c r="T127" s="33">
        <v>51</v>
      </c>
      <c r="U127" s="33">
        <v>4.5999999999999996</v>
      </c>
      <c r="V127" s="33">
        <v>0.5</v>
      </c>
      <c r="W127">
        <v>3</v>
      </c>
      <c r="X127">
        <v>22</v>
      </c>
      <c r="Y127">
        <v>7.3</v>
      </c>
      <c r="Z127">
        <v>0</v>
      </c>
      <c r="AA127">
        <v>0</v>
      </c>
      <c r="AB127">
        <v>6</v>
      </c>
      <c r="AD127" t="str">
        <f t="shared" si="10"/>
        <v>Joe Morgan</v>
      </c>
      <c r="AE127" t="s">
        <v>2922</v>
      </c>
      <c r="AF127">
        <v>13.5</v>
      </c>
      <c r="AG127">
        <v>241</v>
      </c>
      <c r="AH127">
        <v>17.899999999999999</v>
      </c>
      <c r="AI127">
        <v>2</v>
      </c>
      <c r="AJ127">
        <v>0</v>
      </c>
      <c r="AK127">
        <v>29</v>
      </c>
    </row>
    <row r="128" spans="2:46" ht="12.75" customHeight="1">
      <c r="B128" s="33"/>
      <c r="C128" s="33"/>
      <c r="D128" s="33"/>
      <c r="E128" s="33"/>
      <c r="F128" s="33"/>
      <c r="G128" s="33"/>
      <c r="H128" s="33"/>
      <c r="I128" s="33"/>
      <c r="J128" s="33"/>
      <c r="K128" s="33"/>
      <c r="L128" s="33"/>
      <c r="M128" s="33"/>
      <c r="N128" s="33"/>
      <c r="O128" s="33"/>
      <c r="P128" s="33"/>
      <c r="Q128" t="str">
        <f t="shared" si="12"/>
        <v>Cedric Peerman</v>
      </c>
      <c r="R128" s="33" t="s">
        <v>2923</v>
      </c>
      <c r="S128" s="33">
        <v>15</v>
      </c>
      <c r="T128" s="33">
        <v>70</v>
      </c>
      <c r="U128" s="33">
        <v>4.7</v>
      </c>
      <c r="V128" s="33">
        <v>0</v>
      </c>
      <c r="W128">
        <v>7</v>
      </c>
      <c r="X128">
        <v>56.5</v>
      </c>
      <c r="Y128">
        <v>8.1</v>
      </c>
      <c r="Z128">
        <v>0</v>
      </c>
      <c r="AA128">
        <v>0</v>
      </c>
      <c r="AB128">
        <v>5</v>
      </c>
      <c r="AD128" t="str">
        <f t="shared" si="10"/>
        <v>Jarius Wright</v>
      </c>
      <c r="AE128" t="s">
        <v>2924</v>
      </c>
      <c r="AF128">
        <v>19.5</v>
      </c>
      <c r="AG128">
        <v>285.5</v>
      </c>
      <c r="AH128">
        <v>14.6</v>
      </c>
      <c r="AI128">
        <v>1.5</v>
      </c>
      <c r="AJ128">
        <v>0</v>
      </c>
      <c r="AK128">
        <v>29</v>
      </c>
    </row>
    <row r="129" spans="2:37" ht="12.75" customHeight="1">
      <c r="B129" s="33"/>
      <c r="C129" s="33"/>
      <c r="D129" s="33"/>
      <c r="E129" s="33"/>
      <c r="F129" s="33"/>
      <c r="G129" s="33"/>
      <c r="H129" s="33"/>
      <c r="I129" s="33"/>
      <c r="J129" s="33"/>
      <c r="K129" s="33"/>
      <c r="L129" s="33"/>
      <c r="M129" s="33"/>
      <c r="N129" s="33"/>
      <c r="O129" s="33"/>
      <c r="P129" s="33"/>
      <c r="Q129" t="str">
        <f t="shared" si="12"/>
        <v>Antone Smith</v>
      </c>
      <c r="R129" s="33" t="s">
        <v>2925</v>
      </c>
      <c r="S129" s="33">
        <v>13.5</v>
      </c>
      <c r="T129" s="33">
        <v>57.5</v>
      </c>
      <c r="U129" s="33">
        <v>4.3</v>
      </c>
      <c r="V129" s="33">
        <v>0.5</v>
      </c>
      <c r="W129">
        <v>1</v>
      </c>
      <c r="X129">
        <v>8.5</v>
      </c>
      <c r="Y129">
        <v>8.5</v>
      </c>
      <c r="Z129">
        <v>0</v>
      </c>
      <c r="AA129">
        <v>0</v>
      </c>
      <c r="AB129">
        <v>5</v>
      </c>
      <c r="AD129" t="str">
        <f t="shared" si="10"/>
        <v>Leonard Hankerson</v>
      </c>
      <c r="AE129" t="s">
        <v>2926</v>
      </c>
      <c r="AF129">
        <v>23</v>
      </c>
      <c r="AG129">
        <v>306</v>
      </c>
      <c r="AH129">
        <v>13.3</v>
      </c>
      <c r="AI129">
        <v>1</v>
      </c>
      <c r="AJ129">
        <v>0</v>
      </c>
      <c r="AK129">
        <v>29</v>
      </c>
    </row>
    <row r="130" spans="2:37" ht="12.75" customHeight="1">
      <c r="B130" s="33"/>
      <c r="C130" s="33"/>
      <c r="D130" s="33"/>
      <c r="E130" s="33"/>
      <c r="F130" s="33"/>
      <c r="G130" s="33"/>
      <c r="H130" s="33"/>
      <c r="I130" s="33"/>
      <c r="J130" s="33"/>
      <c r="K130" s="33"/>
      <c r="L130" s="33"/>
      <c r="M130" s="33"/>
      <c r="N130" s="33"/>
      <c r="O130" s="33"/>
      <c r="P130" s="33"/>
      <c r="Q130" t="str">
        <f t="shared" si="12"/>
        <v>Tony Fiammetta</v>
      </c>
      <c r="R130" s="33" t="s">
        <v>2927</v>
      </c>
      <c r="S130" s="33">
        <v>5.5</v>
      </c>
      <c r="T130" s="33">
        <v>21.5</v>
      </c>
      <c r="U130" s="33">
        <v>3.9</v>
      </c>
      <c r="V130" s="33">
        <v>0.5</v>
      </c>
      <c r="W130">
        <v>5</v>
      </c>
      <c r="X130">
        <v>39.5</v>
      </c>
      <c r="Y130">
        <v>7.9</v>
      </c>
      <c r="Z130">
        <v>0</v>
      </c>
      <c r="AA130">
        <v>0</v>
      </c>
      <c r="AB130">
        <v>5</v>
      </c>
      <c r="AD130" t="str">
        <f t="shared" si="10"/>
        <v>Darrius Heyward-Bey</v>
      </c>
      <c r="AE130" t="s">
        <v>2928</v>
      </c>
      <c r="AF130">
        <v>22</v>
      </c>
      <c r="AG130">
        <v>341.5</v>
      </c>
      <c r="AH130">
        <v>15.5</v>
      </c>
      <c r="AI130">
        <v>0.5</v>
      </c>
      <c r="AJ130">
        <v>0.5</v>
      </c>
      <c r="AK130">
        <v>29</v>
      </c>
    </row>
    <row r="131" spans="2:37" ht="12.75" customHeight="1">
      <c r="B131" s="33"/>
      <c r="C131" s="33"/>
      <c r="D131" s="33"/>
      <c r="E131" s="33"/>
      <c r="F131" s="33"/>
      <c r="G131" s="33"/>
      <c r="H131" s="33"/>
      <c r="I131" s="33"/>
      <c r="J131" s="33"/>
      <c r="K131" s="33"/>
      <c r="L131" s="33"/>
      <c r="M131" s="33"/>
      <c r="N131" s="33"/>
      <c r="O131" s="33"/>
      <c r="P131" s="33"/>
      <c r="Q131" t="str">
        <f t="shared" si="12"/>
        <v>Stanley Havili</v>
      </c>
      <c r="R131" s="33" t="s">
        <v>2929</v>
      </c>
      <c r="S131" s="33">
        <v>6.5</v>
      </c>
      <c r="T131" s="33">
        <v>24</v>
      </c>
      <c r="U131" s="33">
        <v>3.7</v>
      </c>
      <c r="V131" s="33">
        <v>0</v>
      </c>
      <c r="W131">
        <v>11</v>
      </c>
      <c r="X131">
        <v>81.5</v>
      </c>
      <c r="Y131">
        <v>7.4</v>
      </c>
      <c r="Z131">
        <v>0</v>
      </c>
      <c r="AA131">
        <v>0</v>
      </c>
      <c r="AB131">
        <v>5</v>
      </c>
      <c r="AD131" t="str">
        <f t="shared" si="10"/>
        <v>Damian Williams</v>
      </c>
      <c r="AE131" t="s">
        <v>2930</v>
      </c>
      <c r="AF131">
        <v>22.5</v>
      </c>
      <c r="AG131">
        <v>293</v>
      </c>
      <c r="AH131">
        <v>13</v>
      </c>
      <c r="AI131">
        <v>1</v>
      </c>
      <c r="AJ131">
        <v>0</v>
      </c>
      <c r="AK131">
        <v>27</v>
      </c>
    </row>
    <row r="132" spans="2:37" ht="12.75" customHeight="1">
      <c r="B132" s="33"/>
      <c r="C132" s="33"/>
      <c r="D132" s="33"/>
      <c r="E132" s="33"/>
      <c r="F132" s="33"/>
      <c r="G132" s="33"/>
      <c r="H132" s="33"/>
      <c r="I132" s="33"/>
      <c r="J132" s="33"/>
      <c r="K132" s="33"/>
      <c r="L132" s="33"/>
      <c r="M132" s="33"/>
      <c r="N132" s="33"/>
      <c r="O132" s="33"/>
      <c r="P132" s="33"/>
      <c r="Q132" t="str">
        <f t="shared" ref="Q132:Q163" si="14">LEFT(R132,(FIND(",",R132)-1))</f>
        <v>Henry Hynoski</v>
      </c>
      <c r="R132" s="33" t="s">
        <v>2931</v>
      </c>
      <c r="S132" s="33">
        <v>4</v>
      </c>
      <c r="T132" s="33">
        <v>14.5</v>
      </c>
      <c r="U132" s="33">
        <v>3.6</v>
      </c>
      <c r="V132" s="33">
        <v>0.5</v>
      </c>
      <c r="W132">
        <v>8.5</v>
      </c>
      <c r="X132">
        <v>61.5</v>
      </c>
      <c r="Y132">
        <v>7.2</v>
      </c>
      <c r="Z132">
        <v>0</v>
      </c>
      <c r="AA132">
        <v>0</v>
      </c>
      <c r="AB132">
        <v>5</v>
      </c>
      <c r="AD132" t="str">
        <f t="shared" ref="AD132:AD195" si="15">LEFT(AE132,(FIND(",",AE132)-1))</f>
        <v>Drew Davis</v>
      </c>
      <c r="AE132" t="s">
        <v>2932</v>
      </c>
      <c r="AF132">
        <v>20</v>
      </c>
      <c r="AG132">
        <v>295.5</v>
      </c>
      <c r="AH132">
        <v>14.8</v>
      </c>
      <c r="AI132">
        <v>1</v>
      </c>
      <c r="AJ132">
        <v>0</v>
      </c>
      <c r="AK132">
        <v>27</v>
      </c>
    </row>
    <row r="133" spans="2:37" ht="12.75" customHeight="1">
      <c r="B133" s="33"/>
      <c r="C133" s="33"/>
      <c r="D133" s="33"/>
      <c r="E133" s="33"/>
      <c r="F133" s="33"/>
      <c r="G133" s="33"/>
      <c r="H133" s="33"/>
      <c r="I133" s="33"/>
      <c r="J133" s="33"/>
      <c r="K133" s="33"/>
      <c r="L133" s="33"/>
      <c r="M133" s="33"/>
      <c r="N133" s="33"/>
      <c r="O133" s="33"/>
      <c r="P133" s="33"/>
      <c r="Q133" t="str">
        <f t="shared" si="14"/>
        <v>Kenjon Barner</v>
      </c>
      <c r="R133" s="33" t="s">
        <v>2641</v>
      </c>
      <c r="S133" s="33">
        <v>25.5</v>
      </c>
      <c r="T133" s="33">
        <v>113.5</v>
      </c>
      <c r="U133" s="33">
        <v>4.5</v>
      </c>
      <c r="V133" s="33">
        <v>0</v>
      </c>
      <c r="W133">
        <v>3.5</v>
      </c>
      <c r="X133">
        <v>16.5</v>
      </c>
      <c r="Y133">
        <v>4.7</v>
      </c>
      <c r="Z133">
        <v>0</v>
      </c>
      <c r="AA133">
        <v>0.5</v>
      </c>
      <c r="AB133">
        <v>5</v>
      </c>
      <c r="AD133" t="str">
        <f t="shared" si="15"/>
        <v>Robert Herron</v>
      </c>
      <c r="AE133" t="s">
        <v>2933</v>
      </c>
      <c r="AF133">
        <v>19</v>
      </c>
      <c r="AG133">
        <v>286.5</v>
      </c>
      <c r="AH133">
        <v>15.1</v>
      </c>
      <c r="AI133">
        <v>1</v>
      </c>
      <c r="AJ133">
        <v>0</v>
      </c>
      <c r="AK133">
        <v>26</v>
      </c>
    </row>
    <row r="134" spans="2:37" ht="12.75" customHeight="1">
      <c r="B134" s="33"/>
      <c r="C134" s="33"/>
      <c r="D134" s="33"/>
      <c r="E134" s="33"/>
      <c r="F134" s="33"/>
      <c r="G134" s="33"/>
      <c r="H134" s="33"/>
      <c r="I134" s="33"/>
      <c r="J134" s="33"/>
      <c r="K134" s="33"/>
      <c r="L134" s="33"/>
      <c r="M134" s="33"/>
      <c r="N134" s="33"/>
      <c r="O134" s="33"/>
      <c r="P134" s="33"/>
      <c r="Q134" t="str">
        <f t="shared" si="14"/>
        <v>Jorvorskie Lane</v>
      </c>
      <c r="R134" s="33" t="s">
        <v>2934</v>
      </c>
      <c r="S134" s="33">
        <v>8.5</v>
      </c>
      <c r="T134" s="33">
        <v>28.5</v>
      </c>
      <c r="U134" s="33">
        <v>3.4</v>
      </c>
      <c r="V134" s="33">
        <v>0.5</v>
      </c>
      <c r="W134">
        <v>5.5</v>
      </c>
      <c r="X134">
        <v>38.5</v>
      </c>
      <c r="Y134">
        <v>7</v>
      </c>
      <c r="Z134">
        <v>0</v>
      </c>
      <c r="AA134">
        <v>0</v>
      </c>
      <c r="AB134">
        <v>5</v>
      </c>
      <c r="AD134" t="str">
        <f t="shared" si="15"/>
        <v>David Nelson</v>
      </c>
      <c r="AE134" t="s">
        <v>2703</v>
      </c>
      <c r="AF134">
        <v>23.5</v>
      </c>
      <c r="AG134">
        <v>275.5</v>
      </c>
      <c r="AH134">
        <v>11.7</v>
      </c>
      <c r="AI134">
        <v>1</v>
      </c>
      <c r="AJ134">
        <v>0</v>
      </c>
      <c r="AK134">
        <v>26</v>
      </c>
    </row>
    <row r="135" spans="2:37" ht="12.75" customHeight="1">
      <c r="B135" s="33"/>
      <c r="C135" s="33"/>
      <c r="D135" s="33"/>
      <c r="E135" s="33"/>
      <c r="F135" s="33"/>
      <c r="G135" s="33"/>
      <c r="H135" s="33"/>
      <c r="I135" s="33"/>
      <c r="J135" s="33"/>
      <c r="K135" s="33"/>
      <c r="L135" s="33"/>
      <c r="M135" s="33"/>
      <c r="N135" s="33"/>
      <c r="O135" s="33"/>
      <c r="P135" s="33"/>
      <c r="Q135" t="str">
        <f t="shared" si="14"/>
        <v>Jerome Felton</v>
      </c>
      <c r="R135" s="33" t="s">
        <v>2935</v>
      </c>
      <c r="S135" s="33">
        <v>5</v>
      </c>
      <c r="T135" s="33">
        <v>16.5</v>
      </c>
      <c r="U135" s="33">
        <v>3.3</v>
      </c>
      <c r="V135" s="33">
        <v>0.5</v>
      </c>
      <c r="W135">
        <v>6</v>
      </c>
      <c r="X135">
        <v>47.5</v>
      </c>
      <c r="Y135">
        <v>7.9</v>
      </c>
      <c r="Z135">
        <v>0</v>
      </c>
      <c r="AA135">
        <v>0</v>
      </c>
      <c r="AB135">
        <v>5</v>
      </c>
      <c r="AD135" t="str">
        <f t="shared" si="15"/>
        <v>Shaq Evans</v>
      </c>
      <c r="AE135" t="s">
        <v>2936</v>
      </c>
      <c r="AF135">
        <v>19</v>
      </c>
      <c r="AG135">
        <v>252.5</v>
      </c>
      <c r="AH135">
        <v>13.3</v>
      </c>
      <c r="AI135">
        <v>1.5</v>
      </c>
      <c r="AJ135">
        <v>0</v>
      </c>
      <c r="AK135">
        <v>26</v>
      </c>
    </row>
    <row r="136" spans="2:37" ht="12.75" customHeight="1">
      <c r="B136" s="33"/>
      <c r="C136" s="33"/>
      <c r="D136" s="33"/>
      <c r="E136" s="33"/>
      <c r="F136" s="33"/>
      <c r="G136" s="33"/>
      <c r="H136" s="33"/>
      <c r="I136" s="33"/>
      <c r="J136" s="33"/>
      <c r="K136" s="33"/>
      <c r="L136" s="33"/>
      <c r="M136" s="33"/>
      <c r="N136" s="33"/>
      <c r="O136" s="33"/>
      <c r="P136" s="33"/>
      <c r="Q136" t="str">
        <f t="shared" si="14"/>
        <v>Orson Charles</v>
      </c>
      <c r="R136" s="33" t="s">
        <v>2937</v>
      </c>
      <c r="S136" s="33">
        <v>1.5</v>
      </c>
      <c r="T136" s="33">
        <v>7</v>
      </c>
      <c r="U136" s="33">
        <v>4.7</v>
      </c>
      <c r="V136" s="33">
        <v>0.5</v>
      </c>
      <c r="W136">
        <v>2</v>
      </c>
      <c r="X136">
        <v>27</v>
      </c>
      <c r="Y136">
        <v>13.5</v>
      </c>
      <c r="Z136">
        <v>0</v>
      </c>
      <c r="AA136">
        <v>0</v>
      </c>
      <c r="AB136">
        <v>4</v>
      </c>
      <c r="AD136" t="str">
        <f t="shared" si="15"/>
        <v>Keshawn Martin</v>
      </c>
      <c r="AE136" t="s">
        <v>2938</v>
      </c>
      <c r="AF136">
        <v>20.5</v>
      </c>
      <c r="AG136">
        <v>279</v>
      </c>
      <c r="AH136">
        <v>13.6</v>
      </c>
      <c r="AI136">
        <v>1</v>
      </c>
      <c r="AJ136">
        <v>0</v>
      </c>
      <c r="AK136">
        <v>26</v>
      </c>
    </row>
    <row r="137" spans="2:37" ht="12.75" customHeight="1">
      <c r="B137" s="33"/>
      <c r="C137" s="33"/>
      <c r="D137" s="33"/>
      <c r="E137" s="33"/>
      <c r="F137" s="33"/>
      <c r="G137" s="33"/>
      <c r="H137" s="33"/>
      <c r="I137" s="33"/>
      <c r="J137" s="33"/>
      <c r="K137" s="33"/>
      <c r="L137" s="33"/>
      <c r="M137" s="33"/>
      <c r="N137" s="33"/>
      <c r="O137" s="33"/>
      <c r="P137" s="33"/>
      <c r="Q137" t="str">
        <f t="shared" si="14"/>
        <v>Collin Mooney</v>
      </c>
      <c r="R137" s="33" t="s">
        <v>2939</v>
      </c>
      <c r="S137" s="33">
        <v>3.5</v>
      </c>
      <c r="T137" s="33">
        <v>12</v>
      </c>
      <c r="U137" s="33">
        <v>3.4</v>
      </c>
      <c r="V137" s="33">
        <v>0.5</v>
      </c>
      <c r="W137">
        <v>3.5</v>
      </c>
      <c r="X137">
        <v>20</v>
      </c>
      <c r="Y137">
        <v>5.7</v>
      </c>
      <c r="Z137">
        <v>0</v>
      </c>
      <c r="AA137">
        <v>0</v>
      </c>
      <c r="AB137">
        <v>4</v>
      </c>
      <c r="AD137" t="str">
        <f t="shared" si="15"/>
        <v>Andre Caldwell</v>
      </c>
      <c r="AE137" t="s">
        <v>2940</v>
      </c>
      <c r="AF137">
        <v>24</v>
      </c>
      <c r="AG137">
        <v>286</v>
      </c>
      <c r="AH137">
        <v>11.9</v>
      </c>
      <c r="AI137">
        <v>1</v>
      </c>
      <c r="AJ137">
        <v>0</v>
      </c>
      <c r="AK137">
        <v>26</v>
      </c>
    </row>
    <row r="138" spans="2:37" ht="12.75" customHeight="1">
      <c r="B138" s="33"/>
      <c r="C138" s="33"/>
      <c r="D138" s="33"/>
      <c r="E138" s="33"/>
      <c r="F138" s="33"/>
      <c r="G138" s="33"/>
      <c r="H138" s="33"/>
      <c r="I138" s="33"/>
      <c r="J138" s="33"/>
      <c r="K138" s="33"/>
      <c r="L138" s="33"/>
      <c r="M138" s="33"/>
      <c r="N138" s="33"/>
      <c r="O138" s="33"/>
      <c r="P138" s="33"/>
      <c r="Q138" t="str">
        <f t="shared" si="14"/>
        <v>Tyler Clutts</v>
      </c>
      <c r="R138" s="33" t="s">
        <v>2941</v>
      </c>
      <c r="S138" s="33">
        <v>3</v>
      </c>
      <c r="T138" s="33">
        <v>11.5</v>
      </c>
      <c r="U138" s="33">
        <v>3.8</v>
      </c>
      <c r="V138" s="33">
        <v>0.5</v>
      </c>
      <c r="W138">
        <v>4.5</v>
      </c>
      <c r="X138">
        <v>26.5</v>
      </c>
      <c r="Y138">
        <v>5.9</v>
      </c>
      <c r="Z138">
        <v>0</v>
      </c>
      <c r="AA138">
        <v>0</v>
      </c>
      <c r="AB138">
        <v>4</v>
      </c>
      <c r="AD138" t="str">
        <f t="shared" si="15"/>
        <v>Louis Murphy</v>
      </c>
      <c r="AE138" t="s">
        <v>2942</v>
      </c>
      <c r="AF138">
        <v>18.5</v>
      </c>
      <c r="AG138">
        <v>264</v>
      </c>
      <c r="AH138">
        <v>14.3</v>
      </c>
      <c r="AI138">
        <v>1</v>
      </c>
      <c r="AJ138">
        <v>0</v>
      </c>
      <c r="AK138">
        <v>24</v>
      </c>
    </row>
    <row r="139" spans="2:37" ht="12.75" customHeight="1">
      <c r="B139" s="33"/>
      <c r="C139" s="33"/>
      <c r="D139" s="33"/>
      <c r="E139" s="33"/>
      <c r="F139" s="33"/>
      <c r="G139" s="33"/>
      <c r="H139" s="33"/>
      <c r="I139" s="33"/>
      <c r="J139" s="33"/>
      <c r="K139" s="33"/>
      <c r="L139" s="33"/>
      <c r="M139" s="33"/>
      <c r="N139" s="33"/>
      <c r="O139" s="33"/>
      <c r="P139" s="33"/>
      <c r="Q139" t="str">
        <f t="shared" si="14"/>
        <v>Ryan Williams</v>
      </c>
      <c r="R139" s="33" t="s">
        <v>2611</v>
      </c>
      <c r="S139" s="33">
        <v>21</v>
      </c>
      <c r="T139" s="33">
        <v>88</v>
      </c>
      <c r="U139" s="33">
        <v>4.2</v>
      </c>
      <c r="V139" s="33">
        <v>0</v>
      </c>
      <c r="W139">
        <v>3</v>
      </c>
      <c r="X139">
        <v>23.5</v>
      </c>
      <c r="Y139">
        <v>7.8</v>
      </c>
      <c r="Z139">
        <v>0</v>
      </c>
      <c r="AA139">
        <v>0.5</v>
      </c>
      <c r="AB139">
        <v>4</v>
      </c>
      <c r="AD139" t="str">
        <f t="shared" si="15"/>
        <v>Josh Huff</v>
      </c>
      <c r="AE139" t="s">
        <v>2943</v>
      </c>
      <c r="AF139">
        <v>15</v>
      </c>
      <c r="AG139">
        <v>247.5</v>
      </c>
      <c r="AH139">
        <v>16.5</v>
      </c>
      <c r="AI139">
        <v>1</v>
      </c>
      <c r="AJ139">
        <v>0</v>
      </c>
      <c r="AK139">
        <v>24</v>
      </c>
    </row>
    <row r="140" spans="2:37" ht="12.75" customHeight="1">
      <c r="B140" s="33"/>
      <c r="C140" s="33"/>
      <c r="D140" s="33"/>
      <c r="E140" s="33"/>
      <c r="F140" s="33"/>
      <c r="G140" s="33"/>
      <c r="H140" s="33"/>
      <c r="I140" s="33"/>
      <c r="J140" s="33"/>
      <c r="K140" s="33"/>
      <c r="L140" s="33"/>
      <c r="M140" s="33"/>
      <c r="N140" s="33"/>
      <c r="O140" s="33"/>
      <c r="P140" s="33"/>
      <c r="Q140" t="str">
        <f t="shared" si="14"/>
        <v>Dennis Johnson</v>
      </c>
      <c r="R140" s="33" t="s">
        <v>2944</v>
      </c>
      <c r="S140" s="33">
        <v>17.5</v>
      </c>
      <c r="T140" s="33">
        <v>72.5</v>
      </c>
      <c r="U140" s="33">
        <v>4.0999999999999996</v>
      </c>
      <c r="V140" s="33">
        <v>0</v>
      </c>
      <c r="W140">
        <v>5.5</v>
      </c>
      <c r="X140">
        <v>38.5</v>
      </c>
      <c r="Y140">
        <v>7</v>
      </c>
      <c r="Z140">
        <v>0</v>
      </c>
      <c r="AA140">
        <v>0</v>
      </c>
      <c r="AB140">
        <v>4</v>
      </c>
      <c r="AD140" t="str">
        <f t="shared" si="15"/>
        <v>Kevin Norwood</v>
      </c>
      <c r="AE140" t="s">
        <v>2945</v>
      </c>
      <c r="AF140">
        <v>17.5</v>
      </c>
      <c r="AG140">
        <v>252</v>
      </c>
      <c r="AH140">
        <v>14.4</v>
      </c>
      <c r="AI140">
        <v>1</v>
      </c>
      <c r="AJ140">
        <v>0</v>
      </c>
      <c r="AK140">
        <v>23</v>
      </c>
    </row>
    <row r="141" spans="2:37" ht="12.75" customHeight="1">
      <c r="B141" s="33"/>
      <c r="C141" s="33"/>
      <c r="D141" s="33"/>
      <c r="E141" s="33"/>
      <c r="F141" s="33"/>
      <c r="G141" s="33"/>
      <c r="H141" s="33"/>
      <c r="I141" s="33"/>
      <c r="J141" s="33"/>
      <c r="K141" s="33"/>
      <c r="L141" s="33"/>
      <c r="M141" s="33"/>
      <c r="N141" s="33"/>
      <c r="O141" s="33"/>
      <c r="P141" s="33"/>
      <c r="Q141" t="str">
        <f t="shared" si="14"/>
        <v>Leon Washington</v>
      </c>
      <c r="R141" s="33" t="s">
        <v>2946</v>
      </c>
      <c r="S141" s="33">
        <v>6</v>
      </c>
      <c r="T141" s="33">
        <v>29.5</v>
      </c>
      <c r="U141" s="33">
        <v>4.9000000000000004</v>
      </c>
      <c r="V141" s="33">
        <v>0</v>
      </c>
      <c r="W141">
        <v>5.5</v>
      </c>
      <c r="X141">
        <v>51.5</v>
      </c>
      <c r="Y141">
        <v>9.4</v>
      </c>
      <c r="Z141">
        <v>0</v>
      </c>
      <c r="AA141">
        <v>0</v>
      </c>
      <c r="AB141">
        <v>3</v>
      </c>
      <c r="AD141" t="str">
        <f t="shared" si="15"/>
        <v>Allen Hurns</v>
      </c>
      <c r="AE141" t="s">
        <v>2947</v>
      </c>
      <c r="AF141">
        <v>20</v>
      </c>
      <c r="AG141">
        <v>254.5</v>
      </c>
      <c r="AH141">
        <v>12.7</v>
      </c>
      <c r="AI141">
        <v>1</v>
      </c>
      <c r="AJ141">
        <v>0</v>
      </c>
      <c r="AK141">
        <v>23</v>
      </c>
    </row>
    <row r="142" spans="2:37" ht="12.75" customHeight="1">
      <c r="B142" s="33"/>
      <c r="C142" s="33"/>
      <c r="D142" s="33"/>
      <c r="E142" s="33"/>
      <c r="F142" s="33"/>
      <c r="G142" s="33"/>
      <c r="H142" s="33"/>
      <c r="I142" s="33"/>
      <c r="J142" s="33"/>
      <c r="K142" s="33"/>
      <c r="L142" s="33"/>
      <c r="M142" s="33"/>
      <c r="N142" s="33"/>
      <c r="O142" s="33"/>
      <c r="P142" s="33"/>
      <c r="Q142" t="str">
        <f t="shared" si="14"/>
        <v>LaMichael James</v>
      </c>
      <c r="R142" s="33" t="s">
        <v>2948</v>
      </c>
      <c r="S142" s="33">
        <v>11.5</v>
      </c>
      <c r="T142" s="33">
        <v>48</v>
      </c>
      <c r="U142" s="33">
        <v>4.2</v>
      </c>
      <c r="V142" s="33">
        <v>0</v>
      </c>
      <c r="W142">
        <v>4.5</v>
      </c>
      <c r="X142">
        <v>35</v>
      </c>
      <c r="Y142">
        <v>7.8</v>
      </c>
      <c r="Z142">
        <v>0</v>
      </c>
      <c r="AA142">
        <v>0</v>
      </c>
      <c r="AB142">
        <v>3</v>
      </c>
      <c r="AD142" t="str">
        <f t="shared" si="15"/>
        <v>Travis Benjamin</v>
      </c>
      <c r="AE142" t="s">
        <v>2949</v>
      </c>
      <c r="AF142">
        <v>15.5</v>
      </c>
      <c r="AG142">
        <v>230.5</v>
      </c>
      <c r="AH142">
        <v>14.9</v>
      </c>
      <c r="AI142">
        <v>1.5</v>
      </c>
      <c r="AJ142">
        <v>1</v>
      </c>
      <c r="AK142">
        <v>23</v>
      </c>
    </row>
    <row r="143" spans="2:37" ht="12.75" customHeight="1">
      <c r="B143" s="33"/>
      <c r="C143" s="33"/>
      <c r="D143" s="33"/>
      <c r="E143" s="33"/>
      <c r="F143" s="33"/>
      <c r="G143" s="33"/>
      <c r="H143" s="33"/>
      <c r="I143" s="33"/>
      <c r="J143" s="33"/>
      <c r="K143" s="33"/>
      <c r="L143" s="33"/>
      <c r="M143" s="33"/>
      <c r="N143" s="33"/>
      <c r="O143" s="33"/>
      <c r="P143" s="33"/>
      <c r="Q143" t="str">
        <f t="shared" si="14"/>
        <v>Isaiah Pead</v>
      </c>
      <c r="R143" s="33" t="s">
        <v>2950</v>
      </c>
      <c r="S143" s="33">
        <v>7.5</v>
      </c>
      <c r="T143" s="33">
        <v>33.5</v>
      </c>
      <c r="U143" s="33">
        <v>4.5</v>
      </c>
      <c r="V143" s="33">
        <v>0</v>
      </c>
      <c r="W143">
        <v>2.5</v>
      </c>
      <c r="X143">
        <v>18</v>
      </c>
      <c r="Y143">
        <v>7.2</v>
      </c>
      <c r="Z143">
        <v>0</v>
      </c>
      <c r="AA143">
        <v>0</v>
      </c>
      <c r="AB143">
        <v>2</v>
      </c>
      <c r="AD143" t="str">
        <f t="shared" si="15"/>
        <v>Mario Manningham</v>
      </c>
      <c r="AE143" t="s">
        <v>2951</v>
      </c>
      <c r="AF143">
        <v>17.5</v>
      </c>
      <c r="AG143">
        <v>239</v>
      </c>
      <c r="AH143">
        <v>13.7</v>
      </c>
      <c r="AI143">
        <v>1</v>
      </c>
      <c r="AJ143">
        <v>0</v>
      </c>
      <c r="AK143">
        <v>21</v>
      </c>
    </row>
    <row r="144" spans="2:37" ht="12.75" customHeight="1">
      <c r="B144" s="33"/>
      <c r="C144" s="33"/>
      <c r="D144" s="33"/>
      <c r="E144" s="33"/>
      <c r="F144" s="33"/>
      <c r="G144" s="33"/>
      <c r="H144" s="33"/>
      <c r="I144" s="33"/>
      <c r="J144" s="33"/>
      <c r="K144" s="33"/>
      <c r="L144" s="33"/>
      <c r="M144" s="33"/>
      <c r="N144" s="33"/>
      <c r="O144" s="33"/>
      <c r="P144" s="33"/>
      <c r="Q144" t="str">
        <f t="shared" si="14"/>
        <v>Jalen Parmele</v>
      </c>
      <c r="R144" s="33" t="s">
        <v>2952</v>
      </c>
      <c r="S144" s="33">
        <v>4</v>
      </c>
      <c r="T144" s="33">
        <v>21</v>
      </c>
      <c r="U144" s="33">
        <v>5.2</v>
      </c>
      <c r="V144" s="33">
        <v>0</v>
      </c>
      <c r="W144">
        <v>3.5</v>
      </c>
      <c r="X144">
        <v>27</v>
      </c>
      <c r="Y144">
        <v>7.7</v>
      </c>
      <c r="Z144">
        <v>0</v>
      </c>
      <c r="AA144">
        <v>0</v>
      </c>
      <c r="AB144">
        <v>2</v>
      </c>
      <c r="AD144" t="str">
        <f t="shared" si="15"/>
        <v>Quinton Patton</v>
      </c>
      <c r="AE144" t="s">
        <v>2953</v>
      </c>
      <c r="AF144">
        <v>18</v>
      </c>
      <c r="AG144">
        <v>232</v>
      </c>
      <c r="AH144">
        <v>12.9</v>
      </c>
      <c r="AI144">
        <v>1</v>
      </c>
      <c r="AJ144">
        <v>0.5</v>
      </c>
      <c r="AK144">
        <v>21</v>
      </c>
    </row>
    <row r="145" spans="2:37" ht="12.75" customHeight="1">
      <c r="B145" s="33"/>
      <c r="C145" s="33"/>
      <c r="D145" s="33"/>
      <c r="E145" s="33"/>
      <c r="F145" s="33"/>
      <c r="G145" s="33"/>
      <c r="H145" s="33"/>
      <c r="I145" s="33"/>
      <c r="J145" s="33"/>
      <c r="K145" s="33"/>
      <c r="L145" s="33"/>
      <c r="M145" s="33"/>
      <c r="N145" s="33"/>
      <c r="O145" s="33"/>
      <c r="P145" s="33"/>
      <c r="Q145" t="str">
        <f t="shared" si="14"/>
        <v>Edwin Baker</v>
      </c>
      <c r="R145" s="33" t="s">
        <v>2631</v>
      </c>
      <c r="S145" s="33">
        <v>13.5</v>
      </c>
      <c r="T145" s="33">
        <v>60.5</v>
      </c>
      <c r="U145" s="33">
        <v>4.5</v>
      </c>
      <c r="V145" s="33">
        <v>0</v>
      </c>
      <c r="W145">
        <v>2.5</v>
      </c>
      <c r="X145">
        <v>15.5</v>
      </c>
      <c r="Y145">
        <v>6.2</v>
      </c>
      <c r="Z145">
        <v>0</v>
      </c>
      <c r="AA145">
        <v>0</v>
      </c>
      <c r="AB145">
        <v>2</v>
      </c>
      <c r="AD145" t="str">
        <f t="shared" si="15"/>
        <v>Rishard Matthews</v>
      </c>
      <c r="AE145" t="s">
        <v>2954</v>
      </c>
      <c r="AF145">
        <v>17.5</v>
      </c>
      <c r="AG145">
        <v>208.5</v>
      </c>
      <c r="AH145">
        <v>11.9</v>
      </c>
      <c r="AI145">
        <v>1</v>
      </c>
      <c r="AJ145">
        <v>0</v>
      </c>
      <c r="AK145">
        <v>20</v>
      </c>
    </row>
    <row r="146" spans="2:37" ht="12.75" customHeight="1">
      <c r="B146" s="33"/>
      <c r="C146" s="33"/>
      <c r="D146" s="33"/>
      <c r="E146" s="33"/>
      <c r="F146" s="33"/>
      <c r="G146" s="33"/>
      <c r="H146" s="33"/>
      <c r="I146" s="33"/>
      <c r="J146" s="33"/>
      <c r="K146" s="33"/>
      <c r="L146" s="33"/>
      <c r="M146" s="33"/>
      <c r="N146" s="33"/>
      <c r="O146" s="33"/>
      <c r="P146" s="33"/>
      <c r="Q146" t="str">
        <f t="shared" si="14"/>
        <v>Jeremy Stewart</v>
      </c>
      <c r="R146" s="33" t="s">
        <v>2955</v>
      </c>
      <c r="S146" s="33">
        <v>7.5</v>
      </c>
      <c r="T146" s="33">
        <v>33.5</v>
      </c>
      <c r="U146" s="33">
        <v>4.5</v>
      </c>
      <c r="V146" s="33">
        <v>0</v>
      </c>
      <c r="W146">
        <v>3.5</v>
      </c>
      <c r="X146">
        <v>25.5</v>
      </c>
      <c r="Y146">
        <v>7.3</v>
      </c>
      <c r="Z146">
        <v>0</v>
      </c>
      <c r="AA146">
        <v>0</v>
      </c>
      <c r="AB146">
        <v>2</v>
      </c>
      <c r="AD146" t="str">
        <f t="shared" si="15"/>
        <v>Aldrick Robinson</v>
      </c>
      <c r="AE146" t="s">
        <v>2956</v>
      </c>
      <c r="AF146">
        <v>13.5</v>
      </c>
      <c r="AG146">
        <v>205</v>
      </c>
      <c r="AH146">
        <v>15.2</v>
      </c>
      <c r="AI146">
        <v>1</v>
      </c>
      <c r="AJ146">
        <v>0</v>
      </c>
      <c r="AK146">
        <v>18</v>
      </c>
    </row>
    <row r="147" spans="2:37" ht="12.75" customHeight="1">
      <c r="B147" s="33"/>
      <c r="C147" s="33"/>
      <c r="D147" s="33"/>
      <c r="E147" s="33"/>
      <c r="F147" s="33"/>
      <c r="G147" s="33"/>
      <c r="H147" s="33"/>
      <c r="I147" s="33"/>
      <c r="J147" s="33"/>
      <c r="K147" s="33"/>
      <c r="L147" s="33"/>
      <c r="M147" s="33"/>
      <c r="N147" s="33"/>
      <c r="O147" s="33"/>
      <c r="P147" s="33"/>
      <c r="Q147" t="str">
        <f t="shared" si="14"/>
        <v>Chris Thompson</v>
      </c>
      <c r="R147" s="33" t="s">
        <v>2695</v>
      </c>
      <c r="S147" s="33">
        <v>9</v>
      </c>
      <c r="T147" s="33">
        <v>43.5</v>
      </c>
      <c r="U147" s="33">
        <v>4.8</v>
      </c>
      <c r="V147" s="33">
        <v>0</v>
      </c>
      <c r="W147">
        <v>4</v>
      </c>
      <c r="X147">
        <v>38.5</v>
      </c>
      <c r="Y147">
        <v>9.6</v>
      </c>
      <c r="Z147">
        <v>0</v>
      </c>
      <c r="AA147">
        <v>0</v>
      </c>
      <c r="AB147">
        <v>2</v>
      </c>
      <c r="AD147" t="str">
        <f t="shared" si="15"/>
        <v>Griff Whalen</v>
      </c>
      <c r="AE147" t="s">
        <v>2957</v>
      </c>
      <c r="AF147">
        <v>17</v>
      </c>
      <c r="AG147">
        <v>200</v>
      </c>
      <c r="AH147">
        <v>11.8</v>
      </c>
      <c r="AI147">
        <v>1</v>
      </c>
      <c r="AJ147">
        <v>0</v>
      </c>
      <c r="AK147">
        <v>18</v>
      </c>
    </row>
    <row r="148" spans="2:37" ht="12.75" customHeight="1">
      <c r="B148" s="33"/>
      <c r="C148" s="33"/>
      <c r="D148" s="33"/>
      <c r="E148" s="33"/>
      <c r="F148" s="33"/>
      <c r="G148" s="33"/>
      <c r="H148" s="33"/>
      <c r="I148" s="33"/>
      <c r="J148" s="33"/>
      <c r="K148" s="33"/>
      <c r="L148" s="33"/>
      <c r="M148" s="33"/>
      <c r="N148" s="33"/>
      <c r="O148" s="33"/>
      <c r="P148" s="33"/>
      <c r="Q148" t="str">
        <f t="shared" si="14"/>
        <v>Jay Prosch</v>
      </c>
      <c r="R148" s="33" t="s">
        <v>2958</v>
      </c>
      <c r="S148" s="33">
        <v>7</v>
      </c>
      <c r="T148" s="33">
        <v>28</v>
      </c>
      <c r="U148" s="33">
        <v>4</v>
      </c>
      <c r="V148" s="33">
        <v>0</v>
      </c>
      <c r="W148">
        <v>3</v>
      </c>
      <c r="X148">
        <v>21</v>
      </c>
      <c r="Y148">
        <v>7</v>
      </c>
      <c r="Z148">
        <v>0</v>
      </c>
      <c r="AA148">
        <v>0</v>
      </c>
      <c r="AB148">
        <v>2</v>
      </c>
      <c r="AD148" t="str">
        <f t="shared" si="15"/>
        <v>Earl Bennett</v>
      </c>
      <c r="AE148" t="s">
        <v>2959</v>
      </c>
      <c r="AF148">
        <v>16.5</v>
      </c>
      <c r="AG148">
        <v>194.5</v>
      </c>
      <c r="AH148">
        <v>11.8</v>
      </c>
      <c r="AI148">
        <v>1</v>
      </c>
      <c r="AJ148">
        <v>0</v>
      </c>
      <c r="AK148">
        <v>18</v>
      </c>
    </row>
    <row r="149" spans="2:37" ht="12.75" customHeight="1">
      <c r="B149" s="33"/>
      <c r="C149" s="33"/>
      <c r="D149" s="33"/>
      <c r="E149" s="33"/>
      <c r="F149" s="33"/>
      <c r="G149" s="33"/>
      <c r="H149" s="33"/>
      <c r="I149" s="33"/>
      <c r="J149" s="33"/>
      <c r="K149" s="33"/>
      <c r="L149" s="33"/>
      <c r="M149" s="33"/>
      <c r="N149" s="33"/>
      <c r="O149" s="33"/>
      <c r="P149" s="33"/>
      <c r="Q149" t="str">
        <f t="shared" si="14"/>
        <v>Chris Rainey</v>
      </c>
      <c r="R149" s="33" t="s">
        <v>2960</v>
      </c>
      <c r="S149" s="33">
        <v>7.5</v>
      </c>
      <c r="T149" s="33">
        <v>33.5</v>
      </c>
      <c r="U149" s="33">
        <v>4.5</v>
      </c>
      <c r="V149" s="33">
        <v>0</v>
      </c>
      <c r="W149">
        <v>4.5</v>
      </c>
      <c r="X149">
        <v>39.5</v>
      </c>
      <c r="Y149">
        <v>8.8000000000000007</v>
      </c>
      <c r="Z149">
        <v>0</v>
      </c>
      <c r="AA149">
        <v>0</v>
      </c>
      <c r="AB149">
        <v>2</v>
      </c>
      <c r="AD149" t="str">
        <f t="shared" si="15"/>
        <v>Kyle Williams</v>
      </c>
      <c r="AE149" t="s">
        <v>2961</v>
      </c>
      <c r="AF149">
        <v>15</v>
      </c>
      <c r="AG149">
        <v>236</v>
      </c>
      <c r="AH149">
        <v>15.7</v>
      </c>
      <c r="AI149">
        <v>0.5</v>
      </c>
      <c r="AJ149">
        <v>0</v>
      </c>
      <c r="AK149">
        <v>18</v>
      </c>
    </row>
    <row r="150" spans="2:37" ht="12.75" customHeight="1">
      <c r="B150" s="33"/>
      <c r="C150" s="33"/>
      <c r="D150" s="33"/>
      <c r="E150" s="33"/>
      <c r="F150" s="33"/>
      <c r="G150" s="33"/>
      <c r="H150" s="33"/>
      <c r="I150" s="33"/>
      <c r="J150" s="33"/>
      <c r="K150" s="33"/>
      <c r="L150" s="33"/>
      <c r="M150" s="33"/>
      <c r="N150" s="33"/>
      <c r="O150" s="33"/>
      <c r="P150" s="33"/>
      <c r="Q150" t="str">
        <f t="shared" si="14"/>
        <v>Michael Cox</v>
      </c>
      <c r="R150" s="33" t="s">
        <v>2962</v>
      </c>
      <c r="S150" s="33">
        <v>7.5</v>
      </c>
      <c r="T150" s="33">
        <v>33</v>
      </c>
      <c r="U150" s="33">
        <v>4.4000000000000004</v>
      </c>
      <c r="V150" s="33">
        <v>0</v>
      </c>
      <c r="W150">
        <v>2.5</v>
      </c>
      <c r="X150">
        <v>19.5</v>
      </c>
      <c r="Y150">
        <v>7.8</v>
      </c>
      <c r="Z150">
        <v>0</v>
      </c>
      <c r="AA150">
        <v>0</v>
      </c>
      <c r="AB150">
        <v>2</v>
      </c>
      <c r="AD150" t="str">
        <f t="shared" si="15"/>
        <v>Ace Sanders</v>
      </c>
      <c r="AE150" t="s">
        <v>2657</v>
      </c>
      <c r="AF150">
        <v>15.5</v>
      </c>
      <c r="AG150">
        <v>178</v>
      </c>
      <c r="AH150">
        <v>11.5</v>
      </c>
      <c r="AI150">
        <v>1</v>
      </c>
      <c r="AJ150">
        <v>0</v>
      </c>
      <c r="AK150">
        <v>17</v>
      </c>
    </row>
    <row r="151" spans="2:37" ht="12.75" customHeight="1">
      <c r="B151" s="33"/>
      <c r="C151" s="33"/>
      <c r="D151" s="33"/>
      <c r="E151" s="33"/>
      <c r="F151" s="33"/>
      <c r="G151" s="33"/>
      <c r="H151" s="33"/>
      <c r="I151" s="33"/>
      <c r="J151" s="33"/>
      <c r="K151" s="33"/>
      <c r="L151" s="33"/>
      <c r="M151" s="33"/>
      <c r="N151" s="33"/>
      <c r="O151" s="33"/>
      <c r="P151" s="33"/>
      <c r="Q151" t="str">
        <f t="shared" si="14"/>
        <v>Patrick DiMarco</v>
      </c>
      <c r="R151" s="33" t="s">
        <v>2963</v>
      </c>
      <c r="S151" s="33">
        <v>3</v>
      </c>
      <c r="T151" s="33">
        <v>11.5</v>
      </c>
      <c r="U151" s="33">
        <v>3.8</v>
      </c>
      <c r="V151" s="33">
        <v>0</v>
      </c>
      <c r="W151">
        <v>8</v>
      </c>
      <c r="X151">
        <v>51</v>
      </c>
      <c r="Y151">
        <v>6.4</v>
      </c>
      <c r="Z151">
        <v>0</v>
      </c>
      <c r="AA151">
        <v>0</v>
      </c>
      <c r="AB151">
        <v>2</v>
      </c>
      <c r="AD151" t="str">
        <f t="shared" si="15"/>
        <v>Juron Criner</v>
      </c>
      <c r="AE151" t="s">
        <v>2964</v>
      </c>
      <c r="AF151">
        <v>14</v>
      </c>
      <c r="AG151">
        <v>183.5</v>
      </c>
      <c r="AH151">
        <v>13.1</v>
      </c>
      <c r="AI151">
        <v>1</v>
      </c>
      <c r="AJ151">
        <v>0</v>
      </c>
      <c r="AK151">
        <v>17</v>
      </c>
    </row>
    <row r="152" spans="2:37" ht="12.75" customHeight="1">
      <c r="B152" s="33"/>
      <c r="C152" s="33"/>
      <c r="D152" s="33"/>
      <c r="E152" s="33"/>
      <c r="F152" s="33"/>
      <c r="G152" s="33"/>
      <c r="H152" s="33"/>
      <c r="I152" s="33"/>
      <c r="J152" s="33"/>
      <c r="K152" s="33"/>
      <c r="L152" s="33"/>
      <c r="M152" s="33"/>
      <c r="N152" s="33"/>
      <c r="O152" s="33"/>
      <c r="P152" s="33"/>
      <c r="Q152" t="str">
        <f t="shared" si="14"/>
        <v>Joe McKnight</v>
      </c>
      <c r="R152" s="33" t="s">
        <v>2965</v>
      </c>
      <c r="S152" s="33">
        <v>11</v>
      </c>
      <c r="T152" s="33">
        <v>46</v>
      </c>
      <c r="U152" s="33">
        <v>4.2</v>
      </c>
      <c r="V152" s="33">
        <v>0</v>
      </c>
      <c r="W152">
        <v>3</v>
      </c>
      <c r="X152">
        <v>27.5</v>
      </c>
      <c r="Y152">
        <v>9.1999999999999993</v>
      </c>
      <c r="Z152">
        <v>0</v>
      </c>
      <c r="AA152">
        <v>0.5</v>
      </c>
      <c r="AB152">
        <v>1</v>
      </c>
      <c r="AD152" t="str">
        <f t="shared" si="15"/>
        <v>Chris Owusu</v>
      </c>
      <c r="AE152" t="s">
        <v>2966</v>
      </c>
      <c r="AF152">
        <v>17.5</v>
      </c>
      <c r="AG152">
        <v>193</v>
      </c>
      <c r="AH152">
        <v>11</v>
      </c>
      <c r="AI152">
        <v>0.5</v>
      </c>
      <c r="AJ152">
        <v>0</v>
      </c>
      <c r="AK152">
        <v>15</v>
      </c>
    </row>
    <row r="153" spans="2:37" ht="12.75" customHeight="1">
      <c r="B153" s="33"/>
      <c r="C153" s="33"/>
      <c r="D153" s="33"/>
      <c r="E153" s="33"/>
      <c r="F153" s="33"/>
      <c r="G153" s="33"/>
      <c r="H153" s="33"/>
      <c r="I153" s="33"/>
      <c r="J153" s="33"/>
      <c r="K153" s="33"/>
      <c r="L153" s="33"/>
      <c r="M153" s="33"/>
      <c r="N153" s="33"/>
      <c r="O153" s="33"/>
      <c r="P153" s="33"/>
      <c r="Q153" t="str">
        <f t="shared" si="14"/>
        <v>Miguel Maysonet</v>
      </c>
      <c r="R153" s="33" t="s">
        <v>2967</v>
      </c>
      <c r="S153" s="33">
        <v>4.5</v>
      </c>
      <c r="T153" s="33">
        <v>19</v>
      </c>
      <c r="U153" s="33">
        <v>4.2</v>
      </c>
      <c r="V153" s="33">
        <v>0</v>
      </c>
      <c r="W153">
        <v>0.5</v>
      </c>
      <c r="X153">
        <v>2</v>
      </c>
      <c r="Y153">
        <v>4</v>
      </c>
      <c r="Z153">
        <v>0</v>
      </c>
      <c r="AA153">
        <v>0</v>
      </c>
      <c r="AB153">
        <v>1</v>
      </c>
      <c r="AD153" t="str">
        <f t="shared" si="15"/>
        <v>Santonio Holmes</v>
      </c>
      <c r="AE153" t="s">
        <v>2968</v>
      </c>
      <c r="AF153">
        <v>10</v>
      </c>
      <c r="AG153">
        <v>138.5</v>
      </c>
      <c r="AH153">
        <v>13.8</v>
      </c>
      <c r="AI153">
        <v>1.5</v>
      </c>
      <c r="AJ153">
        <v>0</v>
      </c>
      <c r="AK153">
        <v>15</v>
      </c>
    </row>
    <row r="154" spans="2:37" ht="12.75" customHeight="1">
      <c r="B154" s="33"/>
      <c r="C154" s="33"/>
      <c r="D154" s="33"/>
      <c r="E154" s="33"/>
      <c r="F154" s="33"/>
      <c r="G154" s="33"/>
      <c r="H154" s="33"/>
      <c r="I154" s="33"/>
      <c r="J154" s="33"/>
      <c r="K154" s="33"/>
      <c r="L154" s="33"/>
      <c r="M154" s="33"/>
      <c r="N154" s="33"/>
      <c r="O154" s="33"/>
      <c r="P154" s="33"/>
      <c r="Q154" t="str">
        <f t="shared" si="14"/>
        <v>Alvester Alexander</v>
      </c>
      <c r="R154" s="33" t="s">
        <v>2969</v>
      </c>
      <c r="S154" s="33">
        <v>7.5</v>
      </c>
      <c r="T154" s="33">
        <v>32.5</v>
      </c>
      <c r="U154" s="33">
        <v>4.3</v>
      </c>
      <c r="V154" s="33">
        <v>0</v>
      </c>
      <c r="W154">
        <v>2</v>
      </c>
      <c r="X154">
        <v>11</v>
      </c>
      <c r="Y154">
        <v>5.5</v>
      </c>
      <c r="Z154">
        <v>0</v>
      </c>
      <c r="AA154">
        <v>0</v>
      </c>
      <c r="AB154">
        <v>1</v>
      </c>
      <c r="AD154" t="str">
        <f t="shared" si="15"/>
        <v>Josh Morgan</v>
      </c>
      <c r="AE154" t="s">
        <v>2970</v>
      </c>
      <c r="AF154">
        <v>16.5</v>
      </c>
      <c r="AG154">
        <v>206.5</v>
      </c>
      <c r="AH154">
        <v>12.5</v>
      </c>
      <c r="AI154">
        <v>0.5</v>
      </c>
      <c r="AJ154">
        <v>0</v>
      </c>
      <c r="AK154">
        <v>15</v>
      </c>
    </row>
    <row r="155" spans="2:37" ht="12.75" customHeight="1">
      <c r="B155" s="33"/>
      <c r="C155" s="33"/>
      <c r="D155" s="33"/>
      <c r="E155" s="33"/>
      <c r="F155" s="33"/>
      <c r="G155" s="33"/>
      <c r="H155" s="33"/>
      <c r="I155" s="33"/>
      <c r="J155" s="33"/>
      <c r="K155" s="33"/>
      <c r="L155" s="33"/>
      <c r="M155" s="33"/>
      <c r="N155" s="33"/>
      <c r="O155" s="33"/>
      <c r="P155" s="33"/>
      <c r="Q155" t="str">
        <f t="shared" si="14"/>
        <v>Will Ta'ufo'ou</v>
      </c>
      <c r="R155" s="33" t="s">
        <v>2971</v>
      </c>
      <c r="S155" s="33">
        <v>4</v>
      </c>
      <c r="T155" s="33">
        <v>14</v>
      </c>
      <c r="U155" s="33">
        <v>3.5</v>
      </c>
      <c r="V155" s="33">
        <v>0</v>
      </c>
      <c r="W155">
        <v>7.5</v>
      </c>
      <c r="X155">
        <v>41.5</v>
      </c>
      <c r="Y155">
        <v>5.5</v>
      </c>
      <c r="Z155">
        <v>0</v>
      </c>
      <c r="AA155">
        <v>0</v>
      </c>
      <c r="AB155">
        <v>1</v>
      </c>
      <c r="AD155" t="str">
        <f t="shared" si="15"/>
        <v>Jaron Brown</v>
      </c>
      <c r="AE155" t="s">
        <v>2972</v>
      </c>
      <c r="AF155">
        <v>13</v>
      </c>
      <c r="AG155">
        <v>196.5</v>
      </c>
      <c r="AH155">
        <v>15.1</v>
      </c>
      <c r="AI155">
        <v>0.5</v>
      </c>
      <c r="AJ155">
        <v>0</v>
      </c>
      <c r="AK155">
        <v>15</v>
      </c>
    </row>
    <row r="156" spans="2:37" ht="12.75" customHeight="1">
      <c r="B156" s="33"/>
      <c r="C156" s="33"/>
      <c r="D156" s="33"/>
      <c r="E156" s="33"/>
      <c r="F156" s="33"/>
      <c r="G156" s="33"/>
      <c r="H156" s="33"/>
      <c r="I156" s="33"/>
      <c r="J156" s="33"/>
      <c r="K156" s="33"/>
      <c r="L156" s="33"/>
      <c r="M156" s="33"/>
      <c r="N156" s="33"/>
      <c r="O156" s="33"/>
      <c r="P156" s="33"/>
      <c r="Q156" t="str">
        <f t="shared" si="14"/>
        <v>Evan Royster</v>
      </c>
      <c r="R156" s="33" t="s">
        <v>2973</v>
      </c>
      <c r="S156" s="33">
        <v>6</v>
      </c>
      <c r="T156" s="33">
        <v>25.5</v>
      </c>
      <c r="U156" s="33">
        <v>4.2</v>
      </c>
      <c r="V156" s="33">
        <v>0</v>
      </c>
      <c r="W156">
        <v>1.5</v>
      </c>
      <c r="X156">
        <v>11</v>
      </c>
      <c r="Y156">
        <v>7.3</v>
      </c>
      <c r="Z156">
        <v>0</v>
      </c>
      <c r="AA156">
        <v>0</v>
      </c>
      <c r="AB156">
        <v>1</v>
      </c>
      <c r="AD156" t="str">
        <f t="shared" si="15"/>
        <v>Charles Johnson</v>
      </c>
      <c r="AE156" t="s">
        <v>2974</v>
      </c>
      <c r="AF156">
        <v>14</v>
      </c>
      <c r="AG156">
        <v>196.5</v>
      </c>
      <c r="AH156">
        <v>14</v>
      </c>
      <c r="AI156">
        <v>0.5</v>
      </c>
      <c r="AJ156">
        <v>0</v>
      </c>
      <c r="AK156">
        <v>15</v>
      </c>
    </row>
    <row r="157" spans="2:37" ht="12.75" customHeight="1">
      <c r="B157" s="33"/>
      <c r="C157" s="33"/>
      <c r="D157" s="33"/>
      <c r="E157" s="33"/>
      <c r="F157" s="33"/>
      <c r="G157" s="33"/>
      <c r="H157" s="33"/>
      <c r="I157" s="33"/>
      <c r="J157" s="33"/>
      <c r="K157" s="33"/>
      <c r="L157" s="33"/>
      <c r="M157" s="33"/>
      <c r="N157" s="33"/>
      <c r="O157" s="33"/>
      <c r="P157" s="33"/>
      <c r="Q157" t="str">
        <f t="shared" si="14"/>
        <v>Lonnie Pryor</v>
      </c>
      <c r="R157" s="33" t="s">
        <v>2975</v>
      </c>
      <c r="S157" s="33">
        <v>1.5</v>
      </c>
      <c r="T157" s="33">
        <v>4.5</v>
      </c>
      <c r="U157" s="33">
        <v>3</v>
      </c>
      <c r="V157" s="33">
        <v>0</v>
      </c>
      <c r="W157">
        <v>2</v>
      </c>
      <c r="X157">
        <v>10.5</v>
      </c>
      <c r="Y157">
        <v>5.2</v>
      </c>
      <c r="Z157">
        <v>0</v>
      </c>
      <c r="AA157">
        <v>0</v>
      </c>
      <c r="AB157">
        <v>0</v>
      </c>
      <c r="AD157" t="str">
        <f t="shared" si="15"/>
        <v>Jacoby Ford</v>
      </c>
      <c r="AE157" t="s">
        <v>2976</v>
      </c>
      <c r="AF157">
        <v>16.5</v>
      </c>
      <c r="AG157">
        <v>204</v>
      </c>
      <c r="AH157">
        <v>12.4</v>
      </c>
      <c r="AI157">
        <v>0.5</v>
      </c>
      <c r="AJ157">
        <v>1</v>
      </c>
      <c r="AK157">
        <v>14</v>
      </c>
    </row>
    <row r="158" spans="2:37" ht="12.75" customHeight="1">
      <c r="B158" s="33"/>
      <c r="C158" s="33"/>
      <c r="D158" s="33"/>
      <c r="E158" s="33"/>
      <c r="F158" s="33"/>
      <c r="G158" s="33"/>
      <c r="H158" s="33"/>
      <c r="I158" s="33"/>
      <c r="J158" s="33"/>
      <c r="K158" s="33"/>
      <c r="L158" s="33"/>
      <c r="M158" s="33"/>
      <c r="N158" s="33"/>
      <c r="O158" s="33"/>
      <c r="P158" s="33"/>
      <c r="Q158" t="str">
        <f t="shared" si="14"/>
        <v>Spencer Ware</v>
      </c>
      <c r="R158" s="33" t="s">
        <v>2977</v>
      </c>
      <c r="S158" s="33">
        <v>1.5</v>
      </c>
      <c r="T158" s="33">
        <v>5</v>
      </c>
      <c r="U158" s="33">
        <v>3.3</v>
      </c>
      <c r="V158" s="33">
        <v>0</v>
      </c>
      <c r="W158">
        <v>0</v>
      </c>
      <c r="X158">
        <v>0</v>
      </c>
      <c r="Y158">
        <v>0</v>
      </c>
      <c r="Z158">
        <v>0</v>
      </c>
      <c r="AA158">
        <v>0</v>
      </c>
      <c r="AB158">
        <v>0</v>
      </c>
      <c r="AD158" t="str">
        <f t="shared" si="15"/>
        <v>T.J. Graham</v>
      </c>
      <c r="AE158" t="s">
        <v>2978</v>
      </c>
      <c r="AF158">
        <v>11</v>
      </c>
      <c r="AG158">
        <v>149.5</v>
      </c>
      <c r="AH158">
        <v>13.6</v>
      </c>
      <c r="AI158">
        <v>1</v>
      </c>
      <c r="AJ158">
        <v>0</v>
      </c>
      <c r="AK158">
        <v>14</v>
      </c>
    </row>
    <row r="159" spans="2:37" ht="12.75" customHeight="1">
      <c r="B159" s="33"/>
      <c r="C159" s="33"/>
      <c r="D159" s="33"/>
      <c r="E159" s="33"/>
      <c r="F159" s="33"/>
      <c r="G159" s="33"/>
      <c r="H159" s="33"/>
      <c r="I159" s="33"/>
      <c r="J159" s="33"/>
      <c r="K159" s="33"/>
      <c r="L159" s="33"/>
      <c r="M159" s="33"/>
      <c r="N159" s="33"/>
      <c r="O159" s="33"/>
      <c r="P159" s="33"/>
      <c r="Q159" t="str">
        <f t="shared" si="14"/>
        <v>Robert Hughes</v>
      </c>
      <c r="R159" s="33" t="s">
        <v>2979</v>
      </c>
      <c r="S159" s="33">
        <v>2.5</v>
      </c>
      <c r="T159" s="33">
        <v>8.5</v>
      </c>
      <c r="U159" s="33">
        <v>3.4</v>
      </c>
      <c r="V159" s="33">
        <v>0</v>
      </c>
      <c r="W159">
        <v>1.5</v>
      </c>
      <c r="X159">
        <v>9.5</v>
      </c>
      <c r="Y159">
        <v>6.3</v>
      </c>
      <c r="Z159">
        <v>0</v>
      </c>
      <c r="AA159">
        <v>0</v>
      </c>
      <c r="AB159">
        <v>0</v>
      </c>
      <c r="AD159" t="str">
        <f t="shared" si="15"/>
        <v>Bruce Ellington</v>
      </c>
      <c r="AE159" t="s">
        <v>2980</v>
      </c>
      <c r="AF159">
        <v>12</v>
      </c>
      <c r="AG159">
        <v>180.5</v>
      </c>
      <c r="AH159">
        <v>15</v>
      </c>
      <c r="AI159">
        <v>0.5</v>
      </c>
      <c r="AJ159">
        <v>0</v>
      </c>
      <c r="AK159">
        <v>14</v>
      </c>
    </row>
    <row r="160" spans="2:37" ht="12.75" customHeight="1">
      <c r="B160" s="33"/>
      <c r="C160" s="33"/>
      <c r="D160" s="33"/>
      <c r="E160" s="33"/>
      <c r="F160" s="33"/>
      <c r="G160" s="33"/>
      <c r="H160" s="33"/>
      <c r="I160" s="33"/>
      <c r="J160" s="33"/>
      <c r="K160" s="33"/>
      <c r="L160" s="33"/>
      <c r="M160" s="33"/>
      <c r="N160" s="33"/>
      <c r="O160" s="33"/>
      <c r="P160" s="33"/>
      <c r="Q160" t="e">
        <f t="shared" si="14"/>
        <v>#VALUE!</v>
      </c>
      <c r="R160" s="33" t="s">
        <v>2981</v>
      </c>
      <c r="S160" s="33" t="s">
        <v>804</v>
      </c>
      <c r="T160" s="33" t="s">
        <v>804</v>
      </c>
      <c r="U160" s="33" t="s">
        <v>804</v>
      </c>
      <c r="V160" s="33" t="s">
        <v>804</v>
      </c>
      <c r="W160" t="s">
        <v>804</v>
      </c>
      <c r="X160" t="s">
        <v>804</v>
      </c>
      <c r="Y160" t="s">
        <v>804</v>
      </c>
      <c r="Z160" t="s">
        <v>804</v>
      </c>
      <c r="AA160" t="s">
        <v>804</v>
      </c>
      <c r="AB160" t="s">
        <v>804</v>
      </c>
      <c r="AD160" t="str">
        <f t="shared" si="15"/>
        <v>Ricardo Lockette</v>
      </c>
      <c r="AE160" t="s">
        <v>2982</v>
      </c>
      <c r="AF160">
        <v>13</v>
      </c>
      <c r="AG160">
        <v>173</v>
      </c>
      <c r="AH160">
        <v>13.3</v>
      </c>
      <c r="AI160">
        <v>0.5</v>
      </c>
      <c r="AJ160">
        <v>0</v>
      </c>
      <c r="AK160">
        <v>12</v>
      </c>
    </row>
    <row r="161" spans="2:37" ht="12.75" customHeight="1">
      <c r="B161" s="33"/>
      <c r="C161" s="33"/>
      <c r="D161" s="33"/>
      <c r="E161" s="33"/>
      <c r="F161" s="33"/>
      <c r="G161" s="33"/>
      <c r="H161" s="33"/>
      <c r="I161" s="33"/>
      <c r="J161" s="33"/>
      <c r="K161" s="33"/>
      <c r="L161" s="33"/>
      <c r="M161" s="33"/>
      <c r="N161" s="33"/>
      <c r="O161" s="33"/>
      <c r="P161" s="33"/>
      <c r="Q161" t="e">
        <f t="shared" si="14"/>
        <v>#VALUE!</v>
      </c>
      <c r="R161" s="33"/>
      <c r="S161" s="33"/>
      <c r="T161" s="33"/>
      <c r="U161" s="33"/>
      <c r="V161" s="33"/>
      <c r="AD161" t="str">
        <f t="shared" si="15"/>
        <v>Jon Baldwin</v>
      </c>
      <c r="AE161" t="s">
        <v>2983</v>
      </c>
      <c r="AF161">
        <v>12</v>
      </c>
      <c r="AG161">
        <v>166</v>
      </c>
      <c r="AH161">
        <v>13.8</v>
      </c>
      <c r="AI161">
        <v>0.5</v>
      </c>
      <c r="AJ161">
        <v>0</v>
      </c>
      <c r="AK161">
        <v>12</v>
      </c>
    </row>
    <row r="162" spans="2:37" ht="12.75" customHeight="1">
      <c r="B162" s="33"/>
      <c r="C162" s="33"/>
      <c r="D162" s="33"/>
      <c r="E162" s="33"/>
      <c r="F162" s="33"/>
      <c r="G162" s="33"/>
      <c r="H162" s="33"/>
      <c r="I162" s="33"/>
      <c r="J162" s="33"/>
      <c r="K162" s="33"/>
      <c r="L162" s="33"/>
      <c r="M162" s="33"/>
      <c r="N162" s="33"/>
      <c r="O162" s="33"/>
      <c r="P162" s="33"/>
      <c r="Q162" t="e">
        <f t="shared" si="14"/>
        <v>#VALUE!</v>
      </c>
      <c r="R162" s="33"/>
      <c r="S162" s="33"/>
      <c r="T162" s="33"/>
      <c r="U162" s="33"/>
      <c r="V162" s="33"/>
      <c r="AD162" t="str">
        <f t="shared" si="15"/>
        <v>Jared Abbrederis</v>
      </c>
      <c r="AE162" t="s">
        <v>2984</v>
      </c>
      <c r="AF162">
        <v>11.5</v>
      </c>
      <c r="AG162">
        <v>193.5</v>
      </c>
      <c r="AH162">
        <v>16.8</v>
      </c>
      <c r="AI162">
        <v>0</v>
      </c>
      <c r="AJ162">
        <v>0</v>
      </c>
      <c r="AK162">
        <v>12</v>
      </c>
    </row>
    <row r="163" spans="2:37" ht="12.75" customHeight="1">
      <c r="B163" s="33"/>
      <c r="C163" s="33"/>
      <c r="D163" s="33"/>
      <c r="E163" s="33"/>
      <c r="F163" s="33"/>
      <c r="G163" s="33"/>
      <c r="H163" s="33"/>
      <c r="I163" s="33"/>
      <c r="J163" s="33"/>
      <c r="K163" s="33"/>
      <c r="L163" s="33"/>
      <c r="M163" s="33"/>
      <c r="N163" s="33"/>
      <c r="O163" s="33"/>
      <c r="P163" s="33"/>
      <c r="Q163" t="e">
        <f t="shared" si="14"/>
        <v>#VALUE!</v>
      </c>
      <c r="R163" s="33"/>
      <c r="S163" s="33"/>
      <c r="T163" s="33"/>
      <c r="U163" s="33"/>
      <c r="V163" s="33"/>
      <c r="AD163" t="str">
        <f t="shared" si="15"/>
        <v>Chris Hogan</v>
      </c>
      <c r="AE163" t="s">
        <v>2985</v>
      </c>
      <c r="AF163">
        <v>12.5</v>
      </c>
      <c r="AG163">
        <v>170.5</v>
      </c>
      <c r="AH163">
        <v>13.6</v>
      </c>
      <c r="AI163">
        <v>0.5</v>
      </c>
      <c r="AJ163">
        <v>0</v>
      </c>
      <c r="AK163">
        <v>12</v>
      </c>
    </row>
    <row r="164" spans="2:37" ht="12.75" customHeight="1">
      <c r="B164" s="33"/>
      <c r="C164" s="33"/>
      <c r="D164" s="33"/>
      <c r="E164" s="33"/>
      <c r="F164" s="33"/>
      <c r="G164" s="33"/>
      <c r="H164" s="33"/>
      <c r="I164" s="33"/>
      <c r="J164" s="33"/>
      <c r="K164" s="33"/>
      <c r="L164" s="33"/>
      <c r="M164" s="33"/>
      <c r="N164" s="33"/>
      <c r="O164" s="33"/>
      <c r="P164" s="33"/>
      <c r="Q164" t="e">
        <f t="shared" ref="Q164:Q195" si="16">LEFT(R164,(FIND(",",R164)-1))</f>
        <v>#VALUE!</v>
      </c>
      <c r="R164" s="33"/>
      <c r="S164" s="33"/>
      <c r="T164" s="33"/>
      <c r="U164" s="33"/>
      <c r="V164" s="33"/>
      <c r="AD164" t="str">
        <f t="shared" si="15"/>
        <v>Arrelious Benn</v>
      </c>
      <c r="AE164" t="s">
        <v>2986</v>
      </c>
      <c r="AF164">
        <v>12</v>
      </c>
      <c r="AG164">
        <v>172</v>
      </c>
      <c r="AH164">
        <v>14.3</v>
      </c>
      <c r="AI164">
        <v>0.5</v>
      </c>
      <c r="AJ164">
        <v>0</v>
      </c>
      <c r="AK164">
        <v>12</v>
      </c>
    </row>
    <row r="165" spans="2:37" ht="12.75" customHeight="1">
      <c r="B165" s="33"/>
      <c r="C165" s="33"/>
      <c r="D165" s="33"/>
      <c r="E165" s="33"/>
      <c r="F165" s="33"/>
      <c r="G165" s="33"/>
      <c r="H165" s="33"/>
      <c r="I165" s="33"/>
      <c r="J165" s="33"/>
      <c r="K165" s="33"/>
      <c r="L165" s="33"/>
      <c r="M165" s="33"/>
      <c r="N165" s="33"/>
      <c r="O165" s="33"/>
      <c r="P165" s="33"/>
      <c r="Q165" t="e">
        <f t="shared" si="16"/>
        <v>#VALUE!</v>
      </c>
      <c r="R165" s="33"/>
      <c r="S165" s="33"/>
      <c r="T165" s="33"/>
      <c r="U165" s="33"/>
      <c r="V165" s="33"/>
      <c r="AD165" t="str">
        <f t="shared" si="15"/>
        <v>Da'Rick Rogers</v>
      </c>
      <c r="AE165" t="s">
        <v>2987</v>
      </c>
      <c r="AF165">
        <v>9</v>
      </c>
      <c r="AG165">
        <v>106</v>
      </c>
      <c r="AH165">
        <v>11.8</v>
      </c>
      <c r="AI165">
        <v>1</v>
      </c>
      <c r="AJ165">
        <v>0</v>
      </c>
      <c r="AK165">
        <v>10</v>
      </c>
    </row>
    <row r="166" spans="2:37" ht="12.75" customHeight="1">
      <c r="B166" s="33"/>
      <c r="C166" s="33"/>
      <c r="D166" s="33"/>
      <c r="E166" s="33"/>
      <c r="F166" s="33"/>
      <c r="G166" s="33"/>
      <c r="H166" s="33"/>
      <c r="I166" s="33"/>
      <c r="J166" s="33"/>
      <c r="K166" s="33"/>
      <c r="L166" s="33"/>
      <c r="M166" s="33"/>
      <c r="N166" s="33"/>
      <c r="O166" s="33"/>
      <c r="P166" s="33"/>
      <c r="Q166" t="e">
        <f t="shared" si="16"/>
        <v>#VALUE!</v>
      </c>
      <c r="R166" s="33"/>
      <c r="S166" s="33"/>
      <c r="T166" s="33"/>
      <c r="U166" s="33"/>
      <c r="V166" s="33"/>
      <c r="AD166" t="str">
        <f t="shared" si="15"/>
        <v>Jeff Janis</v>
      </c>
      <c r="AE166" t="s">
        <v>2988</v>
      </c>
      <c r="AF166">
        <v>9</v>
      </c>
      <c r="AG166">
        <v>155.5</v>
      </c>
      <c r="AH166">
        <v>17.3</v>
      </c>
      <c r="AI166">
        <v>0.5</v>
      </c>
      <c r="AJ166">
        <v>0</v>
      </c>
      <c r="AK166">
        <v>10</v>
      </c>
    </row>
    <row r="167" spans="2:37" ht="12.75" customHeight="1">
      <c r="B167" s="33"/>
      <c r="C167" s="33"/>
      <c r="D167" s="33"/>
      <c r="E167" s="33"/>
      <c r="F167" s="33"/>
      <c r="G167" s="33"/>
      <c r="H167" s="33"/>
      <c r="I167" s="33"/>
      <c r="J167" s="33"/>
      <c r="K167" s="33"/>
      <c r="L167" s="33"/>
      <c r="M167" s="33"/>
      <c r="N167" s="33"/>
      <c r="O167" s="33"/>
      <c r="P167" s="33"/>
      <c r="Q167" t="e">
        <f t="shared" si="16"/>
        <v>#VALUE!</v>
      </c>
      <c r="R167" s="33"/>
      <c r="S167" s="33"/>
      <c r="T167" s="33"/>
      <c r="U167" s="33"/>
      <c r="V167" s="33"/>
      <c r="AD167" t="str">
        <f t="shared" si="15"/>
        <v>Justin Brown</v>
      </c>
      <c r="AE167" t="s">
        <v>2989</v>
      </c>
      <c r="AF167">
        <v>8.5</v>
      </c>
      <c r="AG167">
        <v>95.5</v>
      </c>
      <c r="AH167">
        <v>11.2</v>
      </c>
      <c r="AI167">
        <v>1</v>
      </c>
      <c r="AJ167">
        <v>0</v>
      </c>
      <c r="AK167">
        <v>10</v>
      </c>
    </row>
    <row r="168" spans="2:37" ht="12.75" customHeight="1">
      <c r="B168" s="33"/>
      <c r="C168" s="33"/>
      <c r="D168" s="33"/>
      <c r="E168" s="33"/>
      <c r="F168" s="33"/>
      <c r="G168" s="33"/>
      <c r="H168" s="33"/>
      <c r="I168" s="33"/>
      <c r="J168" s="33"/>
      <c r="K168" s="33"/>
      <c r="L168" s="33"/>
      <c r="M168" s="33"/>
      <c r="N168" s="33"/>
      <c r="O168" s="33"/>
      <c r="P168" s="33"/>
      <c r="Q168" t="e">
        <f t="shared" si="16"/>
        <v>#VALUE!</v>
      </c>
      <c r="R168" s="33"/>
      <c r="S168" s="33"/>
      <c r="T168" s="33"/>
      <c r="U168" s="33"/>
      <c r="V168" s="33"/>
      <c r="AD168" t="str">
        <f t="shared" si="15"/>
        <v>Devin Hester</v>
      </c>
      <c r="AE168" t="s">
        <v>2990</v>
      </c>
      <c r="AF168">
        <v>7</v>
      </c>
      <c r="AG168">
        <v>129.5</v>
      </c>
      <c r="AH168">
        <v>18.5</v>
      </c>
      <c r="AI168">
        <v>0.5</v>
      </c>
      <c r="AJ168">
        <v>0</v>
      </c>
      <c r="AK168">
        <v>10</v>
      </c>
    </row>
    <row r="169" spans="2:37" ht="12.75" customHeight="1">
      <c r="B169" s="33"/>
      <c r="C169" s="33"/>
      <c r="D169" s="33"/>
      <c r="E169" s="33"/>
      <c r="F169" s="33"/>
      <c r="G169" s="33"/>
      <c r="H169" s="33"/>
      <c r="I169" s="33"/>
      <c r="J169" s="33"/>
      <c r="K169" s="33"/>
      <c r="L169" s="33"/>
      <c r="M169" s="33"/>
      <c r="N169" s="33"/>
      <c r="O169" s="33"/>
      <c r="P169" s="33"/>
      <c r="Q169" t="e">
        <f t="shared" si="16"/>
        <v>#VALUE!</v>
      </c>
      <c r="R169" s="33"/>
      <c r="S169" s="33"/>
      <c r="T169" s="33"/>
      <c r="U169" s="33"/>
      <c r="V169" s="33"/>
      <c r="AD169" t="str">
        <f t="shared" si="15"/>
        <v>Marcus Harris</v>
      </c>
      <c r="AE169" t="s">
        <v>2991</v>
      </c>
      <c r="AF169">
        <v>5.5</v>
      </c>
      <c r="AG169">
        <v>77</v>
      </c>
      <c r="AH169">
        <v>14</v>
      </c>
      <c r="AI169">
        <v>1</v>
      </c>
      <c r="AJ169">
        <v>0</v>
      </c>
      <c r="AK169">
        <v>9</v>
      </c>
    </row>
    <row r="170" spans="2:37" ht="12.75" customHeight="1">
      <c r="B170" s="33"/>
      <c r="C170" s="33"/>
      <c r="D170" s="33"/>
      <c r="E170" s="33"/>
      <c r="F170" s="33"/>
      <c r="G170" s="33"/>
      <c r="H170" s="33"/>
      <c r="I170" s="33"/>
      <c r="J170" s="33"/>
      <c r="K170" s="33"/>
      <c r="L170" s="33"/>
      <c r="M170" s="33"/>
      <c r="N170" s="33"/>
      <c r="O170" s="33"/>
      <c r="P170" s="33"/>
      <c r="Q170" t="e">
        <f t="shared" si="16"/>
        <v>#VALUE!</v>
      </c>
      <c r="R170" s="33"/>
      <c r="S170" s="33"/>
      <c r="T170" s="33"/>
      <c r="U170" s="33"/>
      <c r="V170" s="33"/>
      <c r="AD170" t="str">
        <f t="shared" si="15"/>
        <v>Dane Sanzenbacher</v>
      </c>
      <c r="AE170" t="s">
        <v>2992</v>
      </c>
      <c r="AF170">
        <v>11</v>
      </c>
      <c r="AG170">
        <v>129.5</v>
      </c>
      <c r="AH170">
        <v>11.8</v>
      </c>
      <c r="AI170">
        <v>0.5</v>
      </c>
      <c r="AJ170">
        <v>0</v>
      </c>
      <c r="AK170">
        <v>9</v>
      </c>
    </row>
    <row r="171" spans="2:37" ht="12.75" customHeight="1">
      <c r="B171" s="33"/>
      <c r="C171" s="33"/>
      <c r="D171" s="33"/>
      <c r="E171" s="33"/>
      <c r="F171" s="33"/>
      <c r="G171" s="33"/>
      <c r="H171" s="33"/>
      <c r="I171" s="33"/>
      <c r="J171" s="33"/>
      <c r="K171" s="33"/>
      <c r="L171" s="33"/>
      <c r="M171" s="33"/>
      <c r="N171" s="33"/>
      <c r="O171" s="33"/>
      <c r="P171" s="33"/>
      <c r="Q171" t="e">
        <f t="shared" si="16"/>
        <v>#VALUE!</v>
      </c>
      <c r="R171" s="33"/>
      <c r="S171" s="33"/>
      <c r="T171" s="33"/>
      <c r="U171" s="33"/>
      <c r="V171" s="33"/>
      <c r="AD171" t="str">
        <f t="shared" si="15"/>
        <v>Tavarres King</v>
      </c>
      <c r="AE171" t="s">
        <v>2993</v>
      </c>
      <c r="AF171">
        <v>7.5</v>
      </c>
      <c r="AG171">
        <v>116</v>
      </c>
      <c r="AH171">
        <v>15.5</v>
      </c>
      <c r="AI171">
        <v>0.5</v>
      </c>
      <c r="AJ171">
        <v>0</v>
      </c>
      <c r="AK171">
        <v>8</v>
      </c>
    </row>
    <row r="172" spans="2:37" ht="12.75" customHeight="1">
      <c r="B172" s="33"/>
      <c r="C172" s="33"/>
      <c r="D172" s="33"/>
      <c r="E172" s="33"/>
      <c r="F172" s="33"/>
      <c r="G172" s="33"/>
      <c r="H172" s="33"/>
      <c r="I172" s="33"/>
      <c r="J172" s="33"/>
      <c r="K172" s="33"/>
      <c r="L172" s="33"/>
      <c r="M172" s="33"/>
      <c r="N172" s="33"/>
      <c r="O172" s="33"/>
      <c r="P172" s="33"/>
      <c r="Q172" t="e">
        <f t="shared" si="16"/>
        <v>#VALUE!</v>
      </c>
      <c r="R172" s="33"/>
      <c r="S172" s="33"/>
      <c r="T172" s="33"/>
      <c r="U172" s="33"/>
      <c r="V172" s="33"/>
      <c r="AD172" t="str">
        <f t="shared" si="15"/>
        <v>Dwayne Harris</v>
      </c>
      <c r="AE172" t="s">
        <v>2994</v>
      </c>
      <c r="AF172">
        <v>10.5</v>
      </c>
      <c r="AG172">
        <v>113</v>
      </c>
      <c r="AH172">
        <v>10.8</v>
      </c>
      <c r="AI172">
        <v>0.5</v>
      </c>
      <c r="AJ172">
        <v>0</v>
      </c>
      <c r="AK172">
        <v>8</v>
      </c>
    </row>
    <row r="173" spans="2:37" ht="12.75" customHeight="1">
      <c r="B173" s="33"/>
      <c r="C173" s="33"/>
      <c r="D173" s="33"/>
      <c r="E173" s="33"/>
      <c r="F173" s="33"/>
      <c r="G173" s="33"/>
      <c r="H173" s="33"/>
      <c r="I173" s="33"/>
      <c r="J173" s="33"/>
      <c r="K173" s="33"/>
      <c r="L173" s="33"/>
      <c r="M173" s="33"/>
      <c r="N173" s="33"/>
      <c r="O173" s="33"/>
      <c r="P173" s="33"/>
      <c r="Q173" t="e">
        <f t="shared" si="16"/>
        <v>#VALUE!</v>
      </c>
      <c r="R173" s="33"/>
      <c r="S173" s="33"/>
      <c r="T173" s="33"/>
      <c r="U173" s="33"/>
      <c r="V173" s="33"/>
      <c r="AD173" t="str">
        <f t="shared" si="15"/>
        <v>Nick Toon</v>
      </c>
      <c r="AE173" t="s">
        <v>2995</v>
      </c>
      <c r="AF173">
        <v>7</v>
      </c>
      <c r="AG173">
        <v>121.5</v>
      </c>
      <c r="AH173">
        <v>17.399999999999999</v>
      </c>
      <c r="AI173">
        <v>0.5</v>
      </c>
      <c r="AJ173">
        <v>0</v>
      </c>
      <c r="AK173">
        <v>8</v>
      </c>
    </row>
    <row r="174" spans="2:37" ht="12.75" customHeight="1">
      <c r="B174" s="33"/>
      <c r="C174" s="33"/>
      <c r="D174" s="33"/>
      <c r="E174" s="33"/>
      <c r="F174" s="33"/>
      <c r="G174" s="33"/>
      <c r="H174" s="33"/>
      <c r="I174" s="33"/>
      <c r="J174" s="33"/>
      <c r="K174" s="33"/>
      <c r="L174" s="33"/>
      <c r="M174" s="33"/>
      <c r="N174" s="33"/>
      <c r="O174" s="33"/>
      <c r="P174" s="33"/>
      <c r="Q174" t="e">
        <f t="shared" si="16"/>
        <v>#VALUE!</v>
      </c>
      <c r="R174" s="33"/>
      <c r="S174" s="33"/>
      <c r="T174" s="33"/>
      <c r="U174" s="33"/>
      <c r="V174" s="33"/>
      <c r="AD174" t="str">
        <f t="shared" si="15"/>
        <v>Darius Johnson</v>
      </c>
      <c r="AE174" t="s">
        <v>2996</v>
      </c>
      <c r="AF174">
        <v>8.5</v>
      </c>
      <c r="AG174">
        <v>110.5</v>
      </c>
      <c r="AH174">
        <v>13</v>
      </c>
      <c r="AI174">
        <v>0.5</v>
      </c>
      <c r="AJ174">
        <v>0</v>
      </c>
      <c r="AK174">
        <v>7</v>
      </c>
    </row>
    <row r="175" spans="2:37" ht="12.75" customHeight="1">
      <c r="B175" s="33"/>
      <c r="C175" s="33"/>
      <c r="D175" s="33"/>
      <c r="E175" s="33"/>
      <c r="F175" s="33"/>
      <c r="G175" s="33"/>
      <c r="H175" s="33"/>
      <c r="I175" s="33"/>
      <c r="J175" s="33"/>
      <c r="K175" s="33"/>
      <c r="L175" s="33"/>
      <c r="M175" s="33"/>
      <c r="N175" s="33"/>
      <c r="O175" s="33"/>
      <c r="P175" s="33"/>
      <c r="Q175" t="e">
        <f t="shared" si="16"/>
        <v>#VALUE!</v>
      </c>
      <c r="R175" s="33"/>
      <c r="S175" s="33"/>
      <c r="T175" s="33"/>
      <c r="U175" s="33"/>
      <c r="V175" s="33"/>
      <c r="AD175" t="str">
        <f t="shared" si="15"/>
        <v>Derek Moye</v>
      </c>
      <c r="AE175" t="s">
        <v>2997</v>
      </c>
      <c r="AF175">
        <v>7.5</v>
      </c>
      <c r="AG175">
        <v>106</v>
      </c>
      <c r="AH175">
        <v>14.1</v>
      </c>
      <c r="AI175">
        <v>0.5</v>
      </c>
      <c r="AJ175">
        <v>0</v>
      </c>
      <c r="AK175">
        <v>7</v>
      </c>
    </row>
    <row r="176" spans="2:37" ht="12.75" customHeight="1">
      <c r="B176" s="33"/>
      <c r="C176" s="33"/>
      <c r="D176" s="33"/>
      <c r="E176" s="33"/>
      <c r="F176" s="33"/>
      <c r="G176" s="33"/>
      <c r="H176" s="33"/>
      <c r="I176" s="33"/>
      <c r="J176" s="33"/>
      <c r="K176" s="33"/>
      <c r="L176" s="33"/>
      <c r="M176" s="33"/>
      <c r="N176" s="33"/>
      <c r="O176" s="33"/>
      <c r="P176" s="33"/>
      <c r="Q176" t="e">
        <f t="shared" si="16"/>
        <v>#VALUE!</v>
      </c>
      <c r="R176" s="33"/>
      <c r="S176" s="33"/>
      <c r="T176" s="33"/>
      <c r="U176" s="33"/>
      <c r="V176" s="33"/>
      <c r="AD176" t="str">
        <f t="shared" si="15"/>
        <v>Myles White</v>
      </c>
      <c r="AE176" t="s">
        <v>2998</v>
      </c>
      <c r="AF176">
        <v>9.5</v>
      </c>
      <c r="AG176">
        <v>103.5</v>
      </c>
      <c r="AH176">
        <v>10.9</v>
      </c>
      <c r="AI176">
        <v>0.5</v>
      </c>
      <c r="AJ176">
        <v>0</v>
      </c>
      <c r="AK176">
        <v>7</v>
      </c>
    </row>
    <row r="177" spans="2:37" ht="12.75" customHeight="1">
      <c r="B177" s="33"/>
      <c r="C177" s="33"/>
      <c r="D177" s="33"/>
      <c r="E177" s="33"/>
      <c r="F177" s="33"/>
      <c r="G177" s="33"/>
      <c r="H177" s="33"/>
      <c r="I177" s="33"/>
      <c r="J177" s="33"/>
      <c r="K177" s="33"/>
      <c r="L177" s="33"/>
      <c r="M177" s="33"/>
      <c r="N177" s="33"/>
      <c r="O177" s="33"/>
      <c r="P177" s="33"/>
      <c r="Q177" t="e">
        <f t="shared" si="16"/>
        <v>#VALUE!</v>
      </c>
      <c r="R177" s="33"/>
      <c r="S177" s="33"/>
      <c r="T177" s="33"/>
      <c r="U177" s="33"/>
      <c r="V177" s="33"/>
      <c r="AD177" t="str">
        <f t="shared" si="15"/>
        <v>Ryan Whalen</v>
      </c>
      <c r="AE177" t="s">
        <v>2999</v>
      </c>
      <c r="AF177">
        <v>9</v>
      </c>
      <c r="AG177">
        <v>110.5</v>
      </c>
      <c r="AH177">
        <v>12.3</v>
      </c>
      <c r="AI177">
        <v>0.5</v>
      </c>
      <c r="AJ177">
        <v>0</v>
      </c>
      <c r="AK177">
        <v>7</v>
      </c>
    </row>
    <row r="178" spans="2:37" ht="12.75" customHeight="1">
      <c r="B178" s="33"/>
      <c r="C178" s="33"/>
      <c r="D178" s="33"/>
      <c r="E178" s="33"/>
      <c r="F178" s="33"/>
      <c r="G178" s="33"/>
      <c r="H178" s="33"/>
      <c r="I178" s="33"/>
      <c r="J178" s="33"/>
      <c r="K178" s="33"/>
      <c r="L178" s="33"/>
      <c r="M178" s="33"/>
      <c r="N178" s="33"/>
      <c r="O178" s="33"/>
      <c r="P178" s="33"/>
      <c r="Q178" t="e">
        <f t="shared" si="16"/>
        <v>#VALUE!</v>
      </c>
      <c r="R178" s="33"/>
      <c r="S178" s="33"/>
      <c r="T178" s="33"/>
      <c r="U178" s="33"/>
      <c r="V178" s="33"/>
      <c r="AD178" t="str">
        <f t="shared" si="15"/>
        <v>Josh Boyce</v>
      </c>
      <c r="AE178" t="s">
        <v>2699</v>
      </c>
      <c r="AF178">
        <v>7.5</v>
      </c>
      <c r="AG178">
        <v>88.5</v>
      </c>
      <c r="AH178">
        <v>11.8</v>
      </c>
      <c r="AI178">
        <v>0.5</v>
      </c>
      <c r="AJ178">
        <v>0</v>
      </c>
      <c r="AK178">
        <v>7</v>
      </c>
    </row>
    <row r="179" spans="2:37" ht="12.75" customHeight="1">
      <c r="B179" s="33"/>
      <c r="C179" s="33"/>
      <c r="D179" s="33"/>
      <c r="E179" s="33"/>
      <c r="F179" s="33"/>
      <c r="G179" s="33"/>
      <c r="H179" s="33"/>
      <c r="I179" s="33"/>
      <c r="J179" s="33"/>
      <c r="K179" s="33"/>
      <c r="L179" s="33"/>
      <c r="M179" s="33"/>
      <c r="N179" s="33"/>
      <c r="O179" s="33"/>
      <c r="P179" s="33"/>
      <c r="Q179" t="e">
        <f t="shared" si="16"/>
        <v>#VALUE!</v>
      </c>
      <c r="R179" s="33"/>
      <c r="S179" s="33"/>
      <c r="T179" s="33"/>
      <c r="U179" s="33"/>
      <c r="V179" s="33"/>
      <c r="AD179" t="str">
        <f t="shared" si="15"/>
        <v>Mike Thomas</v>
      </c>
      <c r="AE179" t="s">
        <v>3000</v>
      </c>
      <c r="AF179">
        <v>8.5</v>
      </c>
      <c r="AG179">
        <v>95.5</v>
      </c>
      <c r="AH179">
        <v>11.2</v>
      </c>
      <c r="AI179">
        <v>0.5</v>
      </c>
      <c r="AJ179">
        <v>0</v>
      </c>
      <c r="AK179">
        <v>7</v>
      </c>
    </row>
    <row r="180" spans="2:37" ht="12.75" customHeight="1">
      <c r="B180" s="33"/>
      <c r="C180" s="33"/>
      <c r="D180" s="33"/>
      <c r="E180" s="33"/>
      <c r="F180" s="33"/>
      <c r="G180" s="33"/>
      <c r="H180" s="33"/>
      <c r="I180" s="33"/>
      <c r="J180" s="33"/>
      <c r="K180" s="33"/>
      <c r="L180" s="33"/>
      <c r="M180" s="33"/>
      <c r="N180" s="33"/>
      <c r="O180" s="33"/>
      <c r="P180" s="33"/>
      <c r="Q180" t="e">
        <f t="shared" si="16"/>
        <v>#VALUE!</v>
      </c>
      <c r="R180" s="33"/>
      <c r="S180" s="33"/>
      <c r="T180" s="33"/>
      <c r="U180" s="33"/>
      <c r="V180" s="33"/>
      <c r="AD180" t="str">
        <f t="shared" si="15"/>
        <v>Brice Butler</v>
      </c>
      <c r="AE180" t="s">
        <v>3001</v>
      </c>
      <c r="AF180">
        <v>7</v>
      </c>
      <c r="AG180">
        <v>110.5</v>
      </c>
      <c r="AH180">
        <v>15.8</v>
      </c>
      <c r="AI180">
        <v>0.5</v>
      </c>
      <c r="AJ180">
        <v>0</v>
      </c>
      <c r="AK180">
        <v>7</v>
      </c>
    </row>
    <row r="181" spans="2:37" ht="12.75" customHeight="1">
      <c r="B181" s="33"/>
      <c r="C181" s="33"/>
      <c r="D181" s="33"/>
      <c r="E181" s="33"/>
      <c r="F181" s="33"/>
      <c r="G181" s="33"/>
      <c r="H181" s="33"/>
      <c r="I181" s="33"/>
      <c r="J181" s="33"/>
      <c r="K181" s="33"/>
      <c r="L181" s="33"/>
      <c r="M181" s="33"/>
      <c r="N181" s="33"/>
      <c r="O181" s="33"/>
      <c r="P181" s="33"/>
      <c r="Q181" t="e">
        <f t="shared" si="16"/>
        <v>#VALUE!</v>
      </c>
      <c r="R181" s="33"/>
      <c r="S181" s="33"/>
      <c r="T181" s="33"/>
      <c r="U181" s="33"/>
      <c r="V181" s="33"/>
      <c r="AD181" t="str">
        <f t="shared" si="15"/>
        <v>Damaris Johnson</v>
      </c>
      <c r="AE181" t="s">
        <v>3002</v>
      </c>
      <c r="AF181">
        <v>10.5</v>
      </c>
      <c r="AG181">
        <v>123</v>
      </c>
      <c r="AH181">
        <v>11.7</v>
      </c>
      <c r="AI181">
        <v>0.5</v>
      </c>
      <c r="AJ181">
        <v>1</v>
      </c>
      <c r="AK181">
        <v>6</v>
      </c>
    </row>
    <row r="182" spans="2:37" ht="12.75" customHeight="1">
      <c r="B182" s="33"/>
      <c r="C182" s="33"/>
      <c r="D182" s="33"/>
      <c r="E182" s="33"/>
      <c r="F182" s="33"/>
      <c r="G182" s="33"/>
      <c r="H182" s="33"/>
      <c r="I182" s="33"/>
      <c r="J182" s="33"/>
      <c r="K182" s="33"/>
      <c r="L182" s="33"/>
      <c r="M182" s="33"/>
      <c r="N182" s="33"/>
      <c r="O182" s="33"/>
      <c r="P182" s="33"/>
      <c r="Q182" t="e">
        <f t="shared" si="16"/>
        <v>#VALUE!</v>
      </c>
      <c r="R182" s="33"/>
      <c r="S182" s="33"/>
      <c r="T182" s="33"/>
      <c r="U182" s="33"/>
      <c r="V182" s="33"/>
      <c r="AD182" t="str">
        <f t="shared" si="15"/>
        <v>Lavelle Hawkins</v>
      </c>
      <c r="AE182" t="s">
        <v>3003</v>
      </c>
      <c r="AF182">
        <v>12</v>
      </c>
      <c r="AG182">
        <v>143</v>
      </c>
      <c r="AH182">
        <v>11.9</v>
      </c>
      <c r="AI182">
        <v>0</v>
      </c>
      <c r="AJ182">
        <v>0</v>
      </c>
      <c r="AK182">
        <v>6</v>
      </c>
    </row>
    <row r="183" spans="2:37" ht="12.75" customHeight="1">
      <c r="B183" s="33"/>
      <c r="C183" s="33"/>
      <c r="D183" s="33"/>
      <c r="E183" s="33"/>
      <c r="F183" s="33"/>
      <c r="G183" s="33"/>
      <c r="H183" s="33"/>
      <c r="I183" s="33"/>
      <c r="J183" s="33"/>
      <c r="K183" s="33"/>
      <c r="L183" s="33"/>
      <c r="M183" s="33"/>
      <c r="N183" s="33"/>
      <c r="O183" s="33"/>
      <c r="P183" s="33"/>
      <c r="Q183" t="e">
        <f t="shared" si="16"/>
        <v>#VALUE!</v>
      </c>
      <c r="R183" s="33"/>
      <c r="S183" s="33"/>
      <c r="T183" s="33"/>
      <c r="U183" s="33"/>
      <c r="V183" s="33"/>
      <c r="AD183" t="str">
        <f t="shared" si="15"/>
        <v>Seyi Ajirotutu</v>
      </c>
      <c r="AE183" t="s">
        <v>3004</v>
      </c>
      <c r="AF183">
        <v>4</v>
      </c>
      <c r="AG183">
        <v>56</v>
      </c>
      <c r="AH183">
        <v>14</v>
      </c>
      <c r="AI183">
        <v>0.5</v>
      </c>
      <c r="AJ183">
        <v>0</v>
      </c>
      <c r="AK183">
        <v>5</v>
      </c>
    </row>
    <row r="184" spans="2:37" ht="12.75" customHeight="1">
      <c r="B184" s="33"/>
      <c r="C184" s="33"/>
      <c r="D184" s="33"/>
      <c r="E184" s="33"/>
      <c r="F184" s="33"/>
      <c r="G184" s="33"/>
      <c r="H184" s="33"/>
      <c r="I184" s="33"/>
      <c r="J184" s="33"/>
      <c r="K184" s="33"/>
      <c r="L184" s="33"/>
      <c r="M184" s="33"/>
      <c r="N184" s="33"/>
      <c r="O184" s="33"/>
      <c r="P184" s="33"/>
      <c r="Q184" t="e">
        <f t="shared" si="16"/>
        <v>#VALUE!</v>
      </c>
      <c r="R184" s="33"/>
      <c r="S184" s="33"/>
      <c r="T184" s="33"/>
      <c r="U184" s="33"/>
      <c r="V184" s="33"/>
      <c r="AD184" t="str">
        <f t="shared" si="15"/>
        <v>Brenton Bersin</v>
      </c>
      <c r="AE184" t="s">
        <v>3005</v>
      </c>
      <c r="AF184">
        <v>6.5</v>
      </c>
      <c r="AG184">
        <v>89</v>
      </c>
      <c r="AH184">
        <v>13.7</v>
      </c>
      <c r="AI184">
        <v>0</v>
      </c>
      <c r="AJ184">
        <v>0</v>
      </c>
      <c r="AK184">
        <v>4</v>
      </c>
    </row>
    <row r="185" spans="2:37" ht="12.75" customHeight="1">
      <c r="B185" s="33"/>
      <c r="C185" s="33"/>
      <c r="D185" s="33"/>
      <c r="E185" s="33"/>
      <c r="F185" s="33"/>
      <c r="G185" s="33"/>
      <c r="H185" s="33"/>
      <c r="I185" s="33"/>
      <c r="J185" s="33"/>
      <c r="K185" s="33"/>
      <c r="L185" s="33"/>
      <c r="M185" s="33"/>
      <c r="N185" s="33"/>
      <c r="O185" s="33"/>
      <c r="P185" s="33"/>
      <c r="Q185" t="e">
        <f t="shared" si="16"/>
        <v>#VALUE!</v>
      </c>
      <c r="R185" s="33"/>
      <c r="S185" s="33"/>
      <c r="T185" s="33"/>
      <c r="U185" s="33"/>
      <c r="V185" s="33"/>
      <c r="AD185" t="str">
        <f t="shared" si="15"/>
        <v>Anthony Armstrong</v>
      </c>
      <c r="AE185" t="s">
        <v>3006</v>
      </c>
      <c r="AF185">
        <v>3</v>
      </c>
      <c r="AG185">
        <v>43</v>
      </c>
      <c r="AH185">
        <v>14.3</v>
      </c>
      <c r="AI185">
        <v>0.5</v>
      </c>
      <c r="AJ185">
        <v>0</v>
      </c>
      <c r="AK185">
        <v>4</v>
      </c>
    </row>
    <row r="186" spans="2:37" ht="12.75" customHeight="1">
      <c r="B186" s="33"/>
      <c r="C186" s="33"/>
      <c r="D186" s="33"/>
      <c r="E186" s="33"/>
      <c r="F186" s="33"/>
      <c r="G186" s="33"/>
      <c r="H186" s="33"/>
      <c r="I186" s="33"/>
      <c r="J186" s="33"/>
      <c r="K186" s="33"/>
      <c r="L186" s="33"/>
      <c r="M186" s="33"/>
      <c r="N186" s="33"/>
      <c r="O186" s="33"/>
      <c r="P186" s="33"/>
      <c r="Q186" t="e">
        <f t="shared" si="16"/>
        <v>#VALUE!</v>
      </c>
      <c r="R186" s="33"/>
      <c r="S186" s="33"/>
      <c r="T186" s="33"/>
      <c r="U186" s="33"/>
      <c r="V186" s="33"/>
      <c r="AD186" t="str">
        <f t="shared" si="15"/>
        <v>Kealoha Pilares</v>
      </c>
      <c r="AE186" t="s">
        <v>3007</v>
      </c>
      <c r="AF186">
        <v>5.5</v>
      </c>
      <c r="AG186">
        <v>86.5</v>
      </c>
      <c r="AH186">
        <v>15.7</v>
      </c>
      <c r="AI186">
        <v>0</v>
      </c>
      <c r="AJ186">
        <v>0</v>
      </c>
      <c r="AK186">
        <v>4</v>
      </c>
    </row>
    <row r="187" spans="2:37" ht="12.75" customHeight="1">
      <c r="B187" s="33"/>
      <c r="C187" s="33"/>
      <c r="D187" s="33"/>
      <c r="E187" s="33"/>
      <c r="F187" s="33"/>
      <c r="G187" s="33"/>
      <c r="H187" s="33"/>
      <c r="I187" s="33"/>
      <c r="J187" s="33"/>
      <c r="K187" s="33"/>
      <c r="L187" s="33"/>
      <c r="M187" s="33"/>
      <c r="N187" s="33"/>
      <c r="O187" s="33"/>
      <c r="P187" s="33"/>
      <c r="Q187" t="e">
        <f t="shared" si="16"/>
        <v>#VALUE!</v>
      </c>
      <c r="R187" s="33"/>
      <c r="S187" s="33"/>
      <c r="T187" s="33"/>
      <c r="U187" s="33"/>
      <c r="V187" s="33"/>
      <c r="AD187" t="str">
        <f t="shared" si="15"/>
        <v>Greg Salas</v>
      </c>
      <c r="AE187" t="s">
        <v>3008</v>
      </c>
      <c r="AF187">
        <v>7.5</v>
      </c>
      <c r="AG187">
        <v>105.5</v>
      </c>
      <c r="AH187">
        <v>14.1</v>
      </c>
      <c r="AI187">
        <v>0</v>
      </c>
      <c r="AJ187">
        <v>0</v>
      </c>
      <c r="AK187">
        <v>4</v>
      </c>
    </row>
    <row r="188" spans="2:37" ht="12.75" customHeight="1">
      <c r="B188" s="33"/>
      <c r="C188" s="33"/>
      <c r="D188" s="33"/>
      <c r="E188" s="33"/>
      <c r="F188" s="33"/>
      <c r="G188" s="33"/>
      <c r="H188" s="33"/>
      <c r="I188" s="33"/>
      <c r="J188" s="33"/>
      <c r="K188" s="33"/>
      <c r="L188" s="33"/>
      <c r="M188" s="33"/>
      <c r="N188" s="33"/>
      <c r="O188" s="33"/>
      <c r="P188" s="33"/>
      <c r="Q188" t="e">
        <f t="shared" si="16"/>
        <v>#VALUE!</v>
      </c>
      <c r="R188" s="33"/>
      <c r="S188" s="33"/>
      <c r="T188" s="33"/>
      <c r="U188" s="33"/>
      <c r="V188" s="33"/>
      <c r="AD188" t="str">
        <f t="shared" si="15"/>
        <v>T.J. Jones</v>
      </c>
      <c r="AE188" t="s">
        <v>3009</v>
      </c>
      <c r="AF188">
        <v>8</v>
      </c>
      <c r="AG188">
        <v>109</v>
      </c>
      <c r="AH188">
        <v>13.6</v>
      </c>
      <c r="AI188">
        <v>0</v>
      </c>
      <c r="AJ188">
        <v>0</v>
      </c>
      <c r="AK188">
        <v>4</v>
      </c>
    </row>
    <row r="189" spans="2:37" ht="12.75" customHeight="1">
      <c r="B189" s="33"/>
      <c r="C189" s="33"/>
      <c r="D189" s="33"/>
      <c r="E189" s="33"/>
      <c r="F189" s="33"/>
      <c r="G189" s="33"/>
      <c r="H189" s="33"/>
      <c r="I189" s="33"/>
      <c r="J189" s="33"/>
      <c r="K189" s="33"/>
      <c r="L189" s="33"/>
      <c r="M189" s="33"/>
      <c r="N189" s="33"/>
      <c r="O189" s="33"/>
      <c r="P189" s="33"/>
      <c r="Q189" t="e">
        <f t="shared" si="16"/>
        <v>#VALUE!</v>
      </c>
      <c r="R189" s="33"/>
      <c r="S189" s="33"/>
      <c r="T189" s="33"/>
      <c r="U189" s="33"/>
      <c r="V189" s="33"/>
      <c r="AD189" t="str">
        <f t="shared" si="15"/>
        <v>Alan Bonner</v>
      </c>
      <c r="AE189" t="s">
        <v>3010</v>
      </c>
      <c r="AF189">
        <v>7</v>
      </c>
      <c r="AG189">
        <v>105.5</v>
      </c>
      <c r="AH189">
        <v>15.1</v>
      </c>
      <c r="AI189">
        <v>0</v>
      </c>
      <c r="AJ189">
        <v>0</v>
      </c>
      <c r="AK189">
        <v>4</v>
      </c>
    </row>
    <row r="190" spans="2:37" ht="12.75" customHeight="1">
      <c r="B190" s="33"/>
      <c r="C190" s="33"/>
      <c r="D190" s="33"/>
      <c r="E190" s="33"/>
      <c r="F190" s="33"/>
      <c r="G190" s="33"/>
      <c r="H190" s="33"/>
      <c r="I190" s="33"/>
      <c r="J190" s="33"/>
      <c r="K190" s="33"/>
      <c r="L190" s="33"/>
      <c r="M190" s="33"/>
      <c r="N190" s="33"/>
      <c r="O190" s="33"/>
      <c r="P190" s="33"/>
      <c r="Q190" t="e">
        <f t="shared" si="16"/>
        <v>#VALUE!</v>
      </c>
      <c r="R190" s="33"/>
      <c r="S190" s="33"/>
      <c r="T190" s="33"/>
      <c r="U190" s="33"/>
      <c r="V190" s="33"/>
      <c r="AD190" t="str">
        <f t="shared" si="15"/>
        <v>Clyde Gates</v>
      </c>
      <c r="AE190" t="s">
        <v>3011</v>
      </c>
      <c r="AF190">
        <v>5.5</v>
      </c>
      <c r="AG190">
        <v>56</v>
      </c>
      <c r="AH190">
        <v>10.199999999999999</v>
      </c>
      <c r="AI190">
        <v>0</v>
      </c>
      <c r="AJ190">
        <v>0</v>
      </c>
      <c r="AK190">
        <v>3</v>
      </c>
    </row>
    <row r="191" spans="2:37" ht="12.75" customHeight="1">
      <c r="B191" s="33"/>
      <c r="C191" s="33"/>
      <c r="D191" s="33"/>
      <c r="E191" s="33"/>
      <c r="F191" s="33"/>
      <c r="G191" s="33"/>
      <c r="H191" s="33"/>
      <c r="I191" s="33"/>
      <c r="J191" s="33"/>
      <c r="K191" s="33"/>
      <c r="L191" s="33"/>
      <c r="M191" s="33"/>
      <c r="N191" s="33"/>
      <c r="O191" s="33"/>
      <c r="P191" s="33"/>
      <c r="Q191" t="e">
        <f t="shared" si="16"/>
        <v>#VALUE!</v>
      </c>
      <c r="R191" s="33"/>
      <c r="S191" s="33"/>
      <c r="T191" s="33"/>
      <c r="U191" s="33"/>
      <c r="V191" s="33"/>
      <c r="AD191" t="str">
        <f t="shared" si="15"/>
        <v>Tandon Doss</v>
      </c>
      <c r="AE191" t="s">
        <v>3012</v>
      </c>
      <c r="AF191">
        <v>5.5</v>
      </c>
      <c r="AG191">
        <v>72.5</v>
      </c>
      <c r="AH191">
        <v>13.2</v>
      </c>
      <c r="AI191">
        <v>0</v>
      </c>
      <c r="AJ191">
        <v>0</v>
      </c>
      <c r="AK191">
        <v>3</v>
      </c>
    </row>
    <row r="192" spans="2:37" ht="12.75" customHeight="1">
      <c r="B192" s="33"/>
      <c r="C192" s="33"/>
      <c r="D192" s="33"/>
      <c r="E192" s="33"/>
      <c r="F192" s="33"/>
      <c r="G192" s="33"/>
      <c r="H192" s="33"/>
      <c r="I192" s="33"/>
      <c r="J192" s="33"/>
      <c r="K192" s="33"/>
      <c r="L192" s="33"/>
      <c r="M192" s="33"/>
      <c r="N192" s="33"/>
      <c r="O192" s="33"/>
      <c r="P192" s="33"/>
      <c r="Q192" t="e">
        <f t="shared" si="16"/>
        <v>#VALUE!</v>
      </c>
      <c r="R192" s="33"/>
      <c r="S192" s="33"/>
      <c r="T192" s="33"/>
      <c r="U192" s="33"/>
      <c r="V192" s="33"/>
      <c r="AD192" t="str">
        <f t="shared" si="15"/>
        <v>Rodney Smith</v>
      </c>
      <c r="AE192" t="s">
        <v>3013</v>
      </c>
      <c r="AF192">
        <v>4.5</v>
      </c>
      <c r="AG192">
        <v>66.5</v>
      </c>
      <c r="AH192">
        <v>14.8</v>
      </c>
      <c r="AI192">
        <v>0</v>
      </c>
      <c r="AJ192">
        <v>0</v>
      </c>
      <c r="AK192">
        <v>3</v>
      </c>
    </row>
    <row r="193" spans="2:37" ht="12.75" customHeight="1">
      <c r="B193" s="33"/>
      <c r="C193" s="33"/>
      <c r="D193" s="33"/>
      <c r="E193" s="33"/>
      <c r="F193" s="33"/>
      <c r="G193" s="33"/>
      <c r="H193" s="33"/>
      <c r="I193" s="33"/>
      <c r="J193" s="33"/>
      <c r="K193" s="33"/>
      <c r="L193" s="33"/>
      <c r="M193" s="33"/>
      <c r="N193" s="33"/>
      <c r="O193" s="33"/>
      <c r="P193" s="33"/>
      <c r="Q193" s="33"/>
      <c r="R193" s="33"/>
      <c r="S193" s="33"/>
      <c r="T193" s="33"/>
      <c r="U193" s="33"/>
      <c r="V193" s="33"/>
      <c r="AD193" t="str">
        <f t="shared" si="15"/>
        <v>Armon Binns</v>
      </c>
      <c r="AE193" t="s">
        <v>3014</v>
      </c>
      <c r="AF193">
        <v>6</v>
      </c>
      <c r="AG193">
        <v>77</v>
      </c>
      <c r="AH193">
        <v>12.8</v>
      </c>
      <c r="AI193">
        <v>0</v>
      </c>
      <c r="AJ193">
        <v>0</v>
      </c>
      <c r="AK193">
        <v>3</v>
      </c>
    </row>
    <row r="194" spans="2:37" ht="12.75" customHeight="1">
      <c r="B194" s="33"/>
      <c r="C194" s="33"/>
      <c r="D194" s="33"/>
      <c r="E194" s="33"/>
      <c r="F194" s="33"/>
      <c r="G194" s="33"/>
      <c r="H194" s="33"/>
      <c r="I194" s="33"/>
      <c r="J194" s="33"/>
      <c r="K194" s="33"/>
      <c r="L194" s="33"/>
      <c r="M194" s="33"/>
      <c r="N194" s="33"/>
      <c r="O194" s="33"/>
      <c r="P194" s="33"/>
      <c r="Q194" s="33"/>
      <c r="R194" s="33"/>
      <c r="S194" s="33"/>
      <c r="T194" s="33"/>
      <c r="U194" s="33"/>
      <c r="V194" s="33"/>
      <c r="AD194" t="str">
        <f t="shared" si="15"/>
        <v>Adam Thielen</v>
      </c>
      <c r="AE194" t="s">
        <v>3015</v>
      </c>
      <c r="AF194">
        <v>4.5</v>
      </c>
      <c r="AG194">
        <v>55</v>
      </c>
      <c r="AH194">
        <v>12.2</v>
      </c>
      <c r="AI194">
        <v>0</v>
      </c>
      <c r="AJ194">
        <v>0</v>
      </c>
      <c r="AK194">
        <v>2</v>
      </c>
    </row>
    <row r="195" spans="2:37" ht="12.75" customHeight="1">
      <c r="B195" s="33"/>
      <c r="C195" s="33"/>
      <c r="D195" s="33"/>
      <c r="E195" s="33"/>
      <c r="F195" s="33"/>
      <c r="G195" s="33"/>
      <c r="H195" s="33"/>
      <c r="I195" s="33"/>
      <c r="J195" s="33"/>
      <c r="K195" s="33"/>
      <c r="L195" s="33"/>
      <c r="M195" s="33"/>
      <c r="N195" s="33"/>
      <c r="O195" s="33"/>
      <c r="P195" s="33"/>
      <c r="Q195" s="33"/>
      <c r="R195" s="33"/>
      <c r="S195" s="33"/>
      <c r="T195" s="33"/>
      <c r="U195" s="33"/>
      <c r="V195" s="33"/>
      <c r="AD195" t="str">
        <f t="shared" si="15"/>
        <v>Naaman Roosevelt</v>
      </c>
      <c r="AE195" t="s">
        <v>3016</v>
      </c>
      <c r="AF195">
        <v>4</v>
      </c>
      <c r="AG195">
        <v>55.5</v>
      </c>
      <c r="AH195">
        <v>13.9</v>
      </c>
      <c r="AI195">
        <v>0</v>
      </c>
      <c r="AJ195">
        <v>0</v>
      </c>
      <c r="AK195">
        <v>2</v>
      </c>
    </row>
    <row r="196" spans="2:37" ht="12.75" customHeight="1">
      <c r="B196" s="33"/>
      <c r="C196" s="33"/>
      <c r="D196" s="33"/>
      <c r="E196" s="33"/>
      <c r="F196" s="33"/>
      <c r="G196" s="33"/>
      <c r="H196" s="33"/>
      <c r="I196" s="33"/>
      <c r="J196" s="33"/>
      <c r="K196" s="33"/>
      <c r="L196" s="33"/>
      <c r="M196" s="33"/>
      <c r="N196" s="33"/>
      <c r="O196" s="33"/>
      <c r="P196" s="33"/>
      <c r="Q196" s="33"/>
      <c r="R196" s="33"/>
      <c r="S196" s="33"/>
      <c r="T196" s="33"/>
      <c r="U196" s="33"/>
      <c r="V196" s="33"/>
      <c r="AD196" t="str">
        <f t="shared" ref="AD196:AD259" si="17">LEFT(AE196,(FIND(",",AE196)-1))</f>
        <v>Michael Campanaro</v>
      </c>
      <c r="AE196" t="s">
        <v>3017</v>
      </c>
      <c r="AF196">
        <v>4</v>
      </c>
      <c r="AG196">
        <v>49</v>
      </c>
      <c r="AH196">
        <v>12.2</v>
      </c>
      <c r="AI196">
        <v>0</v>
      </c>
      <c r="AJ196">
        <v>0</v>
      </c>
      <c r="AK196">
        <v>2</v>
      </c>
    </row>
    <row r="197" spans="2:37" ht="12.75" customHeight="1">
      <c r="B197" s="33"/>
      <c r="C197" s="33"/>
      <c r="D197" s="33"/>
      <c r="E197" s="33"/>
      <c r="F197" s="33"/>
      <c r="G197" s="33"/>
      <c r="H197" s="33"/>
      <c r="I197" s="33"/>
      <c r="J197" s="33"/>
      <c r="K197" s="33"/>
      <c r="L197" s="33"/>
      <c r="M197" s="33"/>
      <c r="N197" s="33"/>
      <c r="O197" s="33"/>
      <c r="P197" s="33"/>
      <c r="Q197" s="33"/>
      <c r="R197" s="33"/>
      <c r="S197" s="33"/>
      <c r="T197" s="33"/>
      <c r="U197" s="33"/>
      <c r="V197" s="33"/>
      <c r="AD197" t="str">
        <f t="shared" si="17"/>
        <v>Brittan Golden</v>
      </c>
      <c r="AE197" t="s">
        <v>3018</v>
      </c>
      <c r="AF197">
        <v>4</v>
      </c>
      <c r="AG197">
        <v>57</v>
      </c>
      <c r="AH197">
        <v>14.2</v>
      </c>
      <c r="AI197">
        <v>0</v>
      </c>
      <c r="AJ197">
        <v>0</v>
      </c>
      <c r="AK197">
        <v>2</v>
      </c>
    </row>
    <row r="198" spans="2:37" ht="12.75" customHeight="1">
      <c r="B198" s="33"/>
      <c r="C198" s="33"/>
      <c r="D198" s="33"/>
      <c r="E198" s="33"/>
      <c r="F198" s="33"/>
      <c r="G198" s="33"/>
      <c r="H198" s="33"/>
      <c r="I198" s="33"/>
      <c r="J198" s="33"/>
      <c r="K198" s="33"/>
      <c r="L198" s="33"/>
      <c r="M198" s="33"/>
      <c r="N198" s="33"/>
      <c r="O198" s="33"/>
      <c r="P198" s="33"/>
      <c r="Q198" s="33"/>
      <c r="R198" s="33"/>
      <c r="S198" s="33"/>
      <c r="T198" s="33"/>
      <c r="U198" s="33"/>
      <c r="V198" s="33"/>
      <c r="AD198" t="str">
        <f t="shared" si="17"/>
        <v>Deonte Thompson</v>
      </c>
      <c r="AE198" t="s">
        <v>3019</v>
      </c>
      <c r="AF198">
        <v>6</v>
      </c>
      <c r="AG198">
        <v>57.5</v>
      </c>
      <c r="AH198">
        <v>9.6</v>
      </c>
      <c r="AI198">
        <v>0</v>
      </c>
      <c r="AJ198">
        <v>0</v>
      </c>
      <c r="AK198">
        <v>2</v>
      </c>
    </row>
    <row r="199" spans="2:37" ht="12.75" customHeight="1">
      <c r="B199" s="33"/>
      <c r="C199" s="33"/>
      <c r="D199" s="33"/>
      <c r="E199" s="33"/>
      <c r="F199" s="33"/>
      <c r="G199" s="33"/>
      <c r="H199" s="33"/>
      <c r="I199" s="33"/>
      <c r="J199" s="33"/>
      <c r="K199" s="33"/>
      <c r="L199" s="33"/>
      <c r="M199" s="33"/>
      <c r="N199" s="33"/>
      <c r="O199" s="33"/>
      <c r="P199" s="33"/>
      <c r="Q199" s="33"/>
      <c r="R199" s="33"/>
      <c r="S199" s="33"/>
      <c r="T199" s="33"/>
      <c r="U199" s="33"/>
      <c r="V199" s="33"/>
      <c r="AD199" t="str">
        <f t="shared" si="17"/>
        <v>Kevin Dorsey</v>
      </c>
      <c r="AE199" t="s">
        <v>3020</v>
      </c>
      <c r="AF199">
        <v>4</v>
      </c>
      <c r="AG199">
        <v>56</v>
      </c>
      <c r="AH199">
        <v>14</v>
      </c>
      <c r="AI199">
        <v>0</v>
      </c>
      <c r="AJ199">
        <v>0</v>
      </c>
      <c r="AK199">
        <v>2</v>
      </c>
    </row>
    <row r="200" spans="2:37" ht="12.75" customHeight="1">
      <c r="B200" s="33"/>
      <c r="C200" s="33"/>
      <c r="D200" s="33"/>
      <c r="E200" s="33"/>
      <c r="F200" s="33"/>
      <c r="G200" s="33"/>
      <c r="H200" s="33"/>
      <c r="I200" s="33"/>
      <c r="J200" s="33"/>
      <c r="K200" s="33"/>
      <c r="L200" s="33"/>
      <c r="M200" s="33"/>
      <c r="N200" s="33"/>
      <c r="O200" s="33"/>
      <c r="P200" s="33"/>
      <c r="Q200" s="33"/>
      <c r="R200" s="33"/>
      <c r="S200" s="33"/>
      <c r="T200" s="33"/>
      <c r="U200" s="33"/>
      <c r="V200" s="33"/>
      <c r="AD200" t="str">
        <f t="shared" si="17"/>
        <v>Nick Williams</v>
      </c>
      <c r="AE200" t="s">
        <v>3021</v>
      </c>
      <c r="AF200">
        <v>4</v>
      </c>
      <c r="AG200">
        <v>48.5</v>
      </c>
      <c r="AH200">
        <v>12.1</v>
      </c>
      <c r="AI200">
        <v>0</v>
      </c>
      <c r="AJ200">
        <v>0</v>
      </c>
      <c r="AK200">
        <v>2</v>
      </c>
    </row>
    <row r="201" spans="2:37" ht="12.75" customHeight="1">
      <c r="B201" s="33"/>
      <c r="C201" s="33"/>
      <c r="D201" s="33"/>
      <c r="E201" s="33"/>
      <c r="F201" s="33"/>
      <c r="G201" s="33"/>
      <c r="H201" s="33"/>
      <c r="I201" s="33"/>
      <c r="J201" s="33"/>
      <c r="K201" s="33"/>
      <c r="L201" s="33"/>
      <c r="M201" s="33"/>
      <c r="N201" s="33"/>
      <c r="O201" s="33"/>
      <c r="P201" s="33"/>
      <c r="Q201" s="33"/>
      <c r="R201" s="33"/>
      <c r="S201" s="33"/>
      <c r="T201" s="33"/>
      <c r="U201" s="33"/>
      <c r="V201" s="33"/>
      <c r="AD201" t="str">
        <f t="shared" si="17"/>
        <v>Michael Preston</v>
      </c>
      <c r="AE201" t="s">
        <v>3022</v>
      </c>
      <c r="AF201">
        <v>5.5</v>
      </c>
      <c r="AG201">
        <v>60.5</v>
      </c>
      <c r="AH201">
        <v>11</v>
      </c>
      <c r="AI201">
        <v>0</v>
      </c>
      <c r="AJ201">
        <v>0</v>
      </c>
      <c r="AK201">
        <v>2</v>
      </c>
    </row>
    <row r="202" spans="2:37" ht="12.75" customHeight="1">
      <c r="B202" s="33"/>
      <c r="C202" s="33"/>
      <c r="D202" s="33"/>
      <c r="E202" s="33"/>
      <c r="F202" s="33"/>
      <c r="G202" s="33"/>
      <c r="H202" s="33"/>
      <c r="I202" s="33"/>
      <c r="J202" s="33"/>
      <c r="K202" s="33"/>
      <c r="L202" s="33"/>
      <c r="M202" s="33"/>
      <c r="N202" s="33"/>
      <c r="O202" s="33"/>
      <c r="P202" s="33"/>
      <c r="Q202" s="33"/>
      <c r="R202" s="33"/>
      <c r="S202" s="33"/>
      <c r="T202" s="33"/>
      <c r="U202" s="33"/>
      <c r="V202" s="33"/>
      <c r="AD202" t="str">
        <f t="shared" si="17"/>
        <v>Lestar Jean</v>
      </c>
      <c r="AE202" t="s">
        <v>3023</v>
      </c>
      <c r="AF202">
        <v>4</v>
      </c>
      <c r="AG202">
        <v>61.5</v>
      </c>
      <c r="AH202">
        <v>15.4</v>
      </c>
      <c r="AI202">
        <v>0</v>
      </c>
      <c r="AJ202">
        <v>0</v>
      </c>
      <c r="AK202">
        <v>2</v>
      </c>
    </row>
    <row r="203" spans="2:37" ht="12.75" customHeight="1">
      <c r="B203" s="33"/>
      <c r="C203" s="33"/>
      <c r="D203" s="33"/>
      <c r="E203" s="33"/>
      <c r="F203" s="33"/>
      <c r="G203" s="33"/>
      <c r="H203" s="33"/>
      <c r="I203" s="33"/>
      <c r="J203" s="33"/>
      <c r="K203" s="33"/>
      <c r="L203" s="33"/>
      <c r="M203" s="33"/>
      <c r="N203" s="33"/>
      <c r="O203" s="33"/>
      <c r="P203" s="33"/>
      <c r="Q203" s="33"/>
      <c r="R203" s="33"/>
      <c r="S203" s="33"/>
      <c r="T203" s="33"/>
      <c r="U203" s="33"/>
      <c r="V203" s="33"/>
      <c r="AD203" t="str">
        <f t="shared" si="17"/>
        <v>Kamar Aiken</v>
      </c>
      <c r="AE203" t="s">
        <v>3024</v>
      </c>
      <c r="AF203">
        <v>2.5</v>
      </c>
      <c r="AG203">
        <v>36.5</v>
      </c>
      <c r="AH203">
        <v>14.6</v>
      </c>
      <c r="AI203">
        <v>0</v>
      </c>
      <c r="AJ203">
        <v>0</v>
      </c>
      <c r="AK203">
        <v>1</v>
      </c>
    </row>
    <row r="204" spans="2:37" ht="12.75" customHeight="1">
      <c r="B204" s="33"/>
      <c r="C204" s="33"/>
      <c r="D204" s="33"/>
      <c r="E204" s="33"/>
      <c r="F204" s="33"/>
      <c r="G204" s="33"/>
      <c r="H204" s="33"/>
      <c r="I204" s="33"/>
      <c r="J204" s="33"/>
      <c r="K204" s="33"/>
      <c r="L204" s="33"/>
      <c r="M204" s="33"/>
      <c r="N204" s="33"/>
      <c r="O204" s="33"/>
      <c r="P204" s="33"/>
      <c r="Q204" s="33"/>
      <c r="R204" s="33"/>
      <c r="S204" s="33"/>
      <c r="T204" s="33"/>
      <c r="U204" s="33"/>
      <c r="V204" s="33"/>
      <c r="AD204" t="str">
        <f t="shared" si="17"/>
        <v>Pat Edwards</v>
      </c>
      <c r="AE204" t="s">
        <v>3025</v>
      </c>
      <c r="AF204">
        <v>2</v>
      </c>
      <c r="AG204">
        <v>26.5</v>
      </c>
      <c r="AH204">
        <v>13.2</v>
      </c>
      <c r="AI204">
        <v>0</v>
      </c>
      <c r="AJ204">
        <v>0</v>
      </c>
      <c r="AK204">
        <v>1</v>
      </c>
    </row>
    <row r="205" spans="2:37" ht="12.75" customHeight="1">
      <c r="B205" s="33"/>
      <c r="C205" s="33"/>
      <c r="D205" s="33"/>
      <c r="E205" s="33"/>
      <c r="F205" s="33"/>
      <c r="G205" s="33"/>
      <c r="H205" s="33"/>
      <c r="I205" s="33"/>
      <c r="J205" s="33"/>
      <c r="K205" s="33"/>
      <c r="L205" s="33"/>
      <c r="M205" s="33"/>
      <c r="N205" s="33"/>
      <c r="O205" s="33"/>
      <c r="P205" s="33"/>
      <c r="Q205" s="33"/>
      <c r="R205" s="33"/>
      <c r="S205" s="33"/>
      <c r="T205" s="33"/>
      <c r="U205" s="33"/>
      <c r="V205" s="33"/>
      <c r="AD205" t="str">
        <f t="shared" si="17"/>
        <v>Brad Smith</v>
      </c>
      <c r="AE205" t="s">
        <v>3026</v>
      </c>
      <c r="AF205">
        <v>2</v>
      </c>
      <c r="AG205">
        <v>27</v>
      </c>
      <c r="AH205">
        <v>13.5</v>
      </c>
      <c r="AI205">
        <v>0</v>
      </c>
      <c r="AJ205">
        <v>0</v>
      </c>
      <c r="AK205">
        <v>1</v>
      </c>
    </row>
    <row r="206" spans="2:37" ht="12.75" customHeight="1">
      <c r="B206" s="33"/>
      <c r="C206" s="33"/>
      <c r="D206" s="33"/>
      <c r="E206" s="33"/>
      <c r="F206" s="33"/>
      <c r="G206" s="33"/>
      <c r="H206" s="33"/>
      <c r="I206" s="33"/>
      <c r="J206" s="33"/>
      <c r="K206" s="33"/>
      <c r="L206" s="33"/>
      <c r="M206" s="33"/>
      <c r="N206" s="33"/>
      <c r="O206" s="33"/>
      <c r="P206" s="33"/>
      <c r="Q206" s="33"/>
      <c r="R206" s="33"/>
      <c r="S206" s="33"/>
      <c r="T206" s="33"/>
      <c r="U206" s="33"/>
      <c r="V206" s="33"/>
      <c r="AD206" t="str">
        <f t="shared" si="17"/>
        <v>Terrence Toliver</v>
      </c>
      <c r="AE206" t="s">
        <v>3027</v>
      </c>
      <c r="AF206">
        <v>3.5</v>
      </c>
      <c r="AG206">
        <v>43.5</v>
      </c>
      <c r="AH206">
        <v>12.4</v>
      </c>
      <c r="AI206">
        <v>0</v>
      </c>
      <c r="AJ206">
        <v>0</v>
      </c>
      <c r="AK206">
        <v>1</v>
      </c>
    </row>
    <row r="207" spans="2:37" ht="12.75" customHeight="1">
      <c r="B207" s="33"/>
      <c r="C207" s="33"/>
      <c r="D207" s="33"/>
      <c r="E207" s="33"/>
      <c r="F207" s="33"/>
      <c r="G207" s="33"/>
      <c r="H207" s="33"/>
      <c r="I207" s="33"/>
      <c r="J207" s="33"/>
      <c r="K207" s="33"/>
      <c r="L207" s="33"/>
      <c r="M207" s="33"/>
      <c r="N207" s="33"/>
      <c r="O207" s="33"/>
      <c r="P207" s="33"/>
      <c r="Q207" s="33"/>
      <c r="R207" s="33"/>
      <c r="S207" s="33"/>
      <c r="T207" s="33"/>
      <c r="U207" s="33"/>
      <c r="V207" s="33"/>
      <c r="AD207" t="str">
        <f t="shared" si="17"/>
        <v>Jeremy Ross</v>
      </c>
      <c r="AE207" t="s">
        <v>3028</v>
      </c>
      <c r="AF207">
        <v>2.5</v>
      </c>
      <c r="AG207">
        <v>32.5</v>
      </c>
      <c r="AH207">
        <v>13</v>
      </c>
      <c r="AI207">
        <v>0</v>
      </c>
      <c r="AJ207">
        <v>0</v>
      </c>
      <c r="AK207">
        <v>1</v>
      </c>
    </row>
    <row r="208" spans="2:37" ht="12.75" customHeight="1">
      <c r="B208" s="33"/>
      <c r="C208" s="33"/>
      <c r="D208" s="33"/>
      <c r="E208" s="33"/>
      <c r="F208" s="33"/>
      <c r="G208" s="33"/>
      <c r="H208" s="33"/>
      <c r="I208" s="33"/>
      <c r="J208" s="33"/>
      <c r="K208" s="33"/>
      <c r="L208" s="33"/>
      <c r="M208" s="33"/>
      <c r="N208" s="33"/>
      <c r="O208" s="33"/>
      <c r="P208" s="33"/>
      <c r="Q208" s="33"/>
      <c r="R208" s="33"/>
      <c r="S208" s="33"/>
      <c r="T208" s="33"/>
      <c r="U208" s="33"/>
      <c r="V208" s="33"/>
      <c r="AD208" t="str">
        <f t="shared" si="17"/>
        <v>Tevin Reese</v>
      </c>
      <c r="AE208" t="s">
        <v>3029</v>
      </c>
      <c r="AF208">
        <v>2.5</v>
      </c>
      <c r="AG208">
        <v>33</v>
      </c>
      <c r="AH208">
        <v>13.2</v>
      </c>
      <c r="AI208">
        <v>0</v>
      </c>
      <c r="AJ208">
        <v>0</v>
      </c>
      <c r="AK208">
        <v>1</v>
      </c>
    </row>
    <row r="209" spans="2:37" ht="12.75" customHeight="1">
      <c r="B209" s="33"/>
      <c r="C209" s="33"/>
      <c r="D209" s="33"/>
      <c r="E209" s="33"/>
      <c r="F209" s="33"/>
      <c r="G209" s="33"/>
      <c r="H209" s="33"/>
      <c r="I209" s="33"/>
      <c r="J209" s="33"/>
      <c r="K209" s="33"/>
      <c r="L209" s="33"/>
      <c r="M209" s="33"/>
      <c r="N209" s="33"/>
      <c r="O209" s="33"/>
      <c r="P209" s="33"/>
      <c r="Q209" s="33"/>
      <c r="R209" s="33"/>
      <c r="S209" s="33"/>
      <c r="T209" s="33"/>
      <c r="U209" s="33"/>
      <c r="V209" s="33"/>
      <c r="AD209" t="str">
        <f t="shared" si="17"/>
        <v>Kassim Osgood</v>
      </c>
      <c r="AE209" t="s">
        <v>3030</v>
      </c>
      <c r="AF209">
        <v>1.5</v>
      </c>
      <c r="AG209">
        <v>21.5</v>
      </c>
      <c r="AH209">
        <v>14.3</v>
      </c>
      <c r="AI209">
        <v>0</v>
      </c>
      <c r="AJ209">
        <v>0</v>
      </c>
      <c r="AK209">
        <v>1</v>
      </c>
    </row>
    <row r="210" spans="2:37" ht="12.75" customHeight="1">
      <c r="B210" s="33"/>
      <c r="C210" s="33"/>
      <c r="D210" s="33"/>
      <c r="E210" s="33"/>
      <c r="F210" s="33"/>
      <c r="G210" s="33"/>
      <c r="H210" s="33"/>
      <c r="I210" s="33"/>
      <c r="J210" s="33"/>
      <c r="K210" s="33"/>
      <c r="L210" s="33"/>
      <c r="M210" s="33"/>
      <c r="N210" s="33"/>
      <c r="O210" s="33"/>
      <c r="P210" s="33"/>
      <c r="Q210" s="33"/>
      <c r="R210" s="33"/>
      <c r="S210" s="33"/>
      <c r="T210" s="33"/>
      <c r="U210" s="33"/>
      <c r="V210" s="33"/>
      <c r="AD210" t="str">
        <f t="shared" si="17"/>
        <v>Tommy Streeter</v>
      </c>
      <c r="AE210" t="s">
        <v>3031</v>
      </c>
      <c r="AF210">
        <v>2.5</v>
      </c>
      <c r="AG210">
        <v>38</v>
      </c>
      <c r="AH210">
        <v>15.2</v>
      </c>
      <c r="AI210">
        <v>0</v>
      </c>
      <c r="AJ210">
        <v>0</v>
      </c>
      <c r="AK210">
        <v>1</v>
      </c>
    </row>
    <row r="211" spans="2:37" ht="12.75" customHeight="1">
      <c r="B211" s="33"/>
      <c r="C211" s="33"/>
      <c r="D211" s="33"/>
      <c r="E211" s="33"/>
      <c r="F211" s="33"/>
      <c r="G211" s="33"/>
      <c r="H211" s="33"/>
      <c r="I211" s="33"/>
      <c r="J211" s="33"/>
      <c r="K211" s="33"/>
      <c r="L211" s="33"/>
      <c r="M211" s="33"/>
      <c r="N211" s="33"/>
      <c r="O211" s="33"/>
      <c r="P211" s="33"/>
      <c r="Q211" s="33"/>
      <c r="R211" s="33"/>
      <c r="S211" s="33"/>
      <c r="T211" s="33"/>
      <c r="U211" s="33"/>
      <c r="V211" s="33"/>
      <c r="AD211" t="str">
        <f t="shared" si="17"/>
        <v>Jeff Maehl</v>
      </c>
      <c r="AE211" t="s">
        <v>3032</v>
      </c>
      <c r="AF211">
        <v>4</v>
      </c>
      <c r="AG211">
        <v>44.5</v>
      </c>
      <c r="AH211">
        <v>11.1</v>
      </c>
      <c r="AI211">
        <v>0</v>
      </c>
      <c r="AJ211">
        <v>0</v>
      </c>
      <c r="AK211">
        <v>1</v>
      </c>
    </row>
    <row r="212" spans="2:37" ht="12.75" customHeight="1">
      <c r="B212" s="33"/>
      <c r="C212" s="33"/>
      <c r="D212" s="33"/>
      <c r="E212" s="33"/>
      <c r="F212" s="33"/>
      <c r="G212" s="33"/>
      <c r="H212" s="33"/>
      <c r="I212" s="33"/>
      <c r="J212" s="33"/>
      <c r="K212" s="33"/>
      <c r="L212" s="33"/>
      <c r="M212" s="33"/>
      <c r="N212" s="33"/>
      <c r="O212" s="33"/>
      <c r="P212" s="33"/>
      <c r="Q212" s="33"/>
      <c r="R212" s="33"/>
      <c r="S212" s="33"/>
      <c r="T212" s="33"/>
      <c r="U212" s="33"/>
      <c r="V212" s="33"/>
      <c r="AE212" t="s">
        <v>3033</v>
      </c>
      <c r="AF212">
        <v>3.5</v>
      </c>
      <c r="AG212">
        <v>43.5</v>
      </c>
      <c r="AH212">
        <v>12.4</v>
      </c>
      <c r="AI212">
        <v>0</v>
      </c>
      <c r="AJ212">
        <v>0</v>
      </c>
      <c r="AK212">
        <v>1</v>
      </c>
    </row>
    <row r="213" spans="2:37" ht="12.75" customHeight="1">
      <c r="B213" s="33"/>
      <c r="C213" s="33"/>
      <c r="D213" s="33"/>
      <c r="E213" s="33"/>
      <c r="F213" s="33"/>
      <c r="G213" s="33"/>
      <c r="H213" s="33"/>
      <c r="I213" s="33"/>
      <c r="J213" s="33"/>
      <c r="K213" s="33"/>
      <c r="L213" s="33"/>
      <c r="M213" s="33"/>
      <c r="N213" s="33"/>
      <c r="O213" s="33"/>
      <c r="P213" s="33"/>
      <c r="Q213" s="33"/>
      <c r="R213" s="33"/>
      <c r="S213" s="33"/>
      <c r="T213" s="33"/>
      <c r="U213" s="33"/>
      <c r="V213" s="33"/>
      <c r="AE213" t="s">
        <v>3034</v>
      </c>
      <c r="AF213">
        <v>1.5</v>
      </c>
      <c r="AG213">
        <v>21.5</v>
      </c>
      <c r="AH213">
        <v>14.3</v>
      </c>
      <c r="AI213">
        <v>0</v>
      </c>
      <c r="AJ213">
        <v>0</v>
      </c>
      <c r="AK213">
        <v>1</v>
      </c>
    </row>
    <row r="214" spans="2:37" ht="12.75" customHeight="1">
      <c r="B214" s="33"/>
      <c r="C214" s="33"/>
      <c r="D214" s="33"/>
      <c r="E214" s="33"/>
      <c r="F214" s="33"/>
      <c r="G214" s="33"/>
      <c r="H214" s="33"/>
      <c r="I214" s="33"/>
      <c r="J214" s="33"/>
      <c r="K214" s="33"/>
      <c r="L214" s="33"/>
      <c r="M214" s="33"/>
      <c r="N214" s="33"/>
      <c r="O214" s="33"/>
      <c r="P214" s="33"/>
      <c r="Q214" s="33"/>
      <c r="R214" s="33"/>
      <c r="S214" s="33"/>
      <c r="T214" s="33"/>
      <c r="U214" s="33"/>
      <c r="V214" s="33"/>
      <c r="AE214" t="s">
        <v>3035</v>
      </c>
      <c r="AF214">
        <v>2.5</v>
      </c>
      <c r="AG214">
        <v>38</v>
      </c>
      <c r="AH214">
        <v>15.2</v>
      </c>
      <c r="AI214">
        <v>0</v>
      </c>
      <c r="AJ214">
        <v>0</v>
      </c>
      <c r="AK214">
        <v>1</v>
      </c>
    </row>
    <row r="215" spans="2:37" ht="12.75" customHeight="1">
      <c r="B215" s="33"/>
      <c r="C215" s="33"/>
      <c r="D215" s="33"/>
      <c r="E215" s="33"/>
      <c r="F215" s="33"/>
      <c r="G215" s="33"/>
      <c r="H215" s="33"/>
      <c r="I215" s="33"/>
      <c r="J215" s="33"/>
      <c r="K215" s="33"/>
      <c r="L215" s="33"/>
      <c r="M215" s="33"/>
      <c r="N215" s="33"/>
      <c r="O215" s="33"/>
      <c r="P215" s="33"/>
      <c r="Q215" s="33"/>
      <c r="R215" s="33"/>
      <c r="S215" s="33"/>
      <c r="T215" s="33"/>
      <c r="U215" s="33"/>
      <c r="V215" s="33"/>
      <c r="AE215" t="s">
        <v>3036</v>
      </c>
      <c r="AF215">
        <v>1.5</v>
      </c>
      <c r="AG215">
        <v>18.5</v>
      </c>
      <c r="AH215">
        <v>12.3</v>
      </c>
      <c r="AI215">
        <v>0</v>
      </c>
      <c r="AJ215">
        <v>0</v>
      </c>
      <c r="AK215">
        <v>1</v>
      </c>
    </row>
    <row r="216" spans="2:37" ht="12.75" customHeight="1">
      <c r="B216" s="33"/>
      <c r="C216" s="33"/>
      <c r="D216" s="33"/>
      <c r="E216" s="33"/>
      <c r="F216" s="33"/>
      <c r="G216" s="33"/>
      <c r="H216" s="33"/>
      <c r="I216" s="33"/>
      <c r="J216" s="33"/>
      <c r="K216" s="33"/>
      <c r="L216" s="33"/>
      <c r="M216" s="33"/>
      <c r="N216" s="33"/>
      <c r="O216" s="33"/>
      <c r="P216" s="33"/>
      <c r="Q216" s="33"/>
      <c r="R216" s="33"/>
      <c r="S216" s="33"/>
      <c r="T216" s="33"/>
      <c r="U216" s="33"/>
      <c r="V216" s="33"/>
      <c r="AE216" t="s">
        <v>3037</v>
      </c>
      <c r="AF216">
        <v>2.5</v>
      </c>
      <c r="AG216">
        <v>41</v>
      </c>
      <c r="AH216">
        <v>16.399999999999999</v>
      </c>
      <c r="AI216">
        <v>0</v>
      </c>
      <c r="AJ216">
        <v>0</v>
      </c>
      <c r="AK216">
        <v>1</v>
      </c>
    </row>
    <row r="217" spans="2:37" ht="12.75" customHeight="1">
      <c r="B217" s="33"/>
      <c r="C217" s="33"/>
      <c r="D217" s="33"/>
      <c r="E217" s="33"/>
      <c r="F217" s="33"/>
      <c r="G217" s="33"/>
      <c r="H217" s="33"/>
      <c r="I217" s="33"/>
      <c r="J217" s="33"/>
      <c r="K217" s="33"/>
      <c r="L217" s="33"/>
      <c r="M217" s="33"/>
      <c r="N217" s="33"/>
      <c r="O217" s="33"/>
      <c r="P217" s="33"/>
      <c r="Q217" s="33"/>
      <c r="R217" s="33"/>
      <c r="S217" s="33"/>
      <c r="T217" s="33"/>
      <c r="U217" s="33"/>
      <c r="V217" s="33"/>
      <c r="AE217" t="s">
        <v>3038</v>
      </c>
      <c r="AF217">
        <v>3</v>
      </c>
      <c r="AG217">
        <v>36</v>
      </c>
      <c r="AH217">
        <v>12</v>
      </c>
      <c r="AI217">
        <v>0</v>
      </c>
      <c r="AJ217">
        <v>0</v>
      </c>
      <c r="AK217">
        <v>1</v>
      </c>
    </row>
    <row r="218" spans="2:37" ht="12.75" customHeight="1">
      <c r="B218" s="33"/>
      <c r="C218" s="33"/>
      <c r="D218" s="33"/>
      <c r="E218" s="33"/>
      <c r="F218" s="33"/>
      <c r="G218" s="33"/>
      <c r="H218" s="33"/>
      <c r="I218" s="33"/>
      <c r="J218" s="33"/>
      <c r="K218" s="33"/>
      <c r="L218" s="33"/>
      <c r="M218" s="33"/>
      <c r="N218" s="33"/>
      <c r="O218" s="33"/>
      <c r="P218" s="33"/>
      <c r="Q218" s="33"/>
      <c r="R218" s="33"/>
      <c r="S218" s="33"/>
      <c r="T218" s="33"/>
      <c r="U218" s="33"/>
      <c r="V218" s="33"/>
      <c r="AE218" t="s">
        <v>3039</v>
      </c>
      <c r="AF218">
        <v>4</v>
      </c>
      <c r="AG218">
        <v>39</v>
      </c>
      <c r="AH218">
        <v>9.8000000000000007</v>
      </c>
      <c r="AI218">
        <v>0</v>
      </c>
      <c r="AJ218">
        <v>0</v>
      </c>
      <c r="AK218">
        <v>1</v>
      </c>
    </row>
    <row r="219" spans="2:37" ht="12.75" customHeight="1">
      <c r="B219" s="33"/>
      <c r="C219" s="33"/>
      <c r="D219" s="33"/>
      <c r="E219" s="33"/>
      <c r="F219" s="33"/>
      <c r="G219" s="33"/>
      <c r="H219" s="33"/>
      <c r="I219" s="33"/>
      <c r="J219" s="33"/>
      <c r="K219" s="33"/>
      <c r="L219" s="33"/>
      <c r="M219" s="33"/>
      <c r="N219" s="33"/>
      <c r="O219" s="33"/>
      <c r="P219" s="33"/>
      <c r="Q219" s="33"/>
      <c r="R219" s="33"/>
      <c r="S219" s="33"/>
      <c r="T219" s="33"/>
      <c r="U219" s="33"/>
      <c r="V219" s="33"/>
      <c r="AE219" t="s">
        <v>3040</v>
      </c>
      <c r="AF219">
        <v>2</v>
      </c>
      <c r="AG219">
        <v>34</v>
      </c>
      <c r="AH219">
        <v>17</v>
      </c>
      <c r="AI219">
        <v>0</v>
      </c>
      <c r="AJ219">
        <v>0.5</v>
      </c>
      <c r="AK219">
        <v>0</v>
      </c>
    </row>
    <row r="220" spans="2:37" ht="12.75" customHeight="1">
      <c r="B220" s="33"/>
      <c r="C220" s="33"/>
      <c r="D220" s="33"/>
      <c r="E220" s="33"/>
      <c r="F220" s="33"/>
      <c r="G220" s="33"/>
      <c r="H220" s="33"/>
      <c r="I220" s="33"/>
      <c r="J220" s="33"/>
      <c r="K220" s="33"/>
      <c r="L220" s="33"/>
      <c r="M220" s="33"/>
      <c r="N220" s="33"/>
      <c r="O220" s="33"/>
      <c r="P220" s="33"/>
      <c r="Q220" s="33"/>
      <c r="R220" s="33"/>
      <c r="S220" s="33"/>
      <c r="T220" s="33"/>
      <c r="U220" s="33"/>
      <c r="V220" s="33"/>
      <c r="AE220" t="s">
        <v>3041</v>
      </c>
      <c r="AF220">
        <v>3.5</v>
      </c>
      <c r="AG220">
        <v>43.5</v>
      </c>
      <c r="AH220">
        <v>12.4</v>
      </c>
      <c r="AI220">
        <v>0</v>
      </c>
      <c r="AJ220">
        <v>1</v>
      </c>
      <c r="AK220">
        <v>-1</v>
      </c>
    </row>
    <row r="221" spans="2:37" ht="12.75" customHeight="1">
      <c r="B221" s="33"/>
      <c r="C221" s="33"/>
      <c r="D221" s="33"/>
      <c r="E221" s="33"/>
      <c r="F221" s="33"/>
      <c r="G221" s="33"/>
      <c r="H221" s="33"/>
      <c r="I221" s="33"/>
      <c r="J221" s="33"/>
      <c r="K221" s="33"/>
      <c r="L221" s="33"/>
      <c r="M221" s="33"/>
      <c r="N221" s="33"/>
      <c r="O221" s="33"/>
      <c r="P221" s="33"/>
      <c r="Q221" s="33"/>
      <c r="R221" s="33"/>
      <c r="S221" s="33"/>
      <c r="T221" s="33"/>
      <c r="U221" s="33"/>
      <c r="V221" s="33"/>
      <c r="AE221" t="s">
        <v>3042</v>
      </c>
      <c r="AF221" t="s">
        <v>804</v>
      </c>
      <c r="AG221" t="s">
        <v>804</v>
      </c>
      <c r="AH221" t="s">
        <v>804</v>
      </c>
      <c r="AI221" t="s">
        <v>804</v>
      </c>
      <c r="AJ221" t="s">
        <v>804</v>
      </c>
      <c r="AK221" t="s">
        <v>804</v>
      </c>
    </row>
    <row r="222" spans="2:37" ht="12.75" customHeight="1">
      <c r="B222" s="33"/>
      <c r="C222" s="33"/>
      <c r="D222" s="33"/>
      <c r="E222" s="33"/>
      <c r="F222" s="33"/>
      <c r="G222" s="33"/>
      <c r="H222" s="33"/>
      <c r="I222" s="33"/>
      <c r="J222" s="33"/>
      <c r="K222" s="33"/>
      <c r="L222" s="33"/>
      <c r="M222" s="33"/>
      <c r="N222" s="33"/>
      <c r="O222" s="33"/>
      <c r="P222" s="33"/>
      <c r="Q222" s="33"/>
      <c r="R222" s="33"/>
      <c r="S222" s="33"/>
      <c r="T222" s="33"/>
      <c r="U222" s="33"/>
      <c r="V222" s="33"/>
    </row>
    <row r="223" spans="2:37" ht="12.75" customHeight="1">
      <c r="B223" s="33"/>
      <c r="C223" s="33"/>
      <c r="D223" s="33"/>
      <c r="E223" s="33"/>
      <c r="F223" s="33"/>
      <c r="G223" s="33"/>
      <c r="H223" s="33"/>
      <c r="I223" s="33"/>
      <c r="J223" s="33"/>
      <c r="K223" s="33"/>
      <c r="L223" s="33"/>
      <c r="M223" s="33"/>
      <c r="N223" s="33"/>
      <c r="O223" s="33"/>
      <c r="P223" s="33"/>
      <c r="Q223" s="33"/>
      <c r="R223" s="33"/>
      <c r="S223" s="33"/>
      <c r="T223" s="33"/>
      <c r="U223" s="33"/>
      <c r="V223" s="33"/>
    </row>
    <row r="224" spans="2:37" ht="12.75" customHeight="1">
      <c r="B224" s="33"/>
      <c r="C224" s="33"/>
      <c r="D224" s="33"/>
      <c r="E224" s="33"/>
      <c r="F224" s="33"/>
      <c r="G224" s="33"/>
      <c r="H224" s="33"/>
      <c r="I224" s="33"/>
      <c r="J224" s="33"/>
      <c r="K224" s="33"/>
      <c r="L224" s="33"/>
      <c r="M224" s="33"/>
      <c r="N224" s="33"/>
      <c r="O224" s="33"/>
      <c r="P224" s="33"/>
      <c r="Q224" s="33"/>
      <c r="R224" s="33"/>
      <c r="S224" s="33"/>
      <c r="T224" s="33"/>
      <c r="U224" s="33"/>
      <c r="V224" s="33"/>
    </row>
    <row r="225" spans="2:37" ht="12.75" customHeight="1">
      <c r="B225" s="33"/>
      <c r="C225" s="33"/>
      <c r="D225" s="33"/>
      <c r="E225" s="33"/>
      <c r="F225" s="33"/>
      <c r="G225" s="33"/>
      <c r="H225" s="33"/>
      <c r="I225" s="33"/>
      <c r="J225" s="33"/>
      <c r="K225" s="33"/>
      <c r="L225" s="33"/>
      <c r="M225" s="33"/>
      <c r="N225" s="33"/>
      <c r="O225" s="33"/>
      <c r="P225" s="33"/>
      <c r="Q225" s="33"/>
      <c r="R225" s="33"/>
      <c r="S225" s="33"/>
      <c r="T225" s="33"/>
      <c r="U225" s="33"/>
      <c r="V225" s="33"/>
    </row>
    <row r="226" spans="2:37" ht="12.75" customHeight="1">
      <c r="B226" s="33"/>
      <c r="C226" s="33"/>
      <c r="D226" s="33"/>
      <c r="E226" s="33"/>
      <c r="F226" s="33"/>
      <c r="G226" s="33"/>
      <c r="H226" s="33"/>
      <c r="I226" s="33"/>
      <c r="J226" s="33"/>
      <c r="K226" s="33"/>
      <c r="L226" s="33"/>
      <c r="M226" s="33"/>
      <c r="N226" s="33"/>
      <c r="O226" s="33"/>
      <c r="P226" s="33"/>
      <c r="Q226" s="33"/>
      <c r="R226" s="33"/>
      <c r="S226" s="33"/>
      <c r="T226" s="33"/>
      <c r="U226" s="33"/>
      <c r="V226" s="33"/>
    </row>
    <row r="227" spans="2:37" ht="12.75" customHeight="1">
      <c r="B227" s="33"/>
      <c r="C227" s="33"/>
      <c r="D227" s="33"/>
      <c r="E227" s="33"/>
      <c r="F227" s="33"/>
      <c r="G227" s="33"/>
      <c r="H227" s="33"/>
      <c r="I227" s="33"/>
      <c r="J227" s="33"/>
      <c r="K227" s="33"/>
      <c r="L227" s="33"/>
      <c r="M227" s="33"/>
      <c r="N227" s="33"/>
      <c r="O227" s="33"/>
      <c r="P227" s="33"/>
      <c r="Q227" s="33"/>
      <c r="R227" s="33"/>
      <c r="S227" s="33"/>
      <c r="T227" s="33"/>
      <c r="U227" s="33"/>
      <c r="V227" s="33"/>
    </row>
    <row r="228" spans="2:37" ht="12.75" customHeight="1">
      <c r="B228" s="33"/>
      <c r="C228" s="33"/>
      <c r="D228" s="33"/>
      <c r="E228" s="33"/>
      <c r="F228" s="33"/>
      <c r="G228" s="33"/>
      <c r="H228" s="33"/>
      <c r="I228" s="33"/>
      <c r="J228" s="33"/>
      <c r="K228" s="33"/>
      <c r="L228" s="33"/>
      <c r="M228" s="33"/>
      <c r="N228" s="33"/>
      <c r="O228" s="33"/>
      <c r="P228" s="33"/>
      <c r="Q228" s="33"/>
      <c r="R228" s="33"/>
      <c r="S228" s="33"/>
      <c r="T228" s="33"/>
      <c r="U228" s="33"/>
      <c r="V228" s="33"/>
      <c r="AE228" t="s">
        <v>1418</v>
      </c>
      <c r="AF228" t="s">
        <v>1418</v>
      </c>
      <c r="AG228" t="s">
        <v>1418</v>
      </c>
      <c r="AH228" t="s">
        <v>1418</v>
      </c>
      <c r="AI228" t="s">
        <v>1418</v>
      </c>
      <c r="AJ228" t="s">
        <v>1418</v>
      </c>
      <c r="AK228" t="s">
        <v>1418</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9"/>
  <sheetViews>
    <sheetView workbookViewId="0"/>
  </sheetViews>
  <sheetFormatPr baseColWidth="10" defaultColWidth="17.1640625" defaultRowHeight="12.75" customHeight="1" x14ac:dyDescent="0"/>
  <cols>
    <col min="1" max="1" width="4.5" customWidth="1"/>
    <col min="2" max="2" width="23.5" customWidth="1"/>
    <col min="3" max="3" width="6.5" customWidth="1"/>
    <col min="4" max="4" width="4.5" customWidth="1"/>
    <col min="5" max="5" width="26" customWidth="1"/>
    <col min="6" max="6" width="6" customWidth="1"/>
    <col min="7" max="7" width="4.83203125" customWidth="1"/>
    <col min="8" max="8" width="26.6640625" customWidth="1"/>
    <col min="9" max="9" width="6.33203125" customWidth="1"/>
    <col min="10" max="10" width="4.6640625" customWidth="1"/>
    <col min="11" max="11" width="26.6640625" customWidth="1"/>
    <col min="12" max="12" width="6.6640625" customWidth="1"/>
    <col min="13" max="13" width="5.6640625" customWidth="1"/>
    <col min="14" max="14" width="24.5" customWidth="1"/>
    <col min="15" max="15" width="5.33203125" customWidth="1"/>
    <col min="16" max="16" width="3.6640625" customWidth="1"/>
  </cols>
  <sheetData>
    <row r="1" spans="1:18" ht="12.75" customHeight="1">
      <c r="A1" t="s">
        <v>0</v>
      </c>
      <c r="D1" t="s">
        <v>2</v>
      </c>
      <c r="G1" t="s">
        <v>3</v>
      </c>
      <c r="J1" t="s">
        <v>16</v>
      </c>
      <c r="M1" t="s">
        <v>4</v>
      </c>
      <c r="P1" t="s">
        <v>15</v>
      </c>
    </row>
    <row r="2" spans="1:18" ht="12.75" customHeight="1">
      <c r="A2">
        <f>'Draft Board'!B4</f>
        <v>0</v>
      </c>
      <c r="B2" t="e">
        <f>VLOOKUP(A2,QB!$AC:$AD,2,0)</f>
        <v>#N/A</v>
      </c>
      <c r="C2">
        <f>'Draft Board'!F4</f>
        <v>0</v>
      </c>
      <c r="D2">
        <f>'Draft Board'!B9</f>
        <v>0</v>
      </c>
      <c r="E2" t="e">
        <f>VLOOKUP(D2,RB!$Z:$AA,2,0)</f>
        <v>#N/A</v>
      </c>
      <c r="F2">
        <f>'Draft Board'!F9</f>
        <v>0</v>
      </c>
      <c r="G2">
        <f>'Draft Board'!B18</f>
        <v>0</v>
      </c>
      <c r="H2" t="e">
        <f>VLOOKUP(G2,WR!$X:$Y,2,0)</f>
        <v>#N/A</v>
      </c>
      <c r="I2">
        <f>'Draft Board'!F18</f>
        <v>0</v>
      </c>
      <c r="J2">
        <f>'Draft Board'!B27</f>
        <v>0</v>
      </c>
      <c r="K2" t="e">
        <f>VLOOKUP(J2,TE!$T:$U,2,0)</f>
        <v>#N/A</v>
      </c>
      <c r="L2">
        <f>'Draft Board'!F27</f>
        <v>0</v>
      </c>
      <c r="M2">
        <f>'Draft Board'!B31</f>
        <v>0</v>
      </c>
      <c r="N2" t="e">
        <f>VLOOKUP(M2,K!$Q:$R,2,0)</f>
        <v>#N/A</v>
      </c>
      <c r="O2">
        <f>'Draft Board'!F31</f>
        <v>0</v>
      </c>
      <c r="P2">
        <f>'Draft Board'!B34</f>
        <v>0</v>
      </c>
      <c r="Q2" t="e">
        <f>VLOOKUP(P2,DST!$V:$W,2,0)</f>
        <v>#N/A</v>
      </c>
      <c r="R2">
        <f>'Draft Board'!F34</f>
        <v>0</v>
      </c>
    </row>
    <row r="3" spans="1:18" ht="12.75" customHeight="1">
      <c r="A3">
        <f>'Draft Board'!B5</f>
        <v>0</v>
      </c>
      <c r="B3" t="e">
        <f>VLOOKUP(A3,QB!$AC:$AD,2,0)</f>
        <v>#N/A</v>
      </c>
      <c r="C3">
        <f>'Draft Board'!F5</f>
        <v>0</v>
      </c>
      <c r="D3">
        <f>'Draft Board'!B10</f>
        <v>0</v>
      </c>
      <c r="E3" t="e">
        <f>VLOOKUP(D3,RB!$Z:$AA,2,0)</f>
        <v>#N/A</v>
      </c>
      <c r="F3">
        <f>'Draft Board'!F10</f>
        <v>0</v>
      </c>
      <c r="G3">
        <f>'Draft Board'!B19</f>
        <v>0</v>
      </c>
      <c r="H3" t="e">
        <f>VLOOKUP(G3,WR!$X:$Y,2,0)</f>
        <v>#N/A</v>
      </c>
      <c r="I3">
        <f>'Draft Board'!F19</f>
        <v>0</v>
      </c>
      <c r="J3">
        <f>'Draft Board'!B28</f>
        <v>0</v>
      </c>
      <c r="K3" t="e">
        <f>VLOOKUP(J3,TE!$T:$U,2,0)</f>
        <v>#N/A</v>
      </c>
      <c r="L3">
        <f>'Draft Board'!F28</f>
        <v>0</v>
      </c>
      <c r="M3">
        <f>'Draft Board'!B32</f>
        <v>0</v>
      </c>
      <c r="N3" t="e">
        <f>VLOOKUP(M3,K!$Q:$R,2,0)</f>
        <v>#N/A</v>
      </c>
      <c r="O3">
        <f>'Draft Board'!F32</f>
        <v>0</v>
      </c>
      <c r="P3">
        <f>'Draft Board'!B35</f>
        <v>0</v>
      </c>
      <c r="Q3" t="e">
        <f>VLOOKUP(P3,DST!$V:$W,2,0)</f>
        <v>#N/A</v>
      </c>
      <c r="R3">
        <f>'Draft Board'!F35</f>
        <v>0</v>
      </c>
    </row>
    <row r="4" spans="1:18" ht="12.75" customHeight="1">
      <c r="A4">
        <f>'Draft Board'!B6</f>
        <v>0</v>
      </c>
      <c r="B4" t="e">
        <f>VLOOKUP(A4,QB!$AC:$AD,2,0)</f>
        <v>#N/A</v>
      </c>
      <c r="C4">
        <f>'Draft Board'!F6</f>
        <v>0</v>
      </c>
      <c r="D4">
        <f>'Draft Board'!B11</f>
        <v>0</v>
      </c>
      <c r="E4" t="e">
        <f>VLOOKUP(D4,RB!$Z:$AA,2,0)</f>
        <v>#N/A</v>
      </c>
      <c r="F4">
        <f>'Draft Board'!F11</f>
        <v>0</v>
      </c>
      <c r="G4">
        <f>'Draft Board'!B20</f>
        <v>0</v>
      </c>
      <c r="H4" t="e">
        <f>VLOOKUP(G4,WR!$X:$Y,2,0)</f>
        <v>#N/A</v>
      </c>
      <c r="I4">
        <f>'Draft Board'!F20</f>
        <v>0</v>
      </c>
      <c r="J4">
        <f>'Draft Board'!B29</f>
        <v>0</v>
      </c>
      <c r="K4" t="e">
        <f>VLOOKUP(J4,TE!$T:$U,2,0)</f>
        <v>#N/A</v>
      </c>
      <c r="L4">
        <f>'Draft Board'!F29</f>
        <v>0</v>
      </c>
      <c r="M4">
        <f>'Draft Board'!H31</f>
        <v>0</v>
      </c>
      <c r="N4" t="e">
        <f>VLOOKUP(M4,K!$Q:$R,2,0)</f>
        <v>#N/A</v>
      </c>
      <c r="O4">
        <f>'Draft Board'!L31</f>
        <v>0</v>
      </c>
      <c r="P4">
        <f>'Draft Board'!B36</f>
        <v>0</v>
      </c>
      <c r="Q4" t="e">
        <f>VLOOKUP(P4,DST!$V:$W,2,0)</f>
        <v>#N/A</v>
      </c>
      <c r="R4">
        <f>'Draft Board'!F36</f>
        <v>0</v>
      </c>
    </row>
    <row r="5" spans="1:18" ht="12.75" customHeight="1">
      <c r="A5">
        <f>'Draft Board'!B7</f>
        <v>0</v>
      </c>
      <c r="B5" t="e">
        <f>VLOOKUP(A5,QB!$AC:$AD,2,0)</f>
        <v>#N/A</v>
      </c>
      <c r="C5">
        <f>'Draft Board'!F7</f>
        <v>0</v>
      </c>
      <c r="D5">
        <f>'Draft Board'!B12</f>
        <v>0</v>
      </c>
      <c r="E5" t="e">
        <f>VLOOKUP(D5,RB!$Z:$AA,2,0)</f>
        <v>#N/A</v>
      </c>
      <c r="F5">
        <f>'Draft Board'!F12</f>
        <v>0</v>
      </c>
      <c r="G5">
        <f>'Draft Board'!B21</f>
        <v>0</v>
      </c>
      <c r="H5" t="e">
        <f>VLOOKUP(G5,WR!$X:$Y,2,0)</f>
        <v>#N/A</v>
      </c>
      <c r="I5">
        <f>'Draft Board'!F21</f>
        <v>0</v>
      </c>
      <c r="J5">
        <f>'Draft Board'!H27</f>
        <v>0</v>
      </c>
      <c r="K5" t="e">
        <f>VLOOKUP(J5,TE!$T:$U,2,0)</f>
        <v>#N/A</v>
      </c>
      <c r="L5">
        <f>'Draft Board'!L27</f>
        <v>0</v>
      </c>
      <c r="M5">
        <f>'Draft Board'!H32</f>
        <v>0</v>
      </c>
      <c r="N5" t="e">
        <f>VLOOKUP(M5,K!$Q:$R,2,0)</f>
        <v>#N/A</v>
      </c>
      <c r="O5">
        <f>'Draft Board'!L32</f>
        <v>0</v>
      </c>
      <c r="P5">
        <f>'Draft Board'!H34</f>
        <v>0</v>
      </c>
      <c r="Q5" t="e">
        <f>VLOOKUP(P5,DST!$V:$W,2,0)</f>
        <v>#N/A</v>
      </c>
      <c r="R5">
        <f>'Draft Board'!L34</f>
        <v>0</v>
      </c>
    </row>
    <row r="6" spans="1:18" ht="12.75" customHeight="1">
      <c r="A6">
        <f>'Draft Board'!H4</f>
        <v>0</v>
      </c>
      <c r="B6" t="e">
        <f>VLOOKUP(A6,QB!$AC:$AD,2,0)</f>
        <v>#N/A</v>
      </c>
      <c r="C6">
        <f>'Draft Board'!L4</f>
        <v>0</v>
      </c>
      <c r="D6">
        <f>'Draft Board'!B13</f>
        <v>0</v>
      </c>
      <c r="E6" t="e">
        <f>VLOOKUP(D6,RB!$Z:$AA,2,0)</f>
        <v>#N/A</v>
      </c>
      <c r="F6">
        <f>'Draft Board'!F13</f>
        <v>0</v>
      </c>
      <c r="G6">
        <f>'Draft Board'!B22</f>
        <v>0</v>
      </c>
      <c r="H6" t="e">
        <f>VLOOKUP(G6,WR!$X:$Y,2,0)</f>
        <v>#N/A</v>
      </c>
      <c r="I6">
        <f>'Draft Board'!F22</f>
        <v>0</v>
      </c>
      <c r="J6">
        <f>'Draft Board'!H28</f>
        <v>0</v>
      </c>
      <c r="K6" t="e">
        <f>VLOOKUP(J6,TE!$T:$U,2,0)</f>
        <v>#N/A</v>
      </c>
      <c r="L6">
        <f>'Draft Board'!L28</f>
        <v>0</v>
      </c>
      <c r="M6">
        <f>'Draft Board'!N31</f>
        <v>0</v>
      </c>
      <c r="N6" t="e">
        <f>VLOOKUP(M6,K!$Q:$R,2,0)</f>
        <v>#N/A</v>
      </c>
      <c r="O6">
        <f>'Draft Board'!R31</f>
        <v>0</v>
      </c>
      <c r="P6">
        <f>'Draft Board'!H35</f>
        <v>0</v>
      </c>
      <c r="Q6" t="e">
        <f>VLOOKUP(P6,DST!$V:$W,2,0)</f>
        <v>#N/A</v>
      </c>
      <c r="R6">
        <f>'Draft Board'!L35</f>
        <v>0</v>
      </c>
    </row>
    <row r="7" spans="1:18" ht="12.75" customHeight="1">
      <c r="A7">
        <f>'Draft Board'!H5</f>
        <v>0</v>
      </c>
      <c r="B7" t="e">
        <f>VLOOKUP(A7,QB!$AC:$AD,2,0)</f>
        <v>#N/A</v>
      </c>
      <c r="C7">
        <f>'Draft Board'!L5</f>
        <v>0</v>
      </c>
      <c r="D7">
        <f>'Draft Board'!B14</f>
        <v>0</v>
      </c>
      <c r="E7" t="e">
        <f>VLOOKUP(D7,RB!$Z:$AA,2,0)</f>
        <v>#N/A</v>
      </c>
      <c r="F7">
        <f>'Draft Board'!F14</f>
        <v>0</v>
      </c>
      <c r="G7">
        <f>'Draft Board'!B23</f>
        <v>0</v>
      </c>
      <c r="H7" t="e">
        <f>VLOOKUP(G7,WR!$X:$Y,2,0)</f>
        <v>#N/A</v>
      </c>
      <c r="I7">
        <f>'Draft Board'!F23</f>
        <v>0</v>
      </c>
      <c r="J7">
        <f>'Draft Board'!H29</f>
        <v>0</v>
      </c>
      <c r="K7" t="e">
        <f>VLOOKUP(J7,TE!$T:$U,2,0)</f>
        <v>#N/A</v>
      </c>
      <c r="L7">
        <f>'Draft Board'!L29</f>
        <v>0</v>
      </c>
      <c r="M7">
        <f>'Draft Board'!N32</f>
        <v>0</v>
      </c>
      <c r="N7" t="e">
        <f>VLOOKUP(M7,K!$Q:$R,2,0)</f>
        <v>#N/A</v>
      </c>
      <c r="O7">
        <f>'Draft Board'!R32</f>
        <v>0</v>
      </c>
      <c r="P7">
        <f>'Draft Board'!H36</f>
        <v>0</v>
      </c>
      <c r="Q7" t="e">
        <f>VLOOKUP(P7,DST!$V:$W,2,0)</f>
        <v>#N/A</v>
      </c>
      <c r="R7">
        <f>'Draft Board'!L36</f>
        <v>0</v>
      </c>
    </row>
    <row r="8" spans="1:18" ht="12.75" customHeight="1">
      <c r="A8">
        <f>'Draft Board'!H6</f>
        <v>0</v>
      </c>
      <c r="B8" t="e">
        <f>VLOOKUP(A8,QB!$AC:$AD,2,0)</f>
        <v>#N/A</v>
      </c>
      <c r="C8">
        <f>'Draft Board'!L6</f>
        <v>0</v>
      </c>
      <c r="D8">
        <f>'Draft Board'!B15</f>
        <v>0</v>
      </c>
      <c r="E8" t="e">
        <f>VLOOKUP(D8,RB!$Z:$AA,2,0)</f>
        <v>#N/A</v>
      </c>
      <c r="F8">
        <f>'Draft Board'!F15</f>
        <v>0</v>
      </c>
      <c r="G8">
        <f>'Draft Board'!B24</f>
        <v>0</v>
      </c>
      <c r="H8" t="e">
        <f>VLOOKUP(G8,WR!$X:$Y,2,0)</f>
        <v>#N/A</v>
      </c>
      <c r="I8">
        <f>'Draft Board'!F24</f>
        <v>0</v>
      </c>
      <c r="J8">
        <f>'Draft Board'!N27</f>
        <v>0</v>
      </c>
      <c r="K8" t="e">
        <f>VLOOKUP(J8,TE!$T:$U,2,0)</f>
        <v>#N/A</v>
      </c>
      <c r="L8">
        <f>'Draft Board'!R27</f>
        <v>0</v>
      </c>
      <c r="M8">
        <f>'Draft Board'!T31</f>
        <v>0</v>
      </c>
      <c r="N8" t="e">
        <f>VLOOKUP(M8,K!$Q:$R,2,0)</f>
        <v>#N/A</v>
      </c>
      <c r="O8">
        <f>'Draft Board'!X31</f>
        <v>0</v>
      </c>
      <c r="P8">
        <f>'Draft Board'!N34</f>
        <v>0</v>
      </c>
      <c r="Q8" t="e">
        <f>VLOOKUP(P8,DST!$V:$W,2,0)</f>
        <v>#N/A</v>
      </c>
      <c r="R8">
        <f>'Draft Board'!R34</f>
        <v>0</v>
      </c>
    </row>
    <row r="9" spans="1:18" ht="12.75" customHeight="1">
      <c r="A9">
        <f>'Draft Board'!H7</f>
        <v>0</v>
      </c>
      <c r="B9" t="e">
        <f>VLOOKUP(A9,QB!$AC:$AD,2,0)</f>
        <v>#N/A</v>
      </c>
      <c r="C9">
        <f>'Draft Board'!L7</f>
        <v>0</v>
      </c>
      <c r="D9">
        <f>'Draft Board'!B16</f>
        <v>0</v>
      </c>
      <c r="E9" t="e">
        <f>VLOOKUP(D9,RB!$Z:$AA,2,0)</f>
        <v>#N/A</v>
      </c>
      <c r="F9">
        <f>'Draft Board'!F16</f>
        <v>0</v>
      </c>
      <c r="G9">
        <f>'Draft Board'!B25</f>
        <v>0</v>
      </c>
      <c r="H9" t="e">
        <f>VLOOKUP(G9,WR!$X:$Y,2,0)</f>
        <v>#N/A</v>
      </c>
      <c r="I9">
        <f>'Draft Board'!F25</f>
        <v>0</v>
      </c>
      <c r="J9">
        <f>'Draft Board'!N28</f>
        <v>0</v>
      </c>
      <c r="K9" t="e">
        <f>VLOOKUP(J9,TE!$T:$U,2,0)</f>
        <v>#N/A</v>
      </c>
      <c r="L9">
        <f>'Draft Board'!R28</f>
        <v>0</v>
      </c>
      <c r="M9">
        <f>'Draft Board'!T32</f>
        <v>0</v>
      </c>
      <c r="N9" t="e">
        <f>VLOOKUP(M9,K!$Q:$R,2,0)</f>
        <v>#N/A</v>
      </c>
      <c r="O9">
        <f>'Draft Board'!X32</f>
        <v>0</v>
      </c>
      <c r="P9">
        <f>'Draft Board'!N35</f>
        <v>0</v>
      </c>
      <c r="Q9" t="e">
        <f>VLOOKUP(P9,DST!$V:$W,2,0)</f>
        <v>#N/A</v>
      </c>
      <c r="R9">
        <f>'Draft Board'!R35</f>
        <v>0</v>
      </c>
    </row>
    <row r="10" spans="1:18" ht="12.75" customHeight="1">
      <c r="A10">
        <f>'Draft Board'!N4</f>
        <v>0</v>
      </c>
      <c r="B10" t="e">
        <f>VLOOKUP(A10,QB!$AC:$AD,2,0)</f>
        <v>#N/A</v>
      </c>
      <c r="C10">
        <f>'Draft Board'!R4</f>
        <v>0</v>
      </c>
      <c r="D10">
        <f>'Draft Board'!H9</f>
        <v>0</v>
      </c>
      <c r="E10" t="e">
        <f>VLOOKUP(D10,RB!$Z:$AA,2,0)</f>
        <v>#N/A</v>
      </c>
      <c r="F10">
        <f>'Draft Board'!L9</f>
        <v>0</v>
      </c>
      <c r="G10">
        <f>'Draft Board'!H18</f>
        <v>0</v>
      </c>
      <c r="H10" t="e">
        <f>VLOOKUP(G10,WR!$X:$Y,2,0)</f>
        <v>#N/A</v>
      </c>
      <c r="I10">
        <f>'Draft Board'!L18</f>
        <v>0</v>
      </c>
      <c r="J10">
        <f>'Draft Board'!N29</f>
        <v>0</v>
      </c>
      <c r="K10" t="e">
        <f>VLOOKUP(J10,TE!$T:$U,2,0)</f>
        <v>#N/A</v>
      </c>
      <c r="L10">
        <f>'Draft Board'!R29</f>
        <v>0</v>
      </c>
      <c r="M10">
        <f>'Draft Board'!Z31</f>
        <v>0</v>
      </c>
      <c r="N10" t="e">
        <f>VLOOKUP(M10,K!$Q:$R,2,0)</f>
        <v>#N/A</v>
      </c>
      <c r="O10">
        <f>'Draft Board'!AD31</f>
        <v>0</v>
      </c>
      <c r="P10">
        <f>'Draft Board'!N36</f>
        <v>0</v>
      </c>
      <c r="Q10" t="e">
        <f>VLOOKUP(P10,DST!$V:$W,2,0)</f>
        <v>#N/A</v>
      </c>
      <c r="R10">
        <f>'Draft Board'!R36</f>
        <v>0</v>
      </c>
    </row>
    <row r="11" spans="1:18" ht="12.75" customHeight="1">
      <c r="A11">
        <f>'Draft Board'!N5</f>
        <v>0</v>
      </c>
      <c r="B11" t="e">
        <f>VLOOKUP(A11,QB!$AC:$AD,2,0)</f>
        <v>#N/A</v>
      </c>
      <c r="C11">
        <f>'Draft Board'!R5</f>
        <v>0</v>
      </c>
      <c r="D11">
        <f>'Draft Board'!H10</f>
        <v>0</v>
      </c>
      <c r="E11" t="e">
        <f>VLOOKUP(D11,RB!$Z:$AA,2,0)</f>
        <v>#N/A</v>
      </c>
      <c r="F11">
        <f>'Draft Board'!L10</f>
        <v>0</v>
      </c>
      <c r="G11">
        <f>'Draft Board'!H19</f>
        <v>0</v>
      </c>
      <c r="H11" t="e">
        <f>VLOOKUP(G11,WR!$X:$Y,2,0)</f>
        <v>#N/A</v>
      </c>
      <c r="I11">
        <f>'Draft Board'!L19</f>
        <v>0</v>
      </c>
      <c r="J11">
        <f>'Draft Board'!T27</f>
        <v>0</v>
      </c>
      <c r="K11" t="e">
        <f>VLOOKUP(J11,TE!$T:$U,2,0)</f>
        <v>#N/A</v>
      </c>
      <c r="L11">
        <f>'Draft Board'!X27</f>
        <v>0</v>
      </c>
      <c r="M11">
        <f>'Draft Board'!Z32</f>
        <v>0</v>
      </c>
      <c r="N11" t="e">
        <f>VLOOKUP(M11,K!$Q:$R,2,0)</f>
        <v>#N/A</v>
      </c>
      <c r="O11">
        <f>'Draft Board'!AD32</f>
        <v>0</v>
      </c>
      <c r="P11">
        <f>'Draft Board'!T34</f>
        <v>0</v>
      </c>
      <c r="Q11" t="e">
        <f>VLOOKUP(P11,DST!$V:$W,2,0)</f>
        <v>#N/A</v>
      </c>
      <c r="R11">
        <f>'Draft Board'!X34</f>
        <v>0</v>
      </c>
    </row>
    <row r="12" spans="1:18" ht="12.75" customHeight="1">
      <c r="A12">
        <f>'Draft Board'!N6</f>
        <v>0</v>
      </c>
      <c r="B12" t="e">
        <f>VLOOKUP(A12,QB!$AC:$AD,2,0)</f>
        <v>#N/A</v>
      </c>
      <c r="C12">
        <f>'Draft Board'!R6</f>
        <v>0</v>
      </c>
      <c r="D12">
        <f>'Draft Board'!H11</f>
        <v>0</v>
      </c>
      <c r="E12" t="e">
        <f>VLOOKUP(D12,RB!$Z:$AA,2,0)</f>
        <v>#N/A</v>
      </c>
      <c r="F12">
        <f>'Draft Board'!L11</f>
        <v>0</v>
      </c>
      <c r="G12">
        <f>'Draft Board'!H20</f>
        <v>0</v>
      </c>
      <c r="H12" t="e">
        <f>VLOOKUP(G12,WR!$X:$Y,2,0)</f>
        <v>#N/A</v>
      </c>
      <c r="I12">
        <f>'Draft Board'!L20</f>
        <v>0</v>
      </c>
      <c r="J12">
        <f>'Draft Board'!T28</f>
        <v>0</v>
      </c>
      <c r="K12" t="e">
        <f>VLOOKUP(J12,TE!$T:$U,2,0)</f>
        <v>#N/A</v>
      </c>
      <c r="L12">
        <f>'Draft Board'!X28</f>
        <v>0</v>
      </c>
      <c r="M12">
        <f>'Draft Board'!AF31</f>
        <v>0</v>
      </c>
      <c r="N12" t="e">
        <f>VLOOKUP(M12,K!$Q:$R,2,0)</f>
        <v>#N/A</v>
      </c>
      <c r="O12">
        <f>'Draft Board'!AJ31</f>
        <v>0</v>
      </c>
      <c r="P12">
        <f>'Draft Board'!T35</f>
        <v>0</v>
      </c>
      <c r="Q12" t="e">
        <f>VLOOKUP(P12,DST!$V:$W,2,0)</f>
        <v>#N/A</v>
      </c>
      <c r="R12">
        <f>'Draft Board'!X35</f>
        <v>0</v>
      </c>
    </row>
    <row r="13" spans="1:18" ht="12.75" customHeight="1">
      <c r="A13">
        <f>'Draft Board'!N7</f>
        <v>0</v>
      </c>
      <c r="B13" t="e">
        <f>VLOOKUP(A13,QB!$AC:$AD,2,0)</f>
        <v>#N/A</v>
      </c>
      <c r="C13">
        <f>'Draft Board'!R7</f>
        <v>0</v>
      </c>
      <c r="D13">
        <f>'Draft Board'!H12</f>
        <v>0</v>
      </c>
      <c r="E13" t="e">
        <f>VLOOKUP(D13,RB!$Z:$AA,2,0)</f>
        <v>#N/A</v>
      </c>
      <c r="F13">
        <f>'Draft Board'!L12</f>
        <v>0</v>
      </c>
      <c r="G13">
        <f>'Draft Board'!H21</f>
        <v>0</v>
      </c>
      <c r="H13" t="e">
        <f>VLOOKUP(G13,WR!$X:$Y,2,0)</f>
        <v>#N/A</v>
      </c>
      <c r="I13">
        <f>'Draft Board'!L21</f>
        <v>0</v>
      </c>
      <c r="J13">
        <f>'Draft Board'!T29</f>
        <v>0</v>
      </c>
      <c r="K13" t="e">
        <f>VLOOKUP(J13,TE!$T:$U,2,0)</f>
        <v>#N/A</v>
      </c>
      <c r="L13">
        <f>'Draft Board'!X29</f>
        <v>0</v>
      </c>
      <c r="M13">
        <f>'Draft Board'!AF32</f>
        <v>0</v>
      </c>
      <c r="N13" t="e">
        <f>VLOOKUP(M13,K!$Q:$R,2,0)</f>
        <v>#N/A</v>
      </c>
      <c r="O13">
        <f>'Draft Board'!AJ32</f>
        <v>0</v>
      </c>
      <c r="P13">
        <f>'Draft Board'!T36</f>
        <v>0</v>
      </c>
      <c r="Q13" t="e">
        <f>VLOOKUP(P13,DST!$V:$W,2,0)</f>
        <v>#N/A</v>
      </c>
      <c r="R13">
        <f>'Draft Board'!X36</f>
        <v>0</v>
      </c>
    </row>
    <row r="14" spans="1:18" ht="12.75" customHeight="1">
      <c r="A14">
        <f>'Draft Board'!T4</f>
        <v>0</v>
      </c>
      <c r="B14" t="e">
        <f>VLOOKUP(A14,QB!$AC:$AD,2,0)</f>
        <v>#N/A</v>
      </c>
      <c r="C14">
        <f>'Draft Board'!X4</f>
        <v>0</v>
      </c>
      <c r="D14">
        <f>'Draft Board'!H13</f>
        <v>0</v>
      </c>
      <c r="E14" t="e">
        <f>VLOOKUP(D14,RB!$Z:$AA,2,0)</f>
        <v>#N/A</v>
      </c>
      <c r="F14">
        <f>'Draft Board'!L13</f>
        <v>0</v>
      </c>
      <c r="G14">
        <f>'Draft Board'!H22</f>
        <v>0</v>
      </c>
      <c r="H14" t="e">
        <f>VLOOKUP(G14,WR!$X:$Y,2,0)</f>
        <v>#N/A</v>
      </c>
      <c r="I14">
        <f>'Draft Board'!L22</f>
        <v>0</v>
      </c>
      <c r="J14">
        <f>'Draft Board'!Z27</f>
        <v>0</v>
      </c>
      <c r="K14" t="e">
        <f>VLOOKUP(J14,TE!$T:$U,2,0)</f>
        <v>#N/A</v>
      </c>
      <c r="L14">
        <f>'Draft Board'!AD27</f>
        <v>0</v>
      </c>
      <c r="M14">
        <f>'Draft Board'!AL31</f>
        <v>0</v>
      </c>
      <c r="N14" t="e">
        <f>VLOOKUP(M14,K!$Q:$R,2,0)</f>
        <v>#N/A</v>
      </c>
      <c r="O14">
        <f>'Draft Board'!AP31</f>
        <v>0</v>
      </c>
      <c r="P14">
        <f>'Draft Board'!Z34</f>
        <v>0</v>
      </c>
      <c r="Q14" t="e">
        <f>VLOOKUP(P14,DST!$V:$W,2,0)</f>
        <v>#N/A</v>
      </c>
      <c r="R14">
        <f>'Draft Board'!AD34</f>
        <v>0</v>
      </c>
    </row>
    <row r="15" spans="1:18" ht="12.75" customHeight="1">
      <c r="A15">
        <f>'Draft Board'!T5</f>
        <v>0</v>
      </c>
      <c r="B15" t="e">
        <f>VLOOKUP(A15,QB!$AC:$AD,2,0)</f>
        <v>#N/A</v>
      </c>
      <c r="C15">
        <f>'Draft Board'!X5</f>
        <v>0</v>
      </c>
      <c r="D15">
        <f>'Draft Board'!H14</f>
        <v>0</v>
      </c>
      <c r="E15" t="e">
        <f>VLOOKUP(D15,RB!$Z:$AA,2,0)</f>
        <v>#N/A</v>
      </c>
      <c r="F15">
        <f>'Draft Board'!L14</f>
        <v>0</v>
      </c>
      <c r="G15">
        <f>'Draft Board'!H23</f>
        <v>0</v>
      </c>
      <c r="H15" t="e">
        <f>VLOOKUP(G15,WR!$X:$Y,2,0)</f>
        <v>#N/A</v>
      </c>
      <c r="I15">
        <f>'Draft Board'!L23</f>
        <v>0</v>
      </c>
      <c r="J15">
        <f>'Draft Board'!Z28</f>
        <v>0</v>
      </c>
      <c r="K15" t="e">
        <f>VLOOKUP(J15,TE!$T:$U,2,0)</f>
        <v>#N/A</v>
      </c>
      <c r="L15">
        <f>'Draft Board'!AD28</f>
        <v>0</v>
      </c>
      <c r="M15">
        <f>'Draft Board'!AL32</f>
        <v>0</v>
      </c>
      <c r="N15" t="e">
        <f>VLOOKUP(M15,K!$Q:$R,2,0)</f>
        <v>#N/A</v>
      </c>
      <c r="O15">
        <f>'Draft Board'!AP32</f>
        <v>0</v>
      </c>
      <c r="P15">
        <f>'Draft Board'!Z35</f>
        <v>0</v>
      </c>
      <c r="Q15" t="e">
        <f>VLOOKUP(P15,DST!$V:$W,2,0)</f>
        <v>#N/A</v>
      </c>
      <c r="R15">
        <f>'Draft Board'!AD35</f>
        <v>0</v>
      </c>
    </row>
    <row r="16" spans="1:18" ht="12.75" customHeight="1">
      <c r="A16">
        <f>'Draft Board'!T6</f>
        <v>0</v>
      </c>
      <c r="B16" t="e">
        <f>VLOOKUP(A16,QB!$AC:$AD,2,0)</f>
        <v>#N/A</v>
      </c>
      <c r="C16">
        <f>'Draft Board'!X6</f>
        <v>0</v>
      </c>
      <c r="D16">
        <f>'Draft Board'!H15</f>
        <v>0</v>
      </c>
      <c r="E16" t="e">
        <f>VLOOKUP(D16,RB!$Z:$AA,2,0)</f>
        <v>#N/A</v>
      </c>
      <c r="F16">
        <f>'Draft Board'!L15</f>
        <v>0</v>
      </c>
      <c r="G16">
        <f>'Draft Board'!H24</f>
        <v>0</v>
      </c>
      <c r="H16" t="e">
        <f>VLOOKUP(G16,WR!$X:$Y,2,0)</f>
        <v>#N/A</v>
      </c>
      <c r="I16">
        <f>'Draft Board'!L24</f>
        <v>0</v>
      </c>
      <c r="J16">
        <f>'Draft Board'!Z29</f>
        <v>0</v>
      </c>
      <c r="K16" t="e">
        <f>VLOOKUP(J16,TE!$T:$U,2,0)</f>
        <v>#N/A</v>
      </c>
      <c r="L16">
        <f>'Draft Board'!AD29</f>
        <v>0</v>
      </c>
      <c r="M16">
        <f>'Draft Board'!AR31</f>
        <v>0</v>
      </c>
      <c r="N16" t="e">
        <f>VLOOKUP(M16,K!$Q:$R,2,0)</f>
        <v>#N/A</v>
      </c>
      <c r="O16">
        <f>'Draft Board'!AV31</f>
        <v>0</v>
      </c>
      <c r="P16">
        <f>'Draft Board'!Z36</f>
        <v>0</v>
      </c>
      <c r="Q16" t="e">
        <f>VLOOKUP(P16,DST!$V:$W,2,0)</f>
        <v>#N/A</v>
      </c>
      <c r="R16">
        <f>'Draft Board'!AD36</f>
        <v>0</v>
      </c>
    </row>
    <row r="17" spans="1:18" ht="12.75" customHeight="1">
      <c r="A17">
        <f>'Draft Board'!T7</f>
        <v>0</v>
      </c>
      <c r="B17" t="e">
        <f>VLOOKUP(A17,QB!$AC:$AD,2,0)</f>
        <v>#N/A</v>
      </c>
      <c r="C17">
        <f>'Draft Board'!X7</f>
        <v>0</v>
      </c>
      <c r="D17">
        <f>'Draft Board'!H16</f>
        <v>0</v>
      </c>
      <c r="E17" t="e">
        <f>VLOOKUP(D17,RB!$Z:$AA,2,0)</f>
        <v>#N/A</v>
      </c>
      <c r="F17">
        <f>'Draft Board'!L16</f>
        <v>0</v>
      </c>
      <c r="G17">
        <f>'Draft Board'!H25</f>
        <v>0</v>
      </c>
      <c r="H17" t="e">
        <f>VLOOKUP(G17,WR!$X:$Y,2,0)</f>
        <v>#N/A</v>
      </c>
      <c r="I17">
        <f>'Draft Board'!L25</f>
        <v>0</v>
      </c>
      <c r="J17">
        <f>'Draft Board'!AF27</f>
        <v>0</v>
      </c>
      <c r="K17" t="e">
        <f>VLOOKUP(J17,TE!$T:$U,2,0)</f>
        <v>#N/A</v>
      </c>
      <c r="L17">
        <f>'Draft Board'!AJ27</f>
        <v>0</v>
      </c>
      <c r="M17">
        <f>'Draft Board'!AR32</f>
        <v>0</v>
      </c>
      <c r="N17" t="e">
        <f>VLOOKUP(M17,K!$Q:$R,2,0)</f>
        <v>#N/A</v>
      </c>
      <c r="O17">
        <f>'Draft Board'!AV32</f>
        <v>0</v>
      </c>
      <c r="P17">
        <f>'Draft Board'!AF34</f>
        <v>0</v>
      </c>
      <c r="Q17" t="e">
        <f>VLOOKUP(P17,DST!$V:$W,2,0)</f>
        <v>#N/A</v>
      </c>
      <c r="R17">
        <f>'Draft Board'!AJ34</f>
        <v>0</v>
      </c>
    </row>
    <row r="18" spans="1:18" ht="12.75" customHeight="1">
      <c r="A18">
        <f>'Draft Board'!Z4</f>
        <v>0</v>
      </c>
      <c r="B18" t="e">
        <f>VLOOKUP(A18,QB!$AC:$AD,2,0)</f>
        <v>#N/A</v>
      </c>
      <c r="C18">
        <f>'Draft Board'!AD4</f>
        <v>0</v>
      </c>
      <c r="D18">
        <f>'Draft Board'!N9</f>
        <v>0</v>
      </c>
      <c r="E18" t="e">
        <f>VLOOKUP(D18,RB!$Z:$AA,2,0)</f>
        <v>#N/A</v>
      </c>
      <c r="F18">
        <f>'Draft Board'!R9</f>
        <v>0</v>
      </c>
      <c r="G18">
        <f>'Draft Board'!N18</f>
        <v>0</v>
      </c>
      <c r="H18" t="e">
        <f>VLOOKUP(G18,WR!$X:$Y,2,0)</f>
        <v>#N/A</v>
      </c>
      <c r="I18">
        <f>'Draft Board'!R18</f>
        <v>0</v>
      </c>
      <c r="J18">
        <f>'Draft Board'!AF28</f>
        <v>0</v>
      </c>
      <c r="K18" t="e">
        <f>VLOOKUP(J18,TE!$T:$U,2,0)</f>
        <v>#N/A</v>
      </c>
      <c r="L18">
        <f>'Draft Board'!AJ28</f>
        <v>0</v>
      </c>
      <c r="M18">
        <f>'Draft Board'!AX31</f>
        <v>0</v>
      </c>
      <c r="N18" t="e">
        <f>VLOOKUP(M18,K!$Q:$R,2,0)</f>
        <v>#N/A</v>
      </c>
      <c r="O18">
        <f>'Draft Board'!BB31</f>
        <v>0</v>
      </c>
      <c r="P18">
        <f>'Draft Board'!AF35</f>
        <v>0</v>
      </c>
      <c r="Q18" t="e">
        <f>VLOOKUP(P18,DST!$V:$W,2,0)</f>
        <v>#N/A</v>
      </c>
      <c r="R18">
        <f>'Draft Board'!AJ35</f>
        <v>0</v>
      </c>
    </row>
    <row r="19" spans="1:18" ht="12.75" customHeight="1">
      <c r="A19">
        <f>'Draft Board'!Z5</f>
        <v>0</v>
      </c>
      <c r="B19" t="e">
        <f>VLOOKUP(A19,QB!$AC:$AD,2,0)</f>
        <v>#N/A</v>
      </c>
      <c r="C19">
        <f>'Draft Board'!AD5</f>
        <v>0</v>
      </c>
      <c r="D19">
        <f>'Draft Board'!N10</f>
        <v>0</v>
      </c>
      <c r="E19" t="e">
        <f>VLOOKUP(D19,RB!$Z:$AA,2,0)</f>
        <v>#N/A</v>
      </c>
      <c r="F19">
        <f>'Draft Board'!R10</f>
        <v>0</v>
      </c>
      <c r="G19">
        <f>'Draft Board'!N19</f>
        <v>0</v>
      </c>
      <c r="H19" t="e">
        <f>VLOOKUP(G19,WR!$X:$Y,2,0)</f>
        <v>#N/A</v>
      </c>
      <c r="I19">
        <f>'Draft Board'!R19</f>
        <v>0</v>
      </c>
      <c r="J19">
        <f>'Draft Board'!AF29</f>
        <v>0</v>
      </c>
      <c r="K19" t="e">
        <f>VLOOKUP(J19,TE!$T:$U,2,0)</f>
        <v>#N/A</v>
      </c>
      <c r="L19">
        <f>'Draft Board'!AJ29</f>
        <v>0</v>
      </c>
      <c r="M19">
        <f>'Draft Board'!AX32</f>
        <v>0</v>
      </c>
      <c r="N19" t="e">
        <f>VLOOKUP(M19,K!$Q:$R,2,0)</f>
        <v>#N/A</v>
      </c>
      <c r="O19">
        <f>'Draft Board'!BB32</f>
        <v>0</v>
      </c>
      <c r="P19">
        <f>'Draft Board'!AF36</f>
        <v>0</v>
      </c>
      <c r="Q19" t="e">
        <f>VLOOKUP(P19,DST!$V:$W,2,0)</f>
        <v>#N/A</v>
      </c>
      <c r="R19">
        <f>'Draft Board'!AJ36</f>
        <v>0</v>
      </c>
    </row>
    <row r="20" spans="1:18" ht="12.75" customHeight="1">
      <c r="A20">
        <f>'Draft Board'!Z6</f>
        <v>0</v>
      </c>
      <c r="B20" t="e">
        <f>VLOOKUP(A20,QB!$AC:$AD,2,0)</f>
        <v>#N/A</v>
      </c>
      <c r="C20">
        <f>'Draft Board'!AD6</f>
        <v>0</v>
      </c>
      <c r="D20">
        <f>'Draft Board'!N11</f>
        <v>0</v>
      </c>
      <c r="E20" t="e">
        <f>VLOOKUP(D20,RB!$Z:$AA,2,0)</f>
        <v>#N/A</v>
      </c>
      <c r="F20">
        <f>'Draft Board'!R11</f>
        <v>0</v>
      </c>
      <c r="G20">
        <f>'Draft Board'!N20</f>
        <v>0</v>
      </c>
      <c r="H20" t="e">
        <f>VLOOKUP(G20,WR!$X:$Y,2,0)</f>
        <v>#N/A</v>
      </c>
      <c r="I20">
        <f>'Draft Board'!R20</f>
        <v>0</v>
      </c>
      <c r="J20">
        <f>'Draft Board'!AL27</f>
        <v>0</v>
      </c>
      <c r="K20" t="e">
        <f>VLOOKUP(J20,TE!$T:$U,2,0)</f>
        <v>#N/A</v>
      </c>
      <c r="L20">
        <f>'Draft Board'!AP27</f>
        <v>0</v>
      </c>
      <c r="M20">
        <f>'Draft Board'!BD31</f>
        <v>0</v>
      </c>
      <c r="N20" t="e">
        <f>VLOOKUP(M20,K!$Q:$R,2,0)</f>
        <v>#N/A</v>
      </c>
      <c r="O20">
        <f>'Draft Board'!BH31</f>
        <v>0</v>
      </c>
      <c r="P20">
        <f>'Draft Board'!AL34</f>
        <v>0</v>
      </c>
      <c r="Q20" t="e">
        <f>VLOOKUP(P20,DST!$V:$W,2,0)</f>
        <v>#N/A</v>
      </c>
      <c r="R20">
        <f>'Draft Board'!AP34</f>
        <v>0</v>
      </c>
    </row>
    <row r="21" spans="1:18" ht="12.75" customHeight="1">
      <c r="A21">
        <f>'Draft Board'!Z7</f>
        <v>0</v>
      </c>
      <c r="B21" t="e">
        <f>VLOOKUP(A21,QB!$AC:$AD,2,0)</f>
        <v>#N/A</v>
      </c>
      <c r="C21">
        <f>'Draft Board'!AD7</f>
        <v>0</v>
      </c>
      <c r="D21">
        <f>'Draft Board'!N12</f>
        <v>0</v>
      </c>
      <c r="E21" t="e">
        <f>VLOOKUP(D21,RB!$Z:$AA,2,0)</f>
        <v>#N/A</v>
      </c>
      <c r="F21">
        <f>'Draft Board'!R12</f>
        <v>0</v>
      </c>
      <c r="G21">
        <f>'Draft Board'!N21</f>
        <v>0</v>
      </c>
      <c r="H21" t="e">
        <f>VLOOKUP(G21,WR!$X:$Y,2,0)</f>
        <v>#N/A</v>
      </c>
      <c r="I21">
        <f>'Draft Board'!R21</f>
        <v>0</v>
      </c>
      <c r="J21">
        <f>'Draft Board'!AL28</f>
        <v>0</v>
      </c>
      <c r="K21" t="e">
        <f>VLOOKUP(J21,TE!$T:$U,2,0)</f>
        <v>#N/A</v>
      </c>
      <c r="L21">
        <f>'Draft Board'!AP28</f>
        <v>0</v>
      </c>
      <c r="M21">
        <f>'Draft Board'!BD32</f>
        <v>0</v>
      </c>
      <c r="N21" t="e">
        <f>VLOOKUP(M21,K!$Q:$R,2,0)</f>
        <v>#N/A</v>
      </c>
      <c r="O21">
        <f>'Draft Board'!BH32</f>
        <v>0</v>
      </c>
      <c r="P21">
        <f>'Draft Board'!AL35</f>
        <v>0</v>
      </c>
      <c r="Q21" t="e">
        <f>VLOOKUP(P21,DST!$V:$W,2,0)</f>
        <v>#N/A</v>
      </c>
      <c r="R21">
        <f>'Draft Board'!AP35</f>
        <v>0</v>
      </c>
    </row>
    <row r="22" spans="1:18" ht="12.75" customHeight="1">
      <c r="A22">
        <f>'Draft Board'!AF4</f>
        <v>0</v>
      </c>
      <c r="B22" t="e">
        <f>VLOOKUP(A22,QB!$AC:$AD,2,0)</f>
        <v>#N/A</v>
      </c>
      <c r="C22">
        <f>'Draft Board'!AJ4</f>
        <v>0</v>
      </c>
      <c r="D22">
        <f>'Draft Board'!N13</f>
        <v>0</v>
      </c>
      <c r="E22" t="e">
        <f>VLOOKUP(D22,RB!$Z:$AA,2,0)</f>
        <v>#N/A</v>
      </c>
      <c r="F22">
        <f>'Draft Board'!R13</f>
        <v>0</v>
      </c>
      <c r="G22">
        <f>'Draft Board'!N22</f>
        <v>0</v>
      </c>
      <c r="H22" t="e">
        <f>VLOOKUP(G22,WR!$X:$Y,2,0)</f>
        <v>#N/A</v>
      </c>
      <c r="I22">
        <f>'Draft Board'!R22</f>
        <v>0</v>
      </c>
      <c r="J22">
        <f>'Draft Board'!AL29</f>
        <v>0</v>
      </c>
      <c r="K22" t="e">
        <f>VLOOKUP(J22,TE!$T:$U,2,0)</f>
        <v>#N/A</v>
      </c>
      <c r="L22">
        <f>'Draft Board'!AP29</f>
        <v>0</v>
      </c>
      <c r="M22">
        <f>'Draft Board'!BJ31</f>
        <v>0</v>
      </c>
      <c r="N22" t="e">
        <f>VLOOKUP(M22,K!$Q:$R,2,0)</f>
        <v>#N/A</v>
      </c>
      <c r="O22">
        <f>'Draft Board'!BN31</f>
        <v>0</v>
      </c>
      <c r="P22">
        <f>'Draft Board'!AL36</f>
        <v>0</v>
      </c>
      <c r="Q22" t="e">
        <f>VLOOKUP(P22,DST!$V:$W,2,0)</f>
        <v>#N/A</v>
      </c>
      <c r="R22">
        <f>'Draft Board'!AP36</f>
        <v>0</v>
      </c>
    </row>
    <row r="23" spans="1:18" ht="12.75" customHeight="1">
      <c r="A23">
        <f>'Draft Board'!AF5</f>
        <v>0</v>
      </c>
      <c r="B23" t="e">
        <f>VLOOKUP(A23,QB!$AC:$AD,2,0)</f>
        <v>#N/A</v>
      </c>
      <c r="C23">
        <f>'Draft Board'!AJ5</f>
        <v>0</v>
      </c>
      <c r="D23">
        <f>'Draft Board'!N14</f>
        <v>0</v>
      </c>
      <c r="E23" t="e">
        <f>VLOOKUP(D23,RB!$Z:$AA,2,0)</f>
        <v>#N/A</v>
      </c>
      <c r="F23">
        <f>'Draft Board'!R14</f>
        <v>0</v>
      </c>
      <c r="G23">
        <f>'Draft Board'!N23</f>
        <v>0</v>
      </c>
      <c r="H23" t="e">
        <f>VLOOKUP(G23,WR!$X:$Y,2,0)</f>
        <v>#N/A</v>
      </c>
      <c r="I23">
        <f>'Draft Board'!R23</f>
        <v>0</v>
      </c>
      <c r="J23">
        <f>'Draft Board'!AR27</f>
        <v>0</v>
      </c>
      <c r="K23" t="e">
        <f>VLOOKUP(J23,TE!$T:$U,2,0)</f>
        <v>#N/A</v>
      </c>
      <c r="L23">
        <f>'Draft Board'!AV27</f>
        <v>0</v>
      </c>
      <c r="M23">
        <f>'Draft Board'!BJ32</f>
        <v>0</v>
      </c>
      <c r="N23" t="e">
        <f>VLOOKUP(M23,K!$Q:$R,2,0)</f>
        <v>#N/A</v>
      </c>
      <c r="O23">
        <f>'Draft Board'!BN32</f>
        <v>0</v>
      </c>
      <c r="P23">
        <f>'Draft Board'!AR34</f>
        <v>0</v>
      </c>
      <c r="Q23" t="e">
        <f>VLOOKUP(P23,DST!$V:$W,2,0)</f>
        <v>#N/A</v>
      </c>
      <c r="R23">
        <f>'Draft Board'!AV34</f>
        <v>0</v>
      </c>
    </row>
    <row r="24" spans="1:18" ht="12.75" customHeight="1">
      <c r="A24">
        <f>'Draft Board'!AF6</f>
        <v>0</v>
      </c>
      <c r="B24" t="e">
        <f>VLOOKUP(A24,QB!$AC:$AD,2,0)</f>
        <v>#N/A</v>
      </c>
      <c r="C24">
        <f>'Draft Board'!AJ6</f>
        <v>0</v>
      </c>
      <c r="D24">
        <f>'Draft Board'!N15</f>
        <v>0</v>
      </c>
      <c r="E24" t="e">
        <f>VLOOKUP(D24,RB!$Z:$AA,2,0)</f>
        <v>#N/A</v>
      </c>
      <c r="F24">
        <f>'Draft Board'!R15</f>
        <v>0</v>
      </c>
      <c r="G24">
        <f>'Draft Board'!N24</f>
        <v>0</v>
      </c>
      <c r="H24" t="e">
        <f>VLOOKUP(G24,WR!$X:$Y,2,0)</f>
        <v>#N/A</v>
      </c>
      <c r="I24">
        <f>'Draft Board'!R24</f>
        <v>0</v>
      </c>
      <c r="J24">
        <f>'Draft Board'!AR28</f>
        <v>0</v>
      </c>
      <c r="K24" t="e">
        <f>VLOOKUP(J24,TE!$T:$U,2,0)</f>
        <v>#N/A</v>
      </c>
      <c r="L24">
        <f>'Draft Board'!AV28</f>
        <v>0</v>
      </c>
      <c r="P24">
        <f>'Draft Board'!AR35</f>
        <v>0</v>
      </c>
      <c r="Q24" t="e">
        <f>VLOOKUP(P24,DST!$V:$W,2,0)</f>
        <v>#N/A</v>
      </c>
      <c r="R24">
        <f>'Draft Board'!AV35</f>
        <v>0</v>
      </c>
    </row>
    <row r="25" spans="1:18" ht="12.75" customHeight="1">
      <c r="A25">
        <f>'Draft Board'!AF7</f>
        <v>0</v>
      </c>
      <c r="B25" t="e">
        <f>VLOOKUP(A25,QB!$AC:$AD,2,0)</f>
        <v>#N/A</v>
      </c>
      <c r="C25">
        <f>'Draft Board'!AJ7</f>
        <v>0</v>
      </c>
      <c r="D25">
        <f>'Draft Board'!N16</f>
        <v>0</v>
      </c>
      <c r="E25" t="e">
        <f>VLOOKUP(D25,RB!$Z:$AA,2,0)</f>
        <v>#N/A</v>
      </c>
      <c r="F25">
        <f>'Draft Board'!R16</f>
        <v>0</v>
      </c>
      <c r="G25">
        <f>'Draft Board'!N25</f>
        <v>0</v>
      </c>
      <c r="H25" t="e">
        <f>VLOOKUP(G25,WR!$X:$Y,2,0)</f>
        <v>#N/A</v>
      </c>
      <c r="I25">
        <f>'Draft Board'!R25</f>
        <v>0</v>
      </c>
      <c r="J25">
        <f>'Draft Board'!AR29</f>
        <v>0</v>
      </c>
      <c r="K25" t="e">
        <f>VLOOKUP(J25,TE!$T:$U,2,0)</f>
        <v>#N/A</v>
      </c>
      <c r="L25">
        <f>'Draft Board'!AV29</f>
        <v>0</v>
      </c>
      <c r="P25">
        <f>'Draft Board'!AR36</f>
        <v>0</v>
      </c>
      <c r="Q25" t="e">
        <f>VLOOKUP(P25,DST!$V:$W,2,0)</f>
        <v>#N/A</v>
      </c>
      <c r="R25">
        <f>'Draft Board'!AV36</f>
        <v>0</v>
      </c>
    </row>
    <row r="26" spans="1:18" ht="12.75" customHeight="1">
      <c r="A26">
        <f>'Draft Board'!AL4</f>
        <v>0</v>
      </c>
      <c r="B26" t="e">
        <f>VLOOKUP(A26,QB!$AC:$AD,2,0)</f>
        <v>#N/A</v>
      </c>
      <c r="C26">
        <f>'Draft Board'!AP4</f>
        <v>0</v>
      </c>
      <c r="D26">
        <f>'Draft Board'!T9</f>
        <v>0</v>
      </c>
      <c r="E26" t="e">
        <f>VLOOKUP(D26,RB!$Z:$AA,2,0)</f>
        <v>#N/A</v>
      </c>
      <c r="F26">
        <f>'Draft Board'!X9</f>
        <v>0</v>
      </c>
      <c r="G26">
        <f>'Draft Board'!T18</f>
        <v>0</v>
      </c>
      <c r="H26" t="e">
        <f>VLOOKUP(G26,WR!$X:$Y,2,0)</f>
        <v>#N/A</v>
      </c>
      <c r="I26">
        <f>'Draft Board'!X18</f>
        <v>0</v>
      </c>
      <c r="J26">
        <f>'Draft Board'!AX27</f>
        <v>0</v>
      </c>
      <c r="K26" t="e">
        <f>VLOOKUP(J26,TE!$T:$U,2,0)</f>
        <v>#N/A</v>
      </c>
      <c r="L26">
        <f>'Draft Board'!BB27</f>
        <v>0</v>
      </c>
      <c r="P26">
        <f>'Draft Board'!AX34</f>
        <v>0</v>
      </c>
      <c r="Q26" t="e">
        <f>VLOOKUP(P26,DST!$V:$W,2,0)</f>
        <v>#N/A</v>
      </c>
      <c r="R26">
        <f>'Draft Board'!BB34</f>
        <v>0</v>
      </c>
    </row>
    <row r="27" spans="1:18" ht="12.75" customHeight="1">
      <c r="A27">
        <f>'Draft Board'!AL5</f>
        <v>0</v>
      </c>
      <c r="B27" t="e">
        <f>VLOOKUP(A27,QB!$AC:$AD,2,0)</f>
        <v>#N/A</v>
      </c>
      <c r="C27">
        <f>'Draft Board'!AP5</f>
        <v>0</v>
      </c>
      <c r="D27">
        <f>'Draft Board'!T10</f>
        <v>0</v>
      </c>
      <c r="E27" t="e">
        <f>VLOOKUP(D27,RB!$Z:$AA,2,0)</f>
        <v>#N/A</v>
      </c>
      <c r="F27">
        <f>'Draft Board'!X10</f>
        <v>0</v>
      </c>
      <c r="G27">
        <f>'Draft Board'!T19</f>
        <v>0</v>
      </c>
      <c r="H27" t="e">
        <f>VLOOKUP(G27,WR!$X:$Y,2,0)</f>
        <v>#N/A</v>
      </c>
      <c r="I27">
        <f>'Draft Board'!X19</f>
        <v>0</v>
      </c>
      <c r="J27">
        <f>'Draft Board'!AX28</f>
        <v>0</v>
      </c>
      <c r="K27" t="e">
        <f>VLOOKUP(J27,TE!$T:$U,2,0)</f>
        <v>#N/A</v>
      </c>
      <c r="L27">
        <f>'Draft Board'!BB28</f>
        <v>0</v>
      </c>
      <c r="P27">
        <f>'Draft Board'!AX35</f>
        <v>0</v>
      </c>
      <c r="Q27" t="e">
        <f>VLOOKUP(P27,DST!$V:$W,2,0)</f>
        <v>#N/A</v>
      </c>
      <c r="R27">
        <f>'Draft Board'!BB35</f>
        <v>0</v>
      </c>
    </row>
    <row r="28" spans="1:18" ht="12.75" customHeight="1">
      <c r="A28">
        <f>'Draft Board'!AL6</f>
        <v>0</v>
      </c>
      <c r="B28" t="e">
        <f>VLOOKUP(A28,QB!$AC:$AD,2,0)</f>
        <v>#N/A</v>
      </c>
      <c r="C28">
        <f>'Draft Board'!AP6</f>
        <v>0</v>
      </c>
      <c r="D28">
        <f>'Draft Board'!T11</f>
        <v>0</v>
      </c>
      <c r="E28" t="e">
        <f>VLOOKUP(D28,RB!$Z:$AA,2,0)</f>
        <v>#N/A</v>
      </c>
      <c r="F28">
        <f>'Draft Board'!X11</f>
        <v>0</v>
      </c>
      <c r="G28">
        <f>'Draft Board'!T20</f>
        <v>0</v>
      </c>
      <c r="H28" t="e">
        <f>VLOOKUP(G28,WR!$X:$Y,2,0)</f>
        <v>#N/A</v>
      </c>
      <c r="I28">
        <f>'Draft Board'!X20</f>
        <v>0</v>
      </c>
      <c r="J28">
        <f>'Draft Board'!AX29</f>
        <v>0</v>
      </c>
      <c r="K28" t="e">
        <f>VLOOKUP(J28,TE!$T:$U,2,0)</f>
        <v>#N/A</v>
      </c>
      <c r="L28">
        <f>'Draft Board'!BB29</f>
        <v>0</v>
      </c>
      <c r="P28">
        <f>'Draft Board'!AX36</f>
        <v>0</v>
      </c>
      <c r="Q28" t="e">
        <f>VLOOKUP(P28,DST!$V:$W,2,0)</f>
        <v>#N/A</v>
      </c>
      <c r="R28">
        <f>'Draft Board'!BB36</f>
        <v>0</v>
      </c>
    </row>
    <row r="29" spans="1:18" ht="12.75" customHeight="1">
      <c r="A29">
        <f>'Draft Board'!AL7</f>
        <v>0</v>
      </c>
      <c r="B29" t="e">
        <f>VLOOKUP(A29,QB!$AC:$AD,2,0)</f>
        <v>#N/A</v>
      </c>
      <c r="C29">
        <f>'Draft Board'!AP7</f>
        <v>0</v>
      </c>
      <c r="D29">
        <f>'Draft Board'!T12</f>
        <v>0</v>
      </c>
      <c r="E29" t="e">
        <f>VLOOKUP(D29,RB!$Z:$AA,2,0)</f>
        <v>#N/A</v>
      </c>
      <c r="F29">
        <f>'Draft Board'!X12</f>
        <v>0</v>
      </c>
      <c r="G29">
        <f>'Draft Board'!T21</f>
        <v>0</v>
      </c>
      <c r="H29" t="e">
        <f>VLOOKUP(G29,WR!$X:$Y,2,0)</f>
        <v>#N/A</v>
      </c>
      <c r="I29">
        <f>'Draft Board'!X21</f>
        <v>0</v>
      </c>
      <c r="J29">
        <f>'Draft Board'!BD27</f>
        <v>0</v>
      </c>
      <c r="K29" t="e">
        <f>VLOOKUP(J29,TE!$T:$U,2,0)</f>
        <v>#N/A</v>
      </c>
      <c r="L29">
        <f>'Draft Board'!BH27</f>
        <v>0</v>
      </c>
      <c r="P29">
        <f>'Draft Board'!BD34</f>
        <v>0</v>
      </c>
      <c r="Q29" t="e">
        <f>VLOOKUP(P29,DST!$V:$W,2,0)</f>
        <v>#N/A</v>
      </c>
      <c r="R29">
        <f>'Draft Board'!BH34</f>
        <v>0</v>
      </c>
    </row>
    <row r="30" spans="1:18" ht="12.75" customHeight="1">
      <c r="A30">
        <f>'Draft Board'!AR4</f>
        <v>0</v>
      </c>
      <c r="B30" t="e">
        <f>VLOOKUP(A30,QB!$AC:$AD,2,0)</f>
        <v>#N/A</v>
      </c>
      <c r="C30">
        <f>'Draft Board'!AV4</f>
        <v>0</v>
      </c>
      <c r="D30">
        <f>'Draft Board'!T13</f>
        <v>0</v>
      </c>
      <c r="E30" t="e">
        <f>VLOOKUP(D30,RB!$Z:$AA,2,0)</f>
        <v>#N/A</v>
      </c>
      <c r="F30">
        <f>'Draft Board'!X13</f>
        <v>0</v>
      </c>
      <c r="G30">
        <f>'Draft Board'!T22</f>
        <v>0</v>
      </c>
      <c r="H30" t="e">
        <f>VLOOKUP(G30,WR!$X:$Y,2,0)</f>
        <v>#N/A</v>
      </c>
      <c r="I30">
        <f>'Draft Board'!X22</f>
        <v>0</v>
      </c>
      <c r="J30">
        <f>'Draft Board'!BD28</f>
        <v>0</v>
      </c>
      <c r="K30" t="e">
        <f>VLOOKUP(J30,TE!$T:$U,2,0)</f>
        <v>#N/A</v>
      </c>
      <c r="L30">
        <f>'Draft Board'!BH28</f>
        <v>0</v>
      </c>
      <c r="P30">
        <f>'Draft Board'!BD35</f>
        <v>0</v>
      </c>
      <c r="Q30" t="e">
        <f>VLOOKUP(P30,DST!$V:$W,2,0)</f>
        <v>#N/A</v>
      </c>
      <c r="R30">
        <f>'Draft Board'!BH35</f>
        <v>0</v>
      </c>
    </row>
    <row r="31" spans="1:18" ht="12.75" customHeight="1">
      <c r="A31">
        <f>'Draft Board'!AR5</f>
        <v>0</v>
      </c>
      <c r="B31" t="e">
        <f>VLOOKUP(A31,QB!$AC:$AD,2,0)</f>
        <v>#N/A</v>
      </c>
      <c r="C31">
        <f>'Draft Board'!AV5</f>
        <v>0</v>
      </c>
      <c r="D31">
        <f>'Draft Board'!T14</f>
        <v>0</v>
      </c>
      <c r="E31" t="e">
        <f>VLOOKUP(D31,RB!$Z:$AA,2,0)</f>
        <v>#N/A</v>
      </c>
      <c r="F31">
        <f>'Draft Board'!X14</f>
        <v>0</v>
      </c>
      <c r="G31">
        <f>'Draft Board'!T23</f>
        <v>0</v>
      </c>
      <c r="H31" t="e">
        <f>VLOOKUP(G31,WR!$X:$Y,2,0)</f>
        <v>#N/A</v>
      </c>
      <c r="I31">
        <f>'Draft Board'!X23</f>
        <v>0</v>
      </c>
      <c r="J31">
        <f>'Draft Board'!BD29</f>
        <v>0</v>
      </c>
      <c r="K31" t="e">
        <f>VLOOKUP(J31,TE!$T:$U,2,0)</f>
        <v>#N/A</v>
      </c>
      <c r="L31">
        <f>'Draft Board'!BH29</f>
        <v>0</v>
      </c>
      <c r="P31">
        <f>'Draft Board'!BD36</f>
        <v>0</v>
      </c>
      <c r="Q31" t="e">
        <f>VLOOKUP(P31,DST!$V:$W,2,0)</f>
        <v>#N/A</v>
      </c>
      <c r="R31">
        <f>'Draft Board'!BH36</f>
        <v>0</v>
      </c>
    </row>
    <row r="32" spans="1:18" ht="12.75" customHeight="1">
      <c r="A32">
        <f>'Draft Board'!AR6</f>
        <v>0</v>
      </c>
      <c r="B32" t="e">
        <f>VLOOKUP(A32,QB!$AC:$AD,2,0)</f>
        <v>#N/A</v>
      </c>
      <c r="C32">
        <f>'Draft Board'!AV6</f>
        <v>0</v>
      </c>
      <c r="D32">
        <f>'Draft Board'!T15</f>
        <v>0</v>
      </c>
      <c r="E32" t="e">
        <f>VLOOKUP(D32,RB!$Z:$AA,2,0)</f>
        <v>#N/A</v>
      </c>
      <c r="F32">
        <f>'Draft Board'!X15</f>
        <v>0</v>
      </c>
      <c r="G32">
        <f>'Draft Board'!T24</f>
        <v>0</v>
      </c>
      <c r="H32" t="e">
        <f>VLOOKUP(G32,WR!$X:$Y,2,0)</f>
        <v>#N/A</v>
      </c>
      <c r="I32">
        <f>'Draft Board'!X24</f>
        <v>0</v>
      </c>
      <c r="J32">
        <f>'Draft Board'!BJ27</f>
        <v>0</v>
      </c>
      <c r="K32" t="e">
        <f>VLOOKUP(J32,TE!$T:$U,2,0)</f>
        <v>#N/A</v>
      </c>
      <c r="L32">
        <f>'Draft Board'!BN27</f>
        <v>0</v>
      </c>
      <c r="P32">
        <f>'Draft Board'!BJ34</f>
        <v>0</v>
      </c>
      <c r="Q32" t="e">
        <f>VLOOKUP(P32,DST!$V:$W,2,0)</f>
        <v>#N/A</v>
      </c>
      <c r="R32">
        <f>'Draft Board'!BN34</f>
        <v>0</v>
      </c>
    </row>
    <row r="33" spans="1:18" ht="12.75" customHeight="1">
      <c r="A33">
        <f>'Draft Board'!AR7</f>
        <v>0</v>
      </c>
      <c r="B33" t="e">
        <f>VLOOKUP(A33,QB!$AC:$AD,2,0)</f>
        <v>#N/A</v>
      </c>
      <c r="C33">
        <f>'Draft Board'!AV7</f>
        <v>0</v>
      </c>
      <c r="D33">
        <f>'Draft Board'!T16</f>
        <v>0</v>
      </c>
      <c r="E33" t="e">
        <f>VLOOKUP(D33,RB!$Z:$AA,2,0)</f>
        <v>#N/A</v>
      </c>
      <c r="F33">
        <f>'Draft Board'!X16</f>
        <v>0</v>
      </c>
      <c r="G33">
        <f>'Draft Board'!T25</f>
        <v>0</v>
      </c>
      <c r="H33" t="e">
        <f>VLOOKUP(G33,WR!$X:$Y,2,0)</f>
        <v>#N/A</v>
      </c>
      <c r="I33">
        <f>'Draft Board'!X25</f>
        <v>0</v>
      </c>
      <c r="J33">
        <f>'Draft Board'!BJ28</f>
        <v>0</v>
      </c>
      <c r="K33" t="e">
        <f>VLOOKUP(J33,TE!$T:$U,2,0)</f>
        <v>#N/A</v>
      </c>
      <c r="L33">
        <f>'Draft Board'!BN28</f>
        <v>0</v>
      </c>
      <c r="P33">
        <f>'Draft Board'!BJ35</f>
        <v>0</v>
      </c>
      <c r="Q33" t="e">
        <f>VLOOKUP(P33,DST!$V:$W,2,0)</f>
        <v>#N/A</v>
      </c>
      <c r="R33">
        <f>'Draft Board'!BN35</f>
        <v>0</v>
      </c>
    </row>
    <row r="34" spans="1:18" ht="12.75" customHeight="1">
      <c r="A34">
        <f>'Draft Board'!AX4</f>
        <v>0</v>
      </c>
      <c r="B34" t="e">
        <f>VLOOKUP(A34,QB!$AC:$AD,2,0)</f>
        <v>#N/A</v>
      </c>
      <c r="C34">
        <f>'Draft Board'!BB4</f>
        <v>0</v>
      </c>
      <c r="D34">
        <f>'Draft Board'!Z9</f>
        <v>0</v>
      </c>
      <c r="E34" t="e">
        <f>VLOOKUP(D34,RB!$Z:$AA,2,0)</f>
        <v>#N/A</v>
      </c>
      <c r="F34">
        <f>'Draft Board'!AD9</f>
        <v>0</v>
      </c>
      <c r="G34">
        <f>'Draft Board'!Z18</f>
        <v>0</v>
      </c>
      <c r="H34" t="e">
        <f>VLOOKUP(G34,WR!$X:$Y,2,0)</f>
        <v>#N/A</v>
      </c>
      <c r="I34">
        <f>'Draft Board'!AD18</f>
        <v>0</v>
      </c>
      <c r="J34">
        <f>'Draft Board'!BJ29</f>
        <v>0</v>
      </c>
      <c r="K34" t="e">
        <f>VLOOKUP(J34,TE!$T:$U,2,0)</f>
        <v>#N/A</v>
      </c>
      <c r="L34">
        <f>'Draft Board'!BN29</f>
        <v>0</v>
      </c>
      <c r="P34">
        <f>'Draft Board'!BJ36</f>
        <v>0</v>
      </c>
      <c r="Q34" t="e">
        <f>VLOOKUP(P34,DST!$V:$W,2,0)</f>
        <v>#N/A</v>
      </c>
      <c r="R34">
        <f>'Draft Board'!BN36</f>
        <v>0</v>
      </c>
    </row>
    <row r="35" spans="1:18" ht="12.75" customHeight="1">
      <c r="A35">
        <f>'Draft Board'!AX5</f>
        <v>0</v>
      </c>
      <c r="B35" t="e">
        <f>VLOOKUP(A35,QB!$AC:$AD,2,0)</f>
        <v>#N/A</v>
      </c>
      <c r="C35">
        <f>'Draft Board'!BB5</f>
        <v>0</v>
      </c>
      <c r="D35">
        <f>'Draft Board'!Z10</f>
        <v>0</v>
      </c>
      <c r="E35" t="e">
        <f>VLOOKUP(D35,RB!$Z:$AA,2,0)</f>
        <v>#N/A</v>
      </c>
      <c r="F35">
        <f>'Draft Board'!AD10</f>
        <v>0</v>
      </c>
      <c r="G35">
        <f>'Draft Board'!Z19</f>
        <v>0</v>
      </c>
      <c r="H35" t="e">
        <f>VLOOKUP(G35,WR!$X:$Y,2,0)</f>
        <v>#N/A</v>
      </c>
      <c r="I35">
        <f>'Draft Board'!AD19</f>
        <v>0</v>
      </c>
    </row>
    <row r="36" spans="1:18" ht="12.75" customHeight="1">
      <c r="A36">
        <f>'Draft Board'!AX6</f>
        <v>0</v>
      </c>
      <c r="B36" t="e">
        <f>VLOOKUP(A36,QB!$AC:$AD,2,0)</f>
        <v>#N/A</v>
      </c>
      <c r="C36">
        <f>'Draft Board'!BB6</f>
        <v>0</v>
      </c>
      <c r="D36">
        <f>'Draft Board'!Z11</f>
        <v>0</v>
      </c>
      <c r="E36" t="e">
        <f>VLOOKUP(D36,RB!$Z:$AA,2,0)</f>
        <v>#N/A</v>
      </c>
      <c r="F36">
        <f>'Draft Board'!AD11</f>
        <v>0</v>
      </c>
      <c r="G36">
        <f>'Draft Board'!Z20</f>
        <v>0</v>
      </c>
      <c r="H36" t="e">
        <f>VLOOKUP(G36,WR!$X:$Y,2,0)</f>
        <v>#N/A</v>
      </c>
      <c r="I36">
        <f>'Draft Board'!AD20</f>
        <v>0</v>
      </c>
    </row>
    <row r="37" spans="1:18" ht="12.75" customHeight="1">
      <c r="A37">
        <f>'Draft Board'!AX7</f>
        <v>0</v>
      </c>
      <c r="B37" t="e">
        <f>VLOOKUP(A37,QB!$AC:$AD,2,0)</f>
        <v>#N/A</v>
      </c>
      <c r="C37">
        <f>'Draft Board'!BB7</f>
        <v>0</v>
      </c>
      <c r="D37">
        <f>'Draft Board'!Z12</f>
        <v>0</v>
      </c>
      <c r="E37" t="e">
        <f>VLOOKUP(D37,RB!$Z:$AA,2,0)</f>
        <v>#N/A</v>
      </c>
      <c r="F37">
        <f>'Draft Board'!AD12</f>
        <v>0</v>
      </c>
      <c r="G37">
        <f>'Draft Board'!Z21</f>
        <v>0</v>
      </c>
      <c r="H37" t="e">
        <f>VLOOKUP(G37,WR!$X:$Y,2,0)</f>
        <v>#N/A</v>
      </c>
      <c r="I37">
        <f>'Draft Board'!AD21</f>
        <v>0</v>
      </c>
    </row>
    <row r="38" spans="1:18" ht="12.75" customHeight="1">
      <c r="A38">
        <f>'Draft Board'!BD4</f>
        <v>0</v>
      </c>
      <c r="B38" t="e">
        <f>VLOOKUP(A38,QB!$AC:$AD,2,0)</f>
        <v>#N/A</v>
      </c>
      <c r="C38">
        <f>'Draft Board'!BH4</f>
        <v>0</v>
      </c>
      <c r="D38">
        <f>'Draft Board'!Z13</f>
        <v>0</v>
      </c>
      <c r="E38" t="e">
        <f>VLOOKUP(D38,RB!$Z:$AA,2,0)</f>
        <v>#N/A</v>
      </c>
      <c r="F38">
        <f>'Draft Board'!AD13</f>
        <v>0</v>
      </c>
      <c r="G38">
        <f>'Draft Board'!Z22</f>
        <v>0</v>
      </c>
      <c r="H38" t="e">
        <f>VLOOKUP(G38,WR!$X:$Y,2,0)</f>
        <v>#N/A</v>
      </c>
      <c r="I38">
        <f>'Draft Board'!AD22</f>
        <v>0</v>
      </c>
    </row>
    <row r="39" spans="1:18" ht="12.75" customHeight="1">
      <c r="A39">
        <f>'Draft Board'!BD5</f>
        <v>0</v>
      </c>
      <c r="B39" t="e">
        <f>VLOOKUP(A39,QB!$AC:$AD,2,0)</f>
        <v>#N/A</v>
      </c>
      <c r="C39">
        <f>'Draft Board'!BH5</f>
        <v>0</v>
      </c>
      <c r="D39">
        <f>'Draft Board'!Z14</f>
        <v>0</v>
      </c>
      <c r="E39" t="e">
        <f>VLOOKUP(D39,RB!$Z:$AA,2,0)</f>
        <v>#N/A</v>
      </c>
      <c r="F39">
        <f>'Draft Board'!AD14</f>
        <v>0</v>
      </c>
      <c r="G39">
        <f>'Draft Board'!Z23</f>
        <v>0</v>
      </c>
      <c r="H39" t="e">
        <f>VLOOKUP(G39,WR!$X:$Y,2,0)</f>
        <v>#N/A</v>
      </c>
      <c r="I39">
        <f>'Draft Board'!AD23</f>
        <v>0</v>
      </c>
    </row>
    <row r="40" spans="1:18" ht="12.75" customHeight="1">
      <c r="A40">
        <f>'Draft Board'!BD6</f>
        <v>0</v>
      </c>
      <c r="B40" t="e">
        <f>VLOOKUP(A40,QB!$AC:$AD,2,0)</f>
        <v>#N/A</v>
      </c>
      <c r="C40">
        <f>'Draft Board'!BH6</f>
        <v>0</v>
      </c>
      <c r="D40">
        <f>'Draft Board'!Z15</f>
        <v>0</v>
      </c>
      <c r="E40" t="e">
        <f>VLOOKUP(D40,RB!$Z:$AA,2,0)</f>
        <v>#N/A</v>
      </c>
      <c r="F40">
        <f>'Draft Board'!AD15</f>
        <v>0</v>
      </c>
      <c r="G40">
        <f>'Draft Board'!Z24</f>
        <v>0</v>
      </c>
      <c r="H40" t="e">
        <f>VLOOKUP(G40,WR!$X:$Y,2,0)</f>
        <v>#N/A</v>
      </c>
      <c r="I40">
        <f>'Draft Board'!AD24</f>
        <v>0</v>
      </c>
    </row>
    <row r="41" spans="1:18" ht="12.75" customHeight="1">
      <c r="A41">
        <f>'Draft Board'!BD7</f>
        <v>0</v>
      </c>
      <c r="B41" t="e">
        <f>VLOOKUP(A41,QB!$AC:$AD,2,0)</f>
        <v>#N/A</v>
      </c>
      <c r="C41">
        <f>'Draft Board'!BH7</f>
        <v>0</v>
      </c>
      <c r="D41">
        <f>'Draft Board'!Z16</f>
        <v>0</v>
      </c>
      <c r="E41" t="e">
        <f>VLOOKUP(D41,RB!$Z:$AA,2,0)</f>
        <v>#N/A</v>
      </c>
      <c r="F41">
        <f>'Draft Board'!AD16</f>
        <v>0</v>
      </c>
      <c r="G41">
        <f>'Draft Board'!Z25</f>
        <v>0</v>
      </c>
      <c r="H41" t="e">
        <f>VLOOKUP(G41,WR!$X:$Y,2,0)</f>
        <v>#N/A</v>
      </c>
      <c r="I41">
        <f>'Draft Board'!AD25</f>
        <v>0</v>
      </c>
    </row>
    <row r="42" spans="1:18" ht="12.75" customHeight="1">
      <c r="A42">
        <f>'Draft Board'!BJ4</f>
        <v>0</v>
      </c>
      <c r="B42" t="e">
        <f>VLOOKUP(A42,QB!$AC:$AD,2,0)</f>
        <v>#N/A</v>
      </c>
      <c r="C42">
        <f>'Draft Board'!BN4</f>
        <v>0</v>
      </c>
      <c r="D42">
        <f>'Draft Board'!AF9</f>
        <v>0</v>
      </c>
      <c r="E42" t="e">
        <f>VLOOKUP(D42,RB!$Z:$AA,2,0)</f>
        <v>#N/A</v>
      </c>
      <c r="F42">
        <f>'Draft Board'!AJ9</f>
        <v>0</v>
      </c>
      <c r="G42">
        <f>'Draft Board'!AF18</f>
        <v>0</v>
      </c>
      <c r="H42" t="e">
        <f>VLOOKUP(G42,WR!$X:$Y,2,0)</f>
        <v>#N/A</v>
      </c>
      <c r="I42">
        <f>'Draft Board'!AJ18</f>
        <v>0</v>
      </c>
    </row>
    <row r="43" spans="1:18" ht="12.75" customHeight="1">
      <c r="A43">
        <f>'Draft Board'!BJ5</f>
        <v>0</v>
      </c>
      <c r="B43" t="e">
        <f>VLOOKUP(A43,QB!$AC:$AD,2,0)</f>
        <v>#N/A</v>
      </c>
      <c r="C43">
        <f>'Draft Board'!BN5</f>
        <v>0</v>
      </c>
      <c r="D43">
        <f>'Draft Board'!AF10</f>
        <v>0</v>
      </c>
      <c r="E43" t="e">
        <f>VLOOKUP(D43,RB!$Z:$AA,2,0)</f>
        <v>#N/A</v>
      </c>
      <c r="F43">
        <f>'Draft Board'!AJ10</f>
        <v>0</v>
      </c>
      <c r="G43">
        <f>'Draft Board'!AF19</f>
        <v>0</v>
      </c>
      <c r="H43" t="e">
        <f>VLOOKUP(G43,WR!$X:$Y,2,0)</f>
        <v>#N/A</v>
      </c>
      <c r="I43">
        <f>'Draft Board'!AJ19</f>
        <v>0</v>
      </c>
    </row>
    <row r="44" spans="1:18" ht="12.75" customHeight="1">
      <c r="A44">
        <f>'Draft Board'!BJ6</f>
        <v>0</v>
      </c>
      <c r="B44" t="e">
        <f>VLOOKUP(A44,QB!$AC:$AD,2,0)</f>
        <v>#N/A</v>
      </c>
      <c r="C44">
        <f>'Draft Board'!BN6</f>
        <v>0</v>
      </c>
      <c r="D44">
        <f>'Draft Board'!AF11</f>
        <v>0</v>
      </c>
      <c r="E44" t="e">
        <f>VLOOKUP(D44,RB!$Z:$AA,2,0)</f>
        <v>#N/A</v>
      </c>
      <c r="F44">
        <f>'Draft Board'!AJ11</f>
        <v>0</v>
      </c>
      <c r="G44">
        <f>'Draft Board'!AF20</f>
        <v>0</v>
      </c>
      <c r="H44" t="e">
        <f>VLOOKUP(G44,WR!$X:$Y,2,0)</f>
        <v>#N/A</v>
      </c>
      <c r="I44">
        <f>'Draft Board'!AJ20</f>
        <v>0</v>
      </c>
    </row>
    <row r="45" spans="1:18" ht="12.75" customHeight="1">
      <c r="A45">
        <f>'Draft Board'!BJ7</f>
        <v>0</v>
      </c>
      <c r="B45" t="e">
        <f>VLOOKUP(A45,QB!$AC:$AD,2,0)</f>
        <v>#N/A</v>
      </c>
      <c r="C45">
        <f>'Draft Board'!BN7</f>
        <v>0</v>
      </c>
      <c r="D45">
        <f>'Draft Board'!AF12</f>
        <v>0</v>
      </c>
      <c r="E45" t="e">
        <f>VLOOKUP(D45,RB!$Z:$AA,2,0)</f>
        <v>#N/A</v>
      </c>
      <c r="F45">
        <f>'Draft Board'!AJ12</f>
        <v>0</v>
      </c>
      <c r="G45">
        <f>'Draft Board'!AF21</f>
        <v>0</v>
      </c>
      <c r="H45" t="e">
        <f>VLOOKUP(G45,WR!$X:$Y,2,0)</f>
        <v>#N/A</v>
      </c>
      <c r="I45">
        <f>'Draft Board'!AJ21</f>
        <v>0</v>
      </c>
    </row>
    <row r="46" spans="1:18" ht="12.75" customHeight="1">
      <c r="D46">
        <f>'Draft Board'!AF13</f>
        <v>0</v>
      </c>
      <c r="E46" t="e">
        <f>VLOOKUP(D46,RB!$Z:$AA,2,0)</f>
        <v>#N/A</v>
      </c>
      <c r="F46">
        <f>'Draft Board'!AJ13</f>
        <v>0</v>
      </c>
      <c r="G46">
        <f>'Draft Board'!AF22</f>
        <v>0</v>
      </c>
      <c r="H46" t="e">
        <f>VLOOKUP(G46,WR!$X:$Y,2,0)</f>
        <v>#N/A</v>
      </c>
      <c r="I46">
        <f>'Draft Board'!AJ22</f>
        <v>0</v>
      </c>
    </row>
    <row r="47" spans="1:18" ht="12.75" customHeight="1">
      <c r="D47">
        <f>'Draft Board'!AF14</f>
        <v>0</v>
      </c>
      <c r="E47" t="e">
        <f>VLOOKUP(D47,RB!$Z:$AA,2,0)</f>
        <v>#N/A</v>
      </c>
      <c r="F47">
        <f>'Draft Board'!AJ14</f>
        <v>0</v>
      </c>
      <c r="G47">
        <f>'Draft Board'!AF23</f>
        <v>0</v>
      </c>
      <c r="H47" t="e">
        <f>VLOOKUP(G47,WR!$X:$Y,2,0)</f>
        <v>#N/A</v>
      </c>
      <c r="I47">
        <f>'Draft Board'!AJ23</f>
        <v>0</v>
      </c>
    </row>
    <row r="48" spans="1:18" ht="12.75" customHeight="1">
      <c r="D48">
        <f>'Draft Board'!AF15</f>
        <v>0</v>
      </c>
      <c r="E48" t="e">
        <f>VLOOKUP(D48,RB!$Z:$AA,2,0)</f>
        <v>#N/A</v>
      </c>
      <c r="F48">
        <f>'Draft Board'!AJ15</f>
        <v>0</v>
      </c>
      <c r="G48">
        <f>'Draft Board'!AF24</f>
        <v>0</v>
      </c>
      <c r="H48" t="e">
        <f>VLOOKUP(G48,WR!$X:$Y,2,0)</f>
        <v>#N/A</v>
      </c>
      <c r="I48">
        <f>'Draft Board'!AJ24</f>
        <v>0</v>
      </c>
    </row>
    <row r="49" spans="4:9" ht="12.75" customHeight="1">
      <c r="D49">
        <f>'Draft Board'!AF16</f>
        <v>0</v>
      </c>
      <c r="E49" t="e">
        <f>VLOOKUP(D49,RB!$Z:$AA,2,0)</f>
        <v>#N/A</v>
      </c>
      <c r="F49">
        <f>'Draft Board'!AJ16</f>
        <v>0</v>
      </c>
      <c r="G49">
        <f>'Draft Board'!AF25</f>
        <v>0</v>
      </c>
      <c r="H49" t="e">
        <f>VLOOKUP(G49,WR!$X:$Y,2,0)</f>
        <v>#N/A</v>
      </c>
      <c r="I49">
        <f>'Draft Board'!AJ25</f>
        <v>0</v>
      </c>
    </row>
    <row r="50" spans="4:9" ht="12.75" customHeight="1">
      <c r="D50">
        <f>'Draft Board'!AL9</f>
        <v>0</v>
      </c>
      <c r="E50" t="e">
        <f>VLOOKUP(D50,RB!$Z:$AA,2,0)</f>
        <v>#N/A</v>
      </c>
      <c r="F50">
        <f>'Draft Board'!AP9</f>
        <v>0</v>
      </c>
      <c r="G50">
        <f>'Draft Board'!AL18</f>
        <v>0</v>
      </c>
      <c r="H50" t="e">
        <f>VLOOKUP(G50,WR!$X:$Y,2,0)</f>
        <v>#N/A</v>
      </c>
      <c r="I50">
        <f>'Draft Board'!AP18</f>
        <v>0</v>
      </c>
    </row>
    <row r="51" spans="4:9" ht="12.75" customHeight="1">
      <c r="D51">
        <f>'Draft Board'!AL10</f>
        <v>0</v>
      </c>
      <c r="E51" t="e">
        <f>VLOOKUP(D51,RB!$Z:$AA,2,0)</f>
        <v>#N/A</v>
      </c>
      <c r="F51">
        <f>'Draft Board'!AP10</f>
        <v>0</v>
      </c>
      <c r="G51">
        <f>'Draft Board'!AL19</f>
        <v>0</v>
      </c>
      <c r="H51" t="e">
        <f>VLOOKUP(G51,WR!$X:$Y,2,0)</f>
        <v>#N/A</v>
      </c>
      <c r="I51">
        <f>'Draft Board'!AP19</f>
        <v>0</v>
      </c>
    </row>
    <row r="52" spans="4:9" ht="12.75" customHeight="1">
      <c r="D52">
        <f>'Draft Board'!AL11</f>
        <v>0</v>
      </c>
      <c r="E52" t="e">
        <f>VLOOKUP(D52,RB!$Z:$AA,2,0)</f>
        <v>#N/A</v>
      </c>
      <c r="F52">
        <f>'Draft Board'!AP11</f>
        <v>0</v>
      </c>
      <c r="G52">
        <f>'Draft Board'!AL20</f>
        <v>0</v>
      </c>
      <c r="H52" t="e">
        <f>VLOOKUP(G52,WR!$X:$Y,2,0)</f>
        <v>#N/A</v>
      </c>
      <c r="I52">
        <f>'Draft Board'!AP20</f>
        <v>0</v>
      </c>
    </row>
    <row r="53" spans="4:9" ht="12.75" customHeight="1">
      <c r="D53">
        <f>'Draft Board'!AL12</f>
        <v>0</v>
      </c>
      <c r="E53" t="e">
        <f>VLOOKUP(D53,RB!$Z:$AA,2,0)</f>
        <v>#N/A</v>
      </c>
      <c r="F53">
        <f>'Draft Board'!AP12</f>
        <v>0</v>
      </c>
      <c r="G53">
        <f>'Draft Board'!AL21</f>
        <v>0</v>
      </c>
      <c r="H53" t="e">
        <f>VLOOKUP(G53,WR!$X:$Y,2,0)</f>
        <v>#N/A</v>
      </c>
      <c r="I53">
        <f>'Draft Board'!AP21</f>
        <v>0</v>
      </c>
    </row>
    <row r="54" spans="4:9" ht="12.75" customHeight="1">
      <c r="D54">
        <f>'Draft Board'!AL13</f>
        <v>0</v>
      </c>
      <c r="E54" t="e">
        <f>VLOOKUP(D54,RB!$Z:$AA,2,0)</f>
        <v>#N/A</v>
      </c>
      <c r="F54">
        <f>'Draft Board'!AP13</f>
        <v>0</v>
      </c>
      <c r="G54">
        <f>'Draft Board'!AL22</f>
        <v>0</v>
      </c>
      <c r="H54" t="e">
        <f>VLOOKUP(G54,WR!$X:$Y,2,0)</f>
        <v>#N/A</v>
      </c>
      <c r="I54">
        <f>'Draft Board'!AP22</f>
        <v>0</v>
      </c>
    </row>
    <row r="55" spans="4:9" ht="12.75" customHeight="1">
      <c r="D55">
        <f>'Draft Board'!AL14</f>
        <v>0</v>
      </c>
      <c r="E55" t="e">
        <f>VLOOKUP(D55,RB!$Z:$AA,2,0)</f>
        <v>#N/A</v>
      </c>
      <c r="F55">
        <f>'Draft Board'!AP14</f>
        <v>0</v>
      </c>
      <c r="G55">
        <f>'Draft Board'!AL23</f>
        <v>0</v>
      </c>
      <c r="H55" t="e">
        <f>VLOOKUP(G55,WR!$X:$Y,2,0)</f>
        <v>#N/A</v>
      </c>
      <c r="I55">
        <f>'Draft Board'!AP23</f>
        <v>0</v>
      </c>
    </row>
    <row r="56" spans="4:9" ht="12.75" customHeight="1">
      <c r="D56">
        <f>'Draft Board'!AL15</f>
        <v>0</v>
      </c>
      <c r="E56" t="e">
        <f>VLOOKUP(D56,RB!$Z:$AA,2,0)</f>
        <v>#N/A</v>
      </c>
      <c r="F56">
        <f>'Draft Board'!AP15</f>
        <v>0</v>
      </c>
      <c r="G56">
        <f>'Draft Board'!AL24</f>
        <v>0</v>
      </c>
      <c r="H56" t="e">
        <f>VLOOKUP(G56,WR!$X:$Y,2,0)</f>
        <v>#N/A</v>
      </c>
      <c r="I56">
        <f>'Draft Board'!AP24</f>
        <v>0</v>
      </c>
    </row>
    <row r="57" spans="4:9" ht="12.75" customHeight="1">
      <c r="D57">
        <f>'Draft Board'!AL16</f>
        <v>0</v>
      </c>
      <c r="E57" t="e">
        <f>VLOOKUP(D57,RB!$Z:$AA,2,0)</f>
        <v>#N/A</v>
      </c>
      <c r="F57">
        <f>'Draft Board'!AP16</f>
        <v>0</v>
      </c>
      <c r="G57">
        <f>'Draft Board'!AL25</f>
        <v>0</v>
      </c>
      <c r="H57" t="e">
        <f>VLOOKUP(G57,WR!$X:$Y,2,0)</f>
        <v>#N/A</v>
      </c>
      <c r="I57">
        <f>'Draft Board'!AP25</f>
        <v>0</v>
      </c>
    </row>
    <row r="58" spans="4:9" ht="12.75" customHeight="1">
      <c r="D58">
        <f>'Draft Board'!AR9</f>
        <v>0</v>
      </c>
      <c r="E58" t="e">
        <f>VLOOKUP(D58,RB!$Z:$AA,2,0)</f>
        <v>#N/A</v>
      </c>
      <c r="F58">
        <f>'Draft Board'!AV9</f>
        <v>0</v>
      </c>
      <c r="G58">
        <f>'Draft Board'!AR18</f>
        <v>0</v>
      </c>
      <c r="H58" t="e">
        <f>VLOOKUP(G58,WR!$X:$Y,2,0)</f>
        <v>#N/A</v>
      </c>
      <c r="I58">
        <f>'Draft Board'!AV18</f>
        <v>0</v>
      </c>
    </row>
    <row r="59" spans="4:9" ht="12.75" customHeight="1">
      <c r="D59">
        <f>'Draft Board'!AR10</f>
        <v>0</v>
      </c>
      <c r="E59" t="e">
        <f>VLOOKUP(D59,RB!$Z:$AA,2,0)</f>
        <v>#N/A</v>
      </c>
      <c r="F59">
        <f>'Draft Board'!AV10</f>
        <v>0</v>
      </c>
      <c r="G59">
        <f>'Draft Board'!AR19</f>
        <v>0</v>
      </c>
      <c r="H59" t="e">
        <f>VLOOKUP(G59,WR!$X:$Y,2,0)</f>
        <v>#N/A</v>
      </c>
      <c r="I59">
        <f>'Draft Board'!AV19</f>
        <v>0</v>
      </c>
    </row>
    <row r="60" spans="4:9" ht="12.75" customHeight="1">
      <c r="D60">
        <f>'Draft Board'!AR11</f>
        <v>0</v>
      </c>
      <c r="E60" t="e">
        <f>VLOOKUP(D60,RB!$Z:$AA,2,0)</f>
        <v>#N/A</v>
      </c>
      <c r="F60">
        <f>'Draft Board'!AV11</f>
        <v>0</v>
      </c>
      <c r="G60">
        <f>'Draft Board'!AR20</f>
        <v>0</v>
      </c>
      <c r="H60" t="e">
        <f>VLOOKUP(G60,WR!$X:$Y,2,0)</f>
        <v>#N/A</v>
      </c>
      <c r="I60">
        <f>'Draft Board'!AV20</f>
        <v>0</v>
      </c>
    </row>
    <row r="61" spans="4:9" ht="12.75" customHeight="1">
      <c r="D61">
        <f>'Draft Board'!AR12</f>
        <v>0</v>
      </c>
      <c r="E61" t="e">
        <f>VLOOKUP(D61,RB!$Z:$AA,2,0)</f>
        <v>#N/A</v>
      </c>
      <c r="F61">
        <f>'Draft Board'!AV12</f>
        <v>0</v>
      </c>
      <c r="G61">
        <f>'Draft Board'!AR21</f>
        <v>0</v>
      </c>
      <c r="H61" t="e">
        <f>VLOOKUP(G61,WR!$X:$Y,2,0)</f>
        <v>#N/A</v>
      </c>
      <c r="I61">
        <f>'Draft Board'!AV21</f>
        <v>0</v>
      </c>
    </row>
    <row r="62" spans="4:9" ht="12.75" customHeight="1">
      <c r="D62">
        <f>'Draft Board'!AR13</f>
        <v>0</v>
      </c>
      <c r="E62" t="e">
        <f>VLOOKUP(D62,RB!$Z:$AA,2,0)</f>
        <v>#N/A</v>
      </c>
      <c r="F62">
        <f>'Draft Board'!AV13</f>
        <v>0</v>
      </c>
      <c r="G62">
        <f>'Draft Board'!AR22</f>
        <v>0</v>
      </c>
      <c r="H62" t="e">
        <f>VLOOKUP(G62,WR!$X:$Y,2,0)</f>
        <v>#N/A</v>
      </c>
      <c r="I62">
        <f>'Draft Board'!AV22</f>
        <v>0</v>
      </c>
    </row>
    <row r="63" spans="4:9" ht="12.75" customHeight="1">
      <c r="D63">
        <f>'Draft Board'!AR14</f>
        <v>0</v>
      </c>
      <c r="E63" t="e">
        <f>VLOOKUP(D63,RB!$Z:$AA,2,0)</f>
        <v>#N/A</v>
      </c>
      <c r="F63">
        <f>'Draft Board'!AV14</f>
        <v>0</v>
      </c>
      <c r="G63">
        <f>'Draft Board'!AR23</f>
        <v>0</v>
      </c>
      <c r="H63" t="e">
        <f>VLOOKUP(G63,WR!$X:$Y,2,0)</f>
        <v>#N/A</v>
      </c>
      <c r="I63">
        <f>'Draft Board'!AV23</f>
        <v>0</v>
      </c>
    </row>
    <row r="64" spans="4:9" ht="12.75" customHeight="1">
      <c r="D64">
        <f>'Draft Board'!AR15</f>
        <v>0</v>
      </c>
      <c r="E64" t="e">
        <f>VLOOKUP(D64,RB!$Z:$AA,2,0)</f>
        <v>#N/A</v>
      </c>
      <c r="F64">
        <f>'Draft Board'!AV15</f>
        <v>0</v>
      </c>
      <c r="G64">
        <f>'Draft Board'!AR24</f>
        <v>0</v>
      </c>
      <c r="H64" t="e">
        <f>VLOOKUP(G64,WR!$X:$Y,2,0)</f>
        <v>#N/A</v>
      </c>
      <c r="I64">
        <f>'Draft Board'!AV24</f>
        <v>0</v>
      </c>
    </row>
    <row r="65" spans="4:9" ht="12.75" customHeight="1">
      <c r="D65">
        <f>'Draft Board'!AR16</f>
        <v>0</v>
      </c>
      <c r="E65" t="e">
        <f>VLOOKUP(D65,RB!$Z:$AA,2,0)</f>
        <v>#N/A</v>
      </c>
      <c r="F65">
        <f>'Draft Board'!AV16</f>
        <v>0</v>
      </c>
      <c r="G65">
        <f>'Draft Board'!AR25</f>
        <v>0</v>
      </c>
      <c r="H65" t="e">
        <f>VLOOKUP(G65,WR!$X:$Y,2,0)</f>
        <v>#N/A</v>
      </c>
      <c r="I65">
        <f>'Draft Board'!AV25</f>
        <v>0</v>
      </c>
    </row>
    <row r="66" spans="4:9" ht="12.75" customHeight="1">
      <c r="D66">
        <f>'Draft Board'!AX9</f>
        <v>0</v>
      </c>
      <c r="E66" t="e">
        <f>VLOOKUP(D66,RB!$Z:$AA,2,0)</f>
        <v>#N/A</v>
      </c>
      <c r="F66">
        <f>'Draft Board'!BB9</f>
        <v>0</v>
      </c>
      <c r="G66">
        <f>'Draft Board'!AX18</f>
        <v>0</v>
      </c>
      <c r="H66" t="e">
        <f>VLOOKUP(G66,WR!$X:$Y,2,0)</f>
        <v>#N/A</v>
      </c>
      <c r="I66">
        <f>'Draft Board'!BB18</f>
        <v>0</v>
      </c>
    </row>
    <row r="67" spans="4:9" ht="12.75" customHeight="1">
      <c r="D67">
        <f>'Draft Board'!AX10</f>
        <v>0</v>
      </c>
      <c r="E67" t="e">
        <f>VLOOKUP(D67,RB!$Z:$AA,2,0)</f>
        <v>#N/A</v>
      </c>
      <c r="F67">
        <f>'Draft Board'!BB10</f>
        <v>0</v>
      </c>
      <c r="G67">
        <f>'Draft Board'!AX19</f>
        <v>0</v>
      </c>
      <c r="H67" t="e">
        <f>VLOOKUP(G67,WR!$X:$Y,2,0)</f>
        <v>#N/A</v>
      </c>
      <c r="I67">
        <f>'Draft Board'!BB19</f>
        <v>0</v>
      </c>
    </row>
    <row r="68" spans="4:9" ht="12.75" customHeight="1">
      <c r="D68">
        <f>'Draft Board'!AX11</f>
        <v>0</v>
      </c>
      <c r="E68" t="e">
        <f>VLOOKUP(D68,RB!$Z:$AA,2,0)</f>
        <v>#N/A</v>
      </c>
      <c r="F68">
        <f>'Draft Board'!BB11</f>
        <v>0</v>
      </c>
      <c r="G68">
        <f>'Draft Board'!AX20</f>
        <v>0</v>
      </c>
      <c r="H68" t="e">
        <f>VLOOKUP(G68,WR!$X:$Y,2,0)</f>
        <v>#N/A</v>
      </c>
      <c r="I68">
        <f>'Draft Board'!BB20</f>
        <v>0</v>
      </c>
    </row>
    <row r="69" spans="4:9" ht="12.75" customHeight="1">
      <c r="D69">
        <f>'Draft Board'!AX12</f>
        <v>0</v>
      </c>
      <c r="E69" t="e">
        <f>VLOOKUP(D69,RB!$Z:$AA,2,0)</f>
        <v>#N/A</v>
      </c>
      <c r="F69">
        <f>'Draft Board'!BB12</f>
        <v>0</v>
      </c>
      <c r="G69">
        <f>'Draft Board'!AX21</f>
        <v>0</v>
      </c>
      <c r="H69" t="e">
        <f>VLOOKUP(G69,WR!$X:$Y,2,0)</f>
        <v>#N/A</v>
      </c>
      <c r="I69">
        <f>'Draft Board'!BB21</f>
        <v>0</v>
      </c>
    </row>
    <row r="70" spans="4:9" ht="12.75" customHeight="1">
      <c r="D70">
        <f>'Draft Board'!AX13</f>
        <v>0</v>
      </c>
      <c r="E70" t="e">
        <f>VLOOKUP(D70,RB!$Z:$AA,2,0)</f>
        <v>#N/A</v>
      </c>
      <c r="F70">
        <f>'Draft Board'!BB13</f>
        <v>0</v>
      </c>
      <c r="G70">
        <f>'Draft Board'!AX22</f>
        <v>0</v>
      </c>
      <c r="H70" t="e">
        <f>VLOOKUP(G70,WR!$X:$Y,2,0)</f>
        <v>#N/A</v>
      </c>
      <c r="I70">
        <f>'Draft Board'!BB22</f>
        <v>0</v>
      </c>
    </row>
    <row r="71" spans="4:9" ht="12.75" customHeight="1">
      <c r="D71">
        <f>'Draft Board'!AX14</f>
        <v>0</v>
      </c>
      <c r="E71" t="e">
        <f>VLOOKUP(D71,RB!$Z:$AA,2,0)</f>
        <v>#N/A</v>
      </c>
      <c r="F71">
        <f>'Draft Board'!BB14</f>
        <v>0</v>
      </c>
      <c r="G71">
        <f>'Draft Board'!AX23</f>
        <v>0</v>
      </c>
      <c r="H71" t="e">
        <f>VLOOKUP(G71,WR!$X:$Y,2,0)</f>
        <v>#N/A</v>
      </c>
      <c r="I71">
        <f>'Draft Board'!BB23</f>
        <v>0</v>
      </c>
    </row>
    <row r="72" spans="4:9" ht="12.75" customHeight="1">
      <c r="D72">
        <f>'Draft Board'!AX15</f>
        <v>0</v>
      </c>
      <c r="E72" t="e">
        <f>VLOOKUP(D72,RB!$Z:$AA,2,0)</f>
        <v>#N/A</v>
      </c>
      <c r="F72">
        <f>'Draft Board'!BB15</f>
        <v>0</v>
      </c>
      <c r="G72">
        <f>'Draft Board'!AX24</f>
        <v>0</v>
      </c>
      <c r="H72" t="e">
        <f>VLOOKUP(G72,WR!$X:$Y,2,0)</f>
        <v>#N/A</v>
      </c>
      <c r="I72">
        <f>'Draft Board'!BB24</f>
        <v>0</v>
      </c>
    </row>
    <row r="73" spans="4:9" ht="12.75" customHeight="1">
      <c r="D73">
        <f>'Draft Board'!AX16</f>
        <v>0</v>
      </c>
      <c r="E73" t="e">
        <f>VLOOKUP(D73,RB!$Z:$AA,2,0)</f>
        <v>#N/A</v>
      </c>
      <c r="F73">
        <f>'Draft Board'!BB16</f>
        <v>0</v>
      </c>
      <c r="G73">
        <f>'Draft Board'!AX25</f>
        <v>0</v>
      </c>
      <c r="H73" t="e">
        <f>VLOOKUP(G73,WR!$X:$Y,2,0)</f>
        <v>#N/A</v>
      </c>
      <c r="I73">
        <f>'Draft Board'!BB25</f>
        <v>0</v>
      </c>
    </row>
    <row r="74" spans="4:9" ht="12.75" customHeight="1">
      <c r="D74">
        <f>'Draft Board'!BD9</f>
        <v>0</v>
      </c>
      <c r="E74" t="e">
        <f>VLOOKUP(D74,RB!$Z:$AA,2,0)</f>
        <v>#N/A</v>
      </c>
      <c r="F74">
        <f>'Draft Board'!BH9</f>
        <v>0</v>
      </c>
      <c r="G74">
        <f>'Draft Board'!BD18</f>
        <v>0</v>
      </c>
      <c r="H74" t="e">
        <f>VLOOKUP(G74,WR!$X:$Y,2,0)</f>
        <v>#N/A</v>
      </c>
      <c r="I74">
        <f>'Draft Board'!BH18</f>
        <v>0</v>
      </c>
    </row>
    <row r="75" spans="4:9" ht="12.75" customHeight="1">
      <c r="D75">
        <f>'Draft Board'!BD10</f>
        <v>0</v>
      </c>
      <c r="E75" t="e">
        <f>VLOOKUP(D75,RB!$Z:$AA,2,0)</f>
        <v>#N/A</v>
      </c>
      <c r="F75">
        <f>'Draft Board'!BH10</f>
        <v>0</v>
      </c>
      <c r="G75">
        <f>'Draft Board'!BD19</f>
        <v>0</v>
      </c>
      <c r="H75" t="e">
        <f>VLOOKUP(G75,WR!$X:$Y,2,0)</f>
        <v>#N/A</v>
      </c>
      <c r="I75">
        <f>'Draft Board'!BH19</f>
        <v>0</v>
      </c>
    </row>
    <row r="76" spans="4:9" ht="12.75" customHeight="1">
      <c r="D76">
        <f>'Draft Board'!BD11</f>
        <v>0</v>
      </c>
      <c r="E76" t="e">
        <f>VLOOKUP(D76,RB!$Z:$AA,2,0)</f>
        <v>#N/A</v>
      </c>
      <c r="F76">
        <f>'Draft Board'!BH11</f>
        <v>0</v>
      </c>
      <c r="G76">
        <f>'Draft Board'!BD20</f>
        <v>0</v>
      </c>
      <c r="H76" t="e">
        <f>VLOOKUP(G76,WR!$X:$Y,2,0)</f>
        <v>#N/A</v>
      </c>
      <c r="I76">
        <f>'Draft Board'!BH20</f>
        <v>0</v>
      </c>
    </row>
    <row r="77" spans="4:9" ht="12.75" customHeight="1">
      <c r="D77">
        <f>'Draft Board'!BD12</f>
        <v>0</v>
      </c>
      <c r="E77" t="e">
        <f>VLOOKUP(D77,RB!$Z:$AA,2,0)</f>
        <v>#N/A</v>
      </c>
      <c r="F77">
        <f>'Draft Board'!BH12</f>
        <v>0</v>
      </c>
      <c r="G77">
        <f>'Draft Board'!BD21</f>
        <v>0</v>
      </c>
      <c r="H77" t="e">
        <f>VLOOKUP(G77,WR!$X:$Y,2,0)</f>
        <v>#N/A</v>
      </c>
      <c r="I77">
        <f>'Draft Board'!BH21</f>
        <v>0</v>
      </c>
    </row>
    <row r="78" spans="4:9" ht="12.75" customHeight="1">
      <c r="D78">
        <f>'Draft Board'!BD13</f>
        <v>0</v>
      </c>
      <c r="E78" t="e">
        <f>VLOOKUP(D78,RB!$Z:$AA,2,0)</f>
        <v>#N/A</v>
      </c>
      <c r="F78">
        <f>'Draft Board'!BH13</f>
        <v>0</v>
      </c>
      <c r="G78">
        <f>'Draft Board'!BD22</f>
        <v>0</v>
      </c>
      <c r="H78" t="e">
        <f>VLOOKUP(G78,WR!$X:$Y,2,0)</f>
        <v>#N/A</v>
      </c>
      <c r="I78">
        <f>'Draft Board'!BH22</f>
        <v>0</v>
      </c>
    </row>
    <row r="79" spans="4:9" ht="12.75" customHeight="1">
      <c r="D79">
        <f>'Draft Board'!BD14</f>
        <v>0</v>
      </c>
      <c r="E79" t="e">
        <f>VLOOKUP(D79,RB!$Z:$AA,2,0)</f>
        <v>#N/A</v>
      </c>
      <c r="F79">
        <f>'Draft Board'!BH14</f>
        <v>0</v>
      </c>
      <c r="G79">
        <f>'Draft Board'!BD23</f>
        <v>0</v>
      </c>
      <c r="H79" t="e">
        <f>VLOOKUP(G79,WR!$X:$Y,2,0)</f>
        <v>#N/A</v>
      </c>
      <c r="I79">
        <f>'Draft Board'!BH23</f>
        <v>0</v>
      </c>
    </row>
    <row r="80" spans="4:9" ht="12.75" customHeight="1">
      <c r="D80">
        <f>'Draft Board'!BD15</f>
        <v>0</v>
      </c>
      <c r="E80" t="e">
        <f>VLOOKUP(D80,RB!$Z:$AA,2,0)</f>
        <v>#N/A</v>
      </c>
      <c r="F80">
        <f>'Draft Board'!BH15</f>
        <v>0</v>
      </c>
      <c r="G80">
        <f>'Draft Board'!BD24</f>
        <v>0</v>
      </c>
      <c r="H80" t="e">
        <f>VLOOKUP(G80,WR!$X:$Y,2,0)</f>
        <v>#N/A</v>
      </c>
      <c r="I80">
        <f>'Draft Board'!BH24</f>
        <v>0</v>
      </c>
    </row>
    <row r="81" spans="4:9" ht="12.75" customHeight="1">
      <c r="D81">
        <f>'Draft Board'!BD16</f>
        <v>0</v>
      </c>
      <c r="E81" t="e">
        <f>VLOOKUP(D81,RB!$Z:$AA,2,0)</f>
        <v>#N/A</v>
      </c>
      <c r="F81">
        <f>'Draft Board'!BH16</f>
        <v>0</v>
      </c>
      <c r="G81">
        <f>'Draft Board'!BD25</f>
        <v>0</v>
      </c>
      <c r="H81" t="e">
        <f>VLOOKUP(G81,WR!$X:$Y,2,0)</f>
        <v>#N/A</v>
      </c>
      <c r="I81">
        <f>'Draft Board'!BH25</f>
        <v>0</v>
      </c>
    </row>
    <row r="82" spans="4:9" ht="12.75" customHeight="1">
      <c r="D82">
        <f>'Draft Board'!BJ9</f>
        <v>0</v>
      </c>
      <c r="E82" t="e">
        <f>VLOOKUP(D82,RB!$Z:$AA,2,0)</f>
        <v>#N/A</v>
      </c>
      <c r="F82">
        <f>'Draft Board'!BN9</f>
        <v>0</v>
      </c>
      <c r="G82">
        <f>'Draft Board'!BJ18</f>
        <v>0</v>
      </c>
      <c r="H82" t="e">
        <f>VLOOKUP(G82,WR!$X:$Y,2,0)</f>
        <v>#N/A</v>
      </c>
      <c r="I82">
        <f>'Draft Board'!BN18</f>
        <v>0</v>
      </c>
    </row>
    <row r="83" spans="4:9" ht="12.75" customHeight="1">
      <c r="D83">
        <f>'Draft Board'!BJ10</f>
        <v>0</v>
      </c>
      <c r="E83" t="e">
        <f>VLOOKUP(D83,RB!$Z:$AA,2,0)</f>
        <v>#N/A</v>
      </c>
      <c r="F83">
        <f>'Draft Board'!BN10</f>
        <v>0</v>
      </c>
      <c r="G83">
        <f>'Draft Board'!BJ19</f>
        <v>0</v>
      </c>
      <c r="H83" t="e">
        <f>VLOOKUP(G83,WR!$X:$Y,2,0)</f>
        <v>#N/A</v>
      </c>
      <c r="I83">
        <f>'Draft Board'!BN19</f>
        <v>0</v>
      </c>
    </row>
    <row r="84" spans="4:9" ht="12.75" customHeight="1">
      <c r="D84">
        <f>'Draft Board'!BJ11</f>
        <v>0</v>
      </c>
      <c r="E84" t="e">
        <f>VLOOKUP(D84,RB!$Z:$AA,2,0)</f>
        <v>#N/A</v>
      </c>
      <c r="F84">
        <f>'Draft Board'!BN11</f>
        <v>0</v>
      </c>
      <c r="G84">
        <f>'Draft Board'!BJ20</f>
        <v>0</v>
      </c>
      <c r="H84" t="e">
        <f>VLOOKUP(G84,WR!$X:$Y,2,0)</f>
        <v>#N/A</v>
      </c>
      <c r="I84">
        <f>'Draft Board'!BN20</f>
        <v>0</v>
      </c>
    </row>
    <row r="85" spans="4:9" ht="12.75" customHeight="1">
      <c r="D85">
        <f>'Draft Board'!BJ12</f>
        <v>0</v>
      </c>
      <c r="E85" t="e">
        <f>VLOOKUP(D85,RB!$Z:$AA,2,0)</f>
        <v>#N/A</v>
      </c>
      <c r="F85">
        <f>'Draft Board'!BN12</f>
        <v>0</v>
      </c>
      <c r="G85">
        <f>'Draft Board'!BJ21</f>
        <v>0</v>
      </c>
      <c r="H85" t="e">
        <f>VLOOKUP(G85,WR!$X:$Y,2,0)</f>
        <v>#N/A</v>
      </c>
      <c r="I85">
        <f>'Draft Board'!BN21</f>
        <v>0</v>
      </c>
    </row>
    <row r="86" spans="4:9" ht="12.75" customHeight="1">
      <c r="D86">
        <f>'Draft Board'!BJ13</f>
        <v>0</v>
      </c>
      <c r="E86" t="e">
        <f>VLOOKUP(D86,RB!$Z:$AA,2,0)</f>
        <v>#N/A</v>
      </c>
      <c r="F86">
        <f>'Draft Board'!BN13</f>
        <v>0</v>
      </c>
      <c r="G86">
        <f>'Draft Board'!BJ22</f>
        <v>0</v>
      </c>
      <c r="H86" t="e">
        <f>VLOOKUP(G86,WR!$X:$Y,2,0)</f>
        <v>#N/A</v>
      </c>
      <c r="I86">
        <f>'Draft Board'!BN22</f>
        <v>0</v>
      </c>
    </row>
    <row r="87" spans="4:9" ht="12.75" customHeight="1">
      <c r="D87">
        <f>'Draft Board'!BJ14</f>
        <v>0</v>
      </c>
      <c r="E87" t="e">
        <f>VLOOKUP(D87,RB!$Z:$AA,2,0)</f>
        <v>#N/A</v>
      </c>
      <c r="F87">
        <f>'Draft Board'!BN14</f>
        <v>0</v>
      </c>
      <c r="G87">
        <f>'Draft Board'!BJ23</f>
        <v>0</v>
      </c>
      <c r="H87" t="e">
        <f>VLOOKUP(G87,WR!$X:$Y,2,0)</f>
        <v>#N/A</v>
      </c>
      <c r="I87">
        <f>'Draft Board'!BN23</f>
        <v>0</v>
      </c>
    </row>
    <row r="88" spans="4:9" ht="12.75" customHeight="1">
      <c r="D88">
        <f>'Draft Board'!BJ15</f>
        <v>0</v>
      </c>
      <c r="E88" t="e">
        <f>VLOOKUP(D88,RB!$Z:$AA,2,0)</f>
        <v>#N/A</v>
      </c>
      <c r="F88">
        <f>'Draft Board'!BN15</f>
        <v>0</v>
      </c>
      <c r="G88">
        <f>'Draft Board'!BJ24</f>
        <v>0</v>
      </c>
      <c r="H88" t="e">
        <f>VLOOKUP(G88,WR!$X:$Y,2,0)</f>
        <v>#N/A</v>
      </c>
      <c r="I88">
        <f>'Draft Board'!BN24</f>
        <v>0</v>
      </c>
    </row>
    <row r="89" spans="4:9" ht="12.75" customHeight="1">
      <c r="D89">
        <f>'Draft Board'!BJ16</f>
        <v>0</v>
      </c>
      <c r="E89" t="e">
        <f>VLOOKUP(D89,RB!$Z:$AA,2,0)</f>
        <v>#N/A</v>
      </c>
      <c r="F89">
        <f>'Draft Board'!BN16</f>
        <v>0</v>
      </c>
      <c r="G89">
        <f>'Draft Board'!BJ25</f>
        <v>0</v>
      </c>
      <c r="H89" t="e">
        <f>VLOOKUP(G89,WR!$X:$Y,2,0)</f>
        <v>#N/A</v>
      </c>
      <c r="I89">
        <f>'Draft Board'!BN25</f>
        <v>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00"/>
  <sheetViews>
    <sheetView showGridLines="0" zoomScale="125" zoomScaleNormal="125" zoomScalePageLayoutView="125" workbookViewId="0">
      <pane xSplit="1" ySplit="2" topLeftCell="B3" activePane="bottomRight" state="frozen"/>
      <selection pane="topRight" activeCell="B1" sqref="B1"/>
      <selection pane="bottomLeft" activeCell="A3" sqref="A3"/>
      <selection pane="bottomRight" activeCell="B33" sqref="B33"/>
    </sheetView>
  </sheetViews>
  <sheetFormatPr baseColWidth="10" defaultColWidth="17.1640625" defaultRowHeight="12.75" customHeight="1" x14ac:dyDescent="0"/>
  <cols>
    <col min="1" max="1" width="4.6640625" customWidth="1"/>
    <col min="2" max="2" width="5.5" customWidth="1"/>
    <col min="3" max="3" width="19.1640625" customWidth="1"/>
    <col min="4" max="4" width="6" customWidth="1"/>
    <col min="5" max="5" width="3.83203125" customWidth="1"/>
    <col min="6" max="6" width="4.5" customWidth="1"/>
    <col min="7" max="7" width="3.83203125" customWidth="1"/>
    <col min="8" max="8" width="5.5" customWidth="1"/>
    <col min="9" max="9" width="19.1640625" customWidth="1"/>
    <col min="10" max="10" width="6" customWidth="1"/>
    <col min="11" max="11" width="3.83203125" customWidth="1"/>
    <col min="12" max="12" width="4.5" customWidth="1"/>
    <col min="13" max="13" width="3.83203125" customWidth="1"/>
    <col min="14" max="14" width="5.5" customWidth="1"/>
    <col min="15" max="15" width="19.1640625" customWidth="1"/>
    <col min="16" max="16" width="6" customWidth="1"/>
    <col min="17" max="17" width="3.83203125" customWidth="1"/>
    <col min="18" max="18" width="4.5" customWidth="1"/>
    <col min="19" max="19" width="3.83203125" customWidth="1"/>
    <col min="20" max="20" width="5.5" customWidth="1"/>
    <col min="21" max="21" width="19.1640625" customWidth="1"/>
    <col min="22" max="22" width="6" customWidth="1"/>
    <col min="23" max="23" width="3.83203125" customWidth="1"/>
    <col min="24" max="24" width="4.5" customWidth="1"/>
    <col min="25" max="25" width="3.83203125" customWidth="1"/>
    <col min="26" max="26" width="5.5" customWidth="1"/>
    <col min="27" max="27" width="19.1640625" customWidth="1"/>
    <col min="28" max="28" width="6" customWidth="1"/>
    <col min="29" max="29" width="3.83203125" customWidth="1"/>
    <col min="30" max="30" width="4.5" customWidth="1"/>
    <col min="31" max="31" width="3.83203125" customWidth="1"/>
    <col min="32" max="32" width="5.5" customWidth="1"/>
    <col min="33" max="33" width="19.1640625" customWidth="1"/>
    <col min="34" max="34" width="6" customWidth="1"/>
    <col min="35" max="35" width="3.83203125" customWidth="1"/>
    <col min="36" max="36" width="4.5" customWidth="1"/>
    <col min="37" max="37" width="3.83203125" customWidth="1"/>
    <col min="38" max="38" width="5.5" customWidth="1"/>
    <col min="39" max="39" width="19.1640625" customWidth="1"/>
    <col min="40" max="40" width="6" customWidth="1"/>
    <col min="41" max="41" width="3.83203125" customWidth="1"/>
    <col min="42" max="42" width="4.5" customWidth="1"/>
    <col min="43" max="43" width="3.83203125" customWidth="1"/>
    <col min="44" max="44" width="5.5" customWidth="1"/>
    <col min="45" max="45" width="19.1640625" customWidth="1"/>
    <col min="46" max="46" width="6" customWidth="1"/>
    <col min="47" max="47" width="3.83203125" customWidth="1"/>
    <col min="48" max="48" width="4.5" customWidth="1"/>
    <col min="49" max="49" width="3.83203125" customWidth="1"/>
    <col min="50" max="50" width="5.5" customWidth="1"/>
    <col min="51" max="51" width="19.1640625" customWidth="1"/>
    <col min="52" max="52" width="6" customWidth="1"/>
    <col min="53" max="53" width="3.83203125" customWidth="1"/>
    <col min="54" max="54" width="4.5" customWidth="1"/>
    <col min="55" max="55" width="3.83203125" customWidth="1"/>
    <col min="56" max="56" width="5.5" customWidth="1"/>
    <col min="57" max="57" width="19.1640625" customWidth="1"/>
    <col min="58" max="58" width="6" customWidth="1"/>
    <col min="59" max="59" width="3.83203125" customWidth="1"/>
    <col min="60" max="60" width="4.5" customWidth="1"/>
    <col min="61" max="61" width="3.83203125" customWidth="1"/>
    <col min="62" max="62" width="5.5" customWidth="1"/>
    <col min="63" max="63" width="19.1640625" customWidth="1"/>
    <col min="64" max="64" width="6" customWidth="1"/>
    <col min="65" max="65" width="3.83203125" customWidth="1"/>
    <col min="66" max="66" width="4.5" customWidth="1"/>
    <col min="67" max="67" width="3.83203125" customWidth="1"/>
  </cols>
  <sheetData>
    <row r="1" spans="1:67" ht="12.75" customHeight="1">
      <c r="A1" s="85"/>
      <c r="B1" s="214" t="s">
        <v>22</v>
      </c>
      <c r="C1" s="215"/>
      <c r="D1" s="215"/>
      <c r="E1" s="215"/>
      <c r="F1" s="215"/>
      <c r="G1" s="216"/>
      <c r="H1" s="214" t="s">
        <v>23</v>
      </c>
      <c r="I1" s="215"/>
      <c r="J1" s="215"/>
      <c r="K1" s="215"/>
      <c r="L1" s="215"/>
      <c r="M1" s="216"/>
      <c r="N1" s="214" t="s">
        <v>24</v>
      </c>
      <c r="O1" s="215"/>
      <c r="P1" s="215"/>
      <c r="Q1" s="215"/>
      <c r="R1" s="215"/>
      <c r="S1" s="216"/>
      <c r="T1" s="214" t="s">
        <v>25</v>
      </c>
      <c r="U1" s="215"/>
      <c r="V1" s="215"/>
      <c r="W1" s="215"/>
      <c r="X1" s="215"/>
      <c r="Y1" s="216"/>
      <c r="Z1" s="214" t="s">
        <v>26</v>
      </c>
      <c r="AA1" s="215"/>
      <c r="AB1" s="215"/>
      <c r="AC1" s="215"/>
      <c r="AD1" s="215"/>
      <c r="AE1" s="216"/>
      <c r="AF1" s="214" t="s">
        <v>27</v>
      </c>
      <c r="AG1" s="215"/>
      <c r="AH1" s="215"/>
      <c r="AI1" s="215"/>
      <c r="AJ1" s="215"/>
      <c r="AK1" s="216"/>
      <c r="AL1" s="214" t="s">
        <v>28</v>
      </c>
      <c r="AM1" s="215"/>
      <c r="AN1" s="215"/>
      <c r="AO1" s="215"/>
      <c r="AP1" s="215"/>
      <c r="AQ1" s="216"/>
      <c r="AR1" s="214" t="s">
        <v>29</v>
      </c>
      <c r="AS1" s="215"/>
      <c r="AT1" s="215"/>
      <c r="AU1" s="215"/>
      <c r="AV1" s="215"/>
      <c r="AW1" s="216"/>
      <c r="AX1" s="214" t="s">
        <v>30</v>
      </c>
      <c r="AY1" s="215"/>
      <c r="AZ1" s="215"/>
      <c r="BA1" s="215"/>
      <c r="BB1" s="215"/>
      <c r="BC1" s="216"/>
      <c r="BD1" s="214" t="s">
        <v>31</v>
      </c>
      <c r="BE1" s="215"/>
      <c r="BF1" s="215"/>
      <c r="BG1" s="215"/>
      <c r="BH1" s="215"/>
      <c r="BI1" s="216"/>
      <c r="BJ1" s="214" t="s">
        <v>32</v>
      </c>
      <c r="BK1" s="215"/>
      <c r="BL1" s="215"/>
      <c r="BM1" s="215"/>
      <c r="BN1" s="215"/>
      <c r="BO1" s="217"/>
    </row>
    <row r="2" spans="1:67" ht="12.75" customHeight="1">
      <c r="A2" s="85"/>
      <c r="B2" s="158" t="s">
        <v>33</v>
      </c>
      <c r="C2" s="170" t="s">
        <v>6</v>
      </c>
      <c r="D2" s="170" t="s">
        <v>7</v>
      </c>
      <c r="E2" s="170" t="s">
        <v>8</v>
      </c>
      <c r="F2" s="170" t="s">
        <v>34</v>
      </c>
      <c r="G2" s="85" t="s">
        <v>13</v>
      </c>
      <c r="H2" s="158" t="s">
        <v>33</v>
      </c>
      <c r="I2" s="170" t="s">
        <v>6</v>
      </c>
      <c r="J2" s="170" t="s">
        <v>7</v>
      </c>
      <c r="K2" s="170" t="s">
        <v>8</v>
      </c>
      <c r="L2" s="170" t="s">
        <v>34</v>
      </c>
      <c r="M2" s="85" t="s">
        <v>13</v>
      </c>
      <c r="N2" s="158" t="s">
        <v>33</v>
      </c>
      <c r="O2" s="170" t="s">
        <v>6</v>
      </c>
      <c r="P2" s="170" t="s">
        <v>7</v>
      </c>
      <c r="Q2" s="170" t="s">
        <v>8</v>
      </c>
      <c r="R2" s="170" t="s">
        <v>34</v>
      </c>
      <c r="S2" s="85" t="s">
        <v>13</v>
      </c>
      <c r="T2" s="158" t="s">
        <v>33</v>
      </c>
      <c r="U2" s="170" t="s">
        <v>6</v>
      </c>
      <c r="V2" s="170" t="s">
        <v>7</v>
      </c>
      <c r="W2" s="170" t="s">
        <v>8</v>
      </c>
      <c r="X2" s="170" t="s">
        <v>34</v>
      </c>
      <c r="Y2" s="85" t="s">
        <v>13</v>
      </c>
      <c r="Z2" s="158" t="s">
        <v>33</v>
      </c>
      <c r="AA2" s="170" t="s">
        <v>6</v>
      </c>
      <c r="AB2" s="170" t="s">
        <v>7</v>
      </c>
      <c r="AC2" s="170" t="s">
        <v>8</v>
      </c>
      <c r="AD2" s="170" t="s">
        <v>34</v>
      </c>
      <c r="AE2" s="85" t="s">
        <v>13</v>
      </c>
      <c r="AF2" s="158" t="s">
        <v>33</v>
      </c>
      <c r="AG2" s="170" t="s">
        <v>6</v>
      </c>
      <c r="AH2" s="170" t="s">
        <v>7</v>
      </c>
      <c r="AI2" s="170" t="s">
        <v>8</v>
      </c>
      <c r="AJ2" s="170" t="s">
        <v>34</v>
      </c>
      <c r="AK2" s="85" t="s">
        <v>13</v>
      </c>
      <c r="AL2" s="158" t="s">
        <v>33</v>
      </c>
      <c r="AM2" s="170" t="s">
        <v>6</v>
      </c>
      <c r="AN2" s="170" t="s">
        <v>7</v>
      </c>
      <c r="AO2" s="170" t="s">
        <v>8</v>
      </c>
      <c r="AP2" s="170" t="s">
        <v>34</v>
      </c>
      <c r="AQ2" s="85" t="s">
        <v>13</v>
      </c>
      <c r="AR2" s="158" t="s">
        <v>33</v>
      </c>
      <c r="AS2" s="170" t="s">
        <v>6</v>
      </c>
      <c r="AT2" s="170" t="s">
        <v>7</v>
      </c>
      <c r="AU2" s="170" t="s">
        <v>8</v>
      </c>
      <c r="AV2" s="170" t="s">
        <v>34</v>
      </c>
      <c r="AW2" s="85" t="s">
        <v>13</v>
      </c>
      <c r="AX2" s="158" t="s">
        <v>33</v>
      </c>
      <c r="AY2" s="170" t="s">
        <v>6</v>
      </c>
      <c r="AZ2" s="170" t="s">
        <v>7</v>
      </c>
      <c r="BA2" s="170" t="s">
        <v>8</v>
      </c>
      <c r="BB2" s="170" t="s">
        <v>34</v>
      </c>
      <c r="BC2" s="85" t="s">
        <v>13</v>
      </c>
      <c r="BD2" s="158" t="s">
        <v>33</v>
      </c>
      <c r="BE2" s="170" t="s">
        <v>6</v>
      </c>
      <c r="BF2" s="170" t="s">
        <v>7</v>
      </c>
      <c r="BG2" s="170" t="s">
        <v>8</v>
      </c>
      <c r="BH2" s="170" t="s">
        <v>34</v>
      </c>
      <c r="BI2" s="85" t="s">
        <v>13</v>
      </c>
      <c r="BJ2" s="158" t="s">
        <v>33</v>
      </c>
      <c r="BK2" s="170" t="s">
        <v>6</v>
      </c>
      <c r="BL2" s="170" t="s">
        <v>7</v>
      </c>
      <c r="BM2" s="170" t="s">
        <v>8</v>
      </c>
      <c r="BN2" s="170" t="s">
        <v>34</v>
      </c>
      <c r="BO2" s="85" t="s">
        <v>13</v>
      </c>
    </row>
    <row r="3" spans="1:67" ht="12.75" customHeight="1">
      <c r="A3" s="42" t="s">
        <v>0</v>
      </c>
      <c r="B3" s="92"/>
      <c r="C3" s="132"/>
      <c r="D3" s="132"/>
      <c r="E3" s="132" t="str">
        <f>IF((D3=""),"",VLOOKUP(D3,Settings!$M$2:$N$33,2,0))</f>
        <v/>
      </c>
      <c r="F3" s="77"/>
      <c r="G3" s="73"/>
      <c r="H3" s="92"/>
      <c r="I3" s="132"/>
      <c r="J3" s="132"/>
      <c r="K3" s="132" t="str">
        <f>IF((J3=""),"",VLOOKUP(J3,Settings!$M$2:$N$33,2,0))</f>
        <v/>
      </c>
      <c r="L3" s="77"/>
      <c r="M3" s="73"/>
      <c r="N3" s="92"/>
      <c r="O3" s="132"/>
      <c r="P3" s="132"/>
      <c r="Q3" s="132" t="str">
        <f>IF((P3=""),"",VLOOKUP(P3,Settings!$M$2:$N$33,2,0))</f>
        <v/>
      </c>
      <c r="R3" s="77"/>
      <c r="S3" s="73"/>
      <c r="T3" s="92"/>
      <c r="U3" s="132"/>
      <c r="V3" s="132"/>
      <c r="W3" s="132" t="str">
        <f>IF((V3=""),"",VLOOKUP(V3,Settings!$M$2:$N$33,2,0))</f>
        <v/>
      </c>
      <c r="X3" s="77"/>
      <c r="Y3" s="73"/>
      <c r="Z3" s="92"/>
      <c r="AA3" s="132"/>
      <c r="AB3" s="132"/>
      <c r="AC3" s="132" t="str">
        <f>IF((AB3=""),"",VLOOKUP(AB3,Settings!$M$2:$N$33,2,0))</f>
        <v/>
      </c>
      <c r="AD3" s="77"/>
      <c r="AE3" s="73"/>
      <c r="AF3" s="92"/>
      <c r="AG3" s="132"/>
      <c r="AH3" s="132"/>
      <c r="AI3" s="132" t="str">
        <f>IF((AH3=""),"",VLOOKUP(AH3,Settings!$M$2:$N$33,2,0))</f>
        <v/>
      </c>
      <c r="AJ3" s="77"/>
      <c r="AK3" s="73"/>
      <c r="AL3" s="92"/>
      <c r="AM3" s="132"/>
      <c r="AN3" s="132"/>
      <c r="AO3" s="132" t="str">
        <f>IF((AN3=""),"",VLOOKUP(AN3,Settings!$M$2:$N$33,2,0))</f>
        <v/>
      </c>
      <c r="AP3" s="77"/>
      <c r="AQ3" s="73"/>
      <c r="AR3" s="92"/>
      <c r="AS3" s="132"/>
      <c r="AT3" s="132"/>
      <c r="AU3" s="132" t="str">
        <f>IF((AT3=""),"",VLOOKUP(AT3,Settings!$M$2:$N$33,2,0))</f>
        <v/>
      </c>
      <c r="AV3" s="77"/>
      <c r="AW3" s="73"/>
      <c r="AX3" s="92"/>
      <c r="AY3" s="132"/>
      <c r="AZ3" s="132"/>
      <c r="BA3" s="132" t="str">
        <f>IF((AZ3=""),"",VLOOKUP(AZ3,Settings!$M$2:$N$33,2,0))</f>
        <v/>
      </c>
      <c r="BB3" s="77"/>
      <c r="BC3" s="73"/>
      <c r="BD3" s="92"/>
      <c r="BE3" s="132"/>
      <c r="BF3" s="132"/>
      <c r="BG3" s="132" t="str">
        <f>IF((BF3=""),"",VLOOKUP(BF3,Settings!$M$2:$N$33,2,0))</f>
        <v/>
      </c>
      <c r="BH3" s="77"/>
      <c r="BI3" s="73"/>
      <c r="BJ3" s="92"/>
      <c r="BK3" s="132"/>
      <c r="BL3" s="132"/>
      <c r="BM3" s="132" t="str">
        <f>IF((BL3=""),"",VLOOKUP(BL3,Settings!$M$2:$N$33,2,0))</f>
        <v/>
      </c>
      <c r="BN3" s="77"/>
      <c r="BO3" s="73"/>
    </row>
    <row r="4" spans="1:67" ht="12.75" customHeight="1">
      <c r="A4" s="47">
        <v>1</v>
      </c>
      <c r="B4" s="146"/>
      <c r="C4" s="33" t="str">
        <f>IF((B4=""),"",VLOOKUP(B4,QB!$AC:$AD,2,0))</f>
        <v/>
      </c>
      <c r="D4" s="33" t="str">
        <f>IF((C4=""),"",VLOOKUP(C4,QB!$B:$C,2,0))</f>
        <v/>
      </c>
      <c r="E4" s="33" t="str">
        <f>IF((D4=""),"",VLOOKUP(D4,Settings!$M$2:$N$33,2,0))</f>
        <v/>
      </c>
      <c r="F4" s="35"/>
      <c r="G4" s="84" t="str">
        <f>IF((F4=""),"",(F4-VLOOKUP(C4,Cheatsheet!$C$3:$K$32,9,0)))</f>
        <v/>
      </c>
      <c r="H4" s="146"/>
      <c r="I4" s="33" t="str">
        <f>IF((H4=""),"",VLOOKUP(H4,QB!$AC:$AD,2,0))</f>
        <v/>
      </c>
      <c r="J4" s="33" t="str">
        <f>IF((I4=""),"",VLOOKUP(I4,QB!$B:$C,2,0))</f>
        <v/>
      </c>
      <c r="K4" s="33" t="str">
        <f>IF((J4=""),"",VLOOKUP(J4,Settings!$M$2:$N$33,2,0))</f>
        <v/>
      </c>
      <c r="L4" s="35"/>
      <c r="M4" s="84" t="str">
        <f>IF((L4=""),"",(L4-VLOOKUP(I4,Cheatsheet!$C$3:$K$32,9,0)))</f>
        <v/>
      </c>
      <c r="N4" s="146"/>
      <c r="O4" s="33" t="str">
        <f>IF((N4=""),"",VLOOKUP(N4,QB!$AC:$AD,2,0))</f>
        <v/>
      </c>
      <c r="P4" s="33" t="str">
        <f>IF((O4=""),"",VLOOKUP(O4,QB!$B:$C,2,0))</f>
        <v/>
      </c>
      <c r="Q4" s="33" t="str">
        <f>IF((P4=""),"",VLOOKUP(P4,Settings!$M$2:$N$33,2,0))</f>
        <v/>
      </c>
      <c r="R4" s="35"/>
      <c r="S4" s="84" t="str">
        <f>IF((R4=""),"",(R4-VLOOKUP(O4,Cheatsheet!$C$3:$K$32,9,0)))</f>
        <v/>
      </c>
      <c r="T4" s="146"/>
      <c r="U4" s="33" t="str">
        <f>IF((T4=""),"",VLOOKUP(T4,QB!$AC:$AD,2,0))</f>
        <v/>
      </c>
      <c r="V4" s="33" t="str">
        <f>IF((U4=""),"",VLOOKUP(U4,QB!$B:$C,2,0))</f>
        <v/>
      </c>
      <c r="W4" s="33" t="str">
        <f>IF((V4=""),"",VLOOKUP(V4,Settings!$M$2:$N$33,2,0))</f>
        <v/>
      </c>
      <c r="X4" s="35"/>
      <c r="Y4" s="84" t="str">
        <f>IF((X4=""),"",(X4-VLOOKUP(U4,Cheatsheet!$C$3:$K$32,9,0)))</f>
        <v/>
      </c>
      <c r="Z4" s="146"/>
      <c r="AA4" s="33" t="str">
        <f>IF((Z4=""),"",VLOOKUP(Z4,QB!$AC:$AD,2,0))</f>
        <v/>
      </c>
      <c r="AB4" s="33" t="str">
        <f>IF((AA4=""),"",VLOOKUP(AA4,QB!$B:$C,2,0))</f>
        <v/>
      </c>
      <c r="AC4" s="33" t="str">
        <f>IF((AB4=""),"",VLOOKUP(AB4,Settings!$M$2:$N$33,2,0))</f>
        <v/>
      </c>
      <c r="AD4" s="35"/>
      <c r="AE4" s="84" t="str">
        <f>IF((AD4=""),"",(AD4-VLOOKUP(AA4,Cheatsheet!$C$3:$K$32,9,0)))</f>
        <v/>
      </c>
      <c r="AF4" s="146"/>
      <c r="AG4" s="33" t="str">
        <f>IF((AF4=""),"",VLOOKUP(AF4,QB!$AC:$AD,2,0))</f>
        <v/>
      </c>
      <c r="AH4" s="33" t="str">
        <f>IF((AG4=""),"",VLOOKUP(AG4,QB!$B:$C,2,0))</f>
        <v/>
      </c>
      <c r="AI4" s="33" t="str">
        <f>IF((AH4=""),"",VLOOKUP(AH4,Settings!$M$2:$N$33,2,0))</f>
        <v/>
      </c>
      <c r="AJ4" s="35"/>
      <c r="AK4" s="84" t="str">
        <f>IF((AJ4=""),"",(AJ4-VLOOKUP(AG4,Cheatsheet!$C$3:$K$32,9,0)))</f>
        <v/>
      </c>
      <c r="AL4" s="146"/>
      <c r="AM4" s="33" t="str">
        <f>IF((AL4=""),"",VLOOKUP(AL4,QB!$AC:$AD,2,0))</f>
        <v/>
      </c>
      <c r="AN4" s="33" t="str">
        <f>IF((AM4=""),"",VLOOKUP(AM4,QB!$B:$C,2,0))</f>
        <v/>
      </c>
      <c r="AO4" s="33" t="str">
        <f>IF((AN4=""),"",VLOOKUP(AN4,Settings!$M$2:$N$33,2,0))</f>
        <v/>
      </c>
      <c r="AP4" s="35"/>
      <c r="AQ4" s="84" t="str">
        <f>IF((AP4=""),"",(AP4-VLOOKUP(AM4,Cheatsheet!$C$3:$K$32,9,0)))</f>
        <v/>
      </c>
      <c r="AR4" s="146"/>
      <c r="AS4" s="33" t="str">
        <f>IF((AR4=""),"",VLOOKUP(AR4,QB!$AC:$AD,2,0))</f>
        <v/>
      </c>
      <c r="AT4" s="33" t="str">
        <f>IF((AS4=""),"",VLOOKUP(AS4,QB!$B:$C,2,0))</f>
        <v/>
      </c>
      <c r="AU4" s="33" t="str">
        <f>IF((AT4=""),"",VLOOKUP(AT4,Settings!$M$2:$N$33,2,0))</f>
        <v/>
      </c>
      <c r="AV4" s="35"/>
      <c r="AW4" s="84" t="str">
        <f>IF((AV4=""),"",(AV4-VLOOKUP(AS4,Cheatsheet!$C$3:$K$32,9,0)))</f>
        <v/>
      </c>
      <c r="AX4" s="146"/>
      <c r="AY4" s="33" t="str">
        <f>IF((AX4=""),"",VLOOKUP(AX4,QB!$AC:$AD,2,0))</f>
        <v/>
      </c>
      <c r="AZ4" s="33" t="str">
        <f>IF((AY4=""),"",VLOOKUP(AY4,QB!$B:$C,2,0))</f>
        <v/>
      </c>
      <c r="BA4" s="33" t="str">
        <f>IF((AZ4=""),"",VLOOKUP(AZ4,Settings!$M$2:$N$33,2,0))</f>
        <v/>
      </c>
      <c r="BB4" s="35"/>
      <c r="BC4" s="84" t="str">
        <f>IF((BB4=""),"",(BB4-VLOOKUP(AY4,Cheatsheet!$C$3:$K$32,9,0)))</f>
        <v/>
      </c>
      <c r="BD4" s="146"/>
      <c r="BE4" s="33" t="str">
        <f>IF((BD4=""),"",VLOOKUP(BD4,QB!$AC:$AD,2,0))</f>
        <v/>
      </c>
      <c r="BF4" s="33" t="str">
        <f>IF((BE4=""),"",VLOOKUP(BE4,QB!$B:$C,2,0))</f>
        <v/>
      </c>
      <c r="BG4" s="33" t="str">
        <f>IF((BF4=""),"",VLOOKUP(BF4,Settings!$M$2:$N$33,2,0))</f>
        <v/>
      </c>
      <c r="BH4" s="35"/>
      <c r="BI4" s="84" t="str">
        <f>IF((BH4=""),"",(BH4-VLOOKUP(BE4,Cheatsheet!$C$3:$K$32,9,0)))</f>
        <v/>
      </c>
      <c r="BJ4" s="146"/>
      <c r="BK4" s="33" t="str">
        <f>IF((BJ4=""),"",VLOOKUP(BJ4,QB!$AC:$AD,2,0))</f>
        <v/>
      </c>
      <c r="BL4" s="33" t="str">
        <f>IF((BK4=""),"",VLOOKUP(BK4,QB!$B:$C,2,0))</f>
        <v/>
      </c>
      <c r="BM4" s="33" t="str">
        <f>IF((BL4=""),"",VLOOKUP(BL4,Settings!$M$2:$N$33,2,0))</f>
        <v/>
      </c>
      <c r="BN4" s="35"/>
      <c r="BO4" s="84" t="str">
        <f>IF((BN4=""),"",(BN4-VLOOKUP(BK4,Cheatsheet!$C$3:$K$32,9,0)))</f>
        <v/>
      </c>
    </row>
    <row r="5" spans="1:67" ht="12.75" customHeight="1">
      <c r="A5" s="47">
        <v>2</v>
      </c>
      <c r="B5" s="146"/>
      <c r="C5" s="33" t="str">
        <f>IF((B5=""),"",VLOOKUP(B5,QB!$AC:$AD,2,0))</f>
        <v/>
      </c>
      <c r="D5" s="33" t="str">
        <f>IF((C5=""),"",VLOOKUP(C5,QB!$B:$C,2,0))</f>
        <v/>
      </c>
      <c r="E5" s="33" t="str">
        <f>IF((D5=""),"",VLOOKUP(D5,Settings!$M$2:$N$33,2,0))</f>
        <v/>
      </c>
      <c r="F5" s="35"/>
      <c r="G5" s="84" t="str">
        <f>IF((F5=""),"",(F5-VLOOKUP(C5,Cheatsheet!$C$3:$K$32,9,0)))</f>
        <v/>
      </c>
      <c r="H5" s="146"/>
      <c r="I5" s="33" t="str">
        <f>IF((H5=""),"",VLOOKUP(H5,QB!$AC:$AD,2,0))</f>
        <v/>
      </c>
      <c r="J5" s="33" t="str">
        <f>IF((I5=""),"",VLOOKUP(I5,QB!$B:$C,2,0))</f>
        <v/>
      </c>
      <c r="K5" s="33" t="str">
        <f>IF((J5=""),"",VLOOKUP(J5,Settings!$M$2:$N$33,2,0))</f>
        <v/>
      </c>
      <c r="L5" s="35"/>
      <c r="M5" s="84" t="str">
        <f>IF((L5=""),"",(L5-VLOOKUP(I5,Cheatsheet!$C$3:$K$32,9,0)))</f>
        <v/>
      </c>
      <c r="N5" s="146"/>
      <c r="O5" s="33" t="str">
        <f>IF((N5=""),"",VLOOKUP(N5,QB!$AC:$AD,2,0))</f>
        <v/>
      </c>
      <c r="P5" s="33" t="str">
        <f>IF((O5=""),"",VLOOKUP(O5,QB!$B:$C,2,0))</f>
        <v/>
      </c>
      <c r="Q5" s="33" t="str">
        <f>IF((P5=""),"",VLOOKUP(P5,Settings!$M$2:$N$33,2,0))</f>
        <v/>
      </c>
      <c r="R5" s="35"/>
      <c r="S5" s="84" t="str">
        <f>IF((R5=""),"",(R5-VLOOKUP(O5,Cheatsheet!$C$3:$K$32,9,0)))</f>
        <v/>
      </c>
      <c r="T5" s="146"/>
      <c r="U5" s="33" t="str">
        <f>IF((T5=""),"",VLOOKUP(T5,QB!$AC:$AD,2,0))</f>
        <v/>
      </c>
      <c r="V5" s="33" t="str">
        <f>IF((U5=""),"",VLOOKUP(U5,QB!$B:$C,2,0))</f>
        <v/>
      </c>
      <c r="W5" s="33" t="str">
        <f>IF((V5=""),"",VLOOKUP(V5,Settings!$M$2:$N$33,2,0))</f>
        <v/>
      </c>
      <c r="X5" s="35"/>
      <c r="Y5" s="84" t="str">
        <f>IF((X5=""),"",(X5-VLOOKUP(U5,Cheatsheet!$C$3:$K$32,9,0)))</f>
        <v/>
      </c>
      <c r="Z5" s="146"/>
      <c r="AA5" s="33" t="str">
        <f>IF((Z5=""),"",VLOOKUP(Z5,QB!$AC:$AD,2,0))</f>
        <v/>
      </c>
      <c r="AB5" s="33" t="str">
        <f>IF((AA5=""),"",VLOOKUP(AA5,QB!$B:$C,2,0))</f>
        <v/>
      </c>
      <c r="AC5" s="33" t="str">
        <f>IF((AB5=""),"",VLOOKUP(AB5,Settings!$M$2:$N$33,2,0))</f>
        <v/>
      </c>
      <c r="AD5" s="35"/>
      <c r="AE5" s="84" t="str">
        <f>IF((AD5=""),"",(AD5-VLOOKUP(AA5,Cheatsheet!$C$3:$K$32,9,0)))</f>
        <v/>
      </c>
      <c r="AF5" s="146"/>
      <c r="AG5" s="33" t="str">
        <f>IF((AF5=""),"",VLOOKUP(AF5,QB!$AC:$AD,2,0))</f>
        <v/>
      </c>
      <c r="AH5" s="33" t="str">
        <f>IF((AG5=""),"",VLOOKUP(AG5,QB!$B:$C,2,0))</f>
        <v/>
      </c>
      <c r="AI5" s="33" t="str">
        <f>IF((AH5=""),"",VLOOKUP(AH5,Settings!$M$2:$N$33,2,0))</f>
        <v/>
      </c>
      <c r="AJ5" s="35"/>
      <c r="AK5" s="84" t="str">
        <f>IF((AJ5=""),"",(AJ5-VLOOKUP(AG5,Cheatsheet!$C$3:$K$32,9,0)))</f>
        <v/>
      </c>
      <c r="AL5" s="146"/>
      <c r="AM5" s="33" t="str">
        <f>IF((AL5=""),"",VLOOKUP(AL5,QB!$AC:$AD,2,0))</f>
        <v/>
      </c>
      <c r="AN5" s="33" t="str">
        <f>IF((AM5=""),"",VLOOKUP(AM5,QB!$B:$C,2,0))</f>
        <v/>
      </c>
      <c r="AO5" s="33" t="str">
        <f>IF((AN5=""),"",VLOOKUP(AN5,Settings!$M$2:$N$33,2,0))</f>
        <v/>
      </c>
      <c r="AP5" s="35"/>
      <c r="AQ5" s="84" t="str">
        <f>IF((AP5=""),"",(AP5-VLOOKUP(AM5,Cheatsheet!$C$3:$K$32,9,0)))</f>
        <v/>
      </c>
      <c r="AR5" s="146"/>
      <c r="AS5" s="33" t="str">
        <f>IF((AR5=""),"",VLOOKUP(AR5,QB!$AC:$AD,2,0))</f>
        <v/>
      </c>
      <c r="AT5" s="33" t="str">
        <f>IF((AS5=""),"",VLOOKUP(AS5,QB!$B:$C,2,0))</f>
        <v/>
      </c>
      <c r="AU5" s="33" t="str">
        <f>IF((AT5=""),"",VLOOKUP(AT5,Settings!$M$2:$N$33,2,0))</f>
        <v/>
      </c>
      <c r="AV5" s="35"/>
      <c r="AW5" s="84" t="str">
        <f>IF((AV5=""),"",(AV5-VLOOKUP(AS5,Cheatsheet!$C$3:$K$32,9,0)))</f>
        <v/>
      </c>
      <c r="AX5" s="146"/>
      <c r="AY5" s="33" t="str">
        <f>IF((AX5=""),"",VLOOKUP(AX5,QB!$AC:$AD,2,0))</f>
        <v/>
      </c>
      <c r="AZ5" s="33" t="str">
        <f>IF((AY5=""),"",VLOOKUP(AY5,QB!$B:$C,2,0))</f>
        <v/>
      </c>
      <c r="BA5" s="33" t="str">
        <f>IF((AZ5=""),"",VLOOKUP(AZ5,Settings!$M$2:$N$33,2,0))</f>
        <v/>
      </c>
      <c r="BB5" s="35"/>
      <c r="BC5" s="84" t="str">
        <f>IF((BB5=""),"",(BB5-VLOOKUP(AY5,Cheatsheet!$C$3:$K$32,9,0)))</f>
        <v/>
      </c>
      <c r="BD5" s="146"/>
      <c r="BE5" s="33" t="str">
        <f>IF((BD5=""),"",VLOOKUP(BD5,QB!$AC:$AD,2,0))</f>
        <v/>
      </c>
      <c r="BF5" s="33" t="str">
        <f>IF((BE5=""),"",VLOOKUP(BE5,QB!$B:$C,2,0))</f>
        <v/>
      </c>
      <c r="BG5" s="33" t="str">
        <f>IF((BF5=""),"",VLOOKUP(BF5,Settings!$M$2:$N$33,2,0))</f>
        <v/>
      </c>
      <c r="BH5" s="35"/>
      <c r="BI5" s="84" t="str">
        <f>IF((BH5=""),"",(BH5-VLOOKUP(BE5,Cheatsheet!$C$3:$K$32,9,0)))</f>
        <v/>
      </c>
      <c r="BJ5" s="146"/>
      <c r="BK5" s="33" t="str">
        <f>IF((BJ5=""),"",VLOOKUP(BJ5,QB!$AC:$AD,2,0))</f>
        <v/>
      </c>
      <c r="BL5" s="33" t="str">
        <f>IF((BK5=""),"",VLOOKUP(BK5,QB!$B:$C,2,0))</f>
        <v/>
      </c>
      <c r="BM5" s="33" t="str">
        <f>IF((BL5=""),"",VLOOKUP(BL5,Settings!$M$2:$N$33,2,0))</f>
        <v/>
      </c>
      <c r="BN5" s="35"/>
      <c r="BO5" s="84" t="str">
        <f>IF((BN5=""),"",(BN5-VLOOKUP(BK5,Cheatsheet!$C$3:$K$32,9,0)))</f>
        <v/>
      </c>
    </row>
    <row r="6" spans="1:67" ht="12.75" customHeight="1">
      <c r="A6" s="47">
        <v>3</v>
      </c>
      <c r="B6" s="146"/>
      <c r="C6" s="33" t="str">
        <f>IF((B6=""),"",VLOOKUP(B6,QB!$AC:$AD,2,0))</f>
        <v/>
      </c>
      <c r="D6" s="33" t="str">
        <f>IF((C6=""),"",VLOOKUP(C6,QB!$B:$C,2,0))</f>
        <v/>
      </c>
      <c r="E6" s="33" t="str">
        <f>IF((D6=""),"",VLOOKUP(D6,Settings!$M$2:$N$33,2,0))</f>
        <v/>
      </c>
      <c r="F6" s="35"/>
      <c r="G6" s="84" t="str">
        <f>IF((F6=""),"",(F6-VLOOKUP(C6,Cheatsheet!$C$3:$K$32,9,0)))</f>
        <v/>
      </c>
      <c r="H6" s="146"/>
      <c r="I6" s="33" t="str">
        <f>IF((H6=""),"",VLOOKUP(H6,QB!$AC:$AD,2,0))</f>
        <v/>
      </c>
      <c r="J6" s="33" t="str">
        <f>IF((I6=""),"",VLOOKUP(I6,QB!$B:$C,2,0))</f>
        <v/>
      </c>
      <c r="K6" s="33" t="str">
        <f>IF((J6=""),"",VLOOKUP(J6,Settings!$M$2:$N$33,2,0))</f>
        <v/>
      </c>
      <c r="L6" s="35"/>
      <c r="M6" s="84" t="str">
        <f>IF((L6=""),"",(L6-VLOOKUP(I6,Cheatsheet!$C$3:$K$32,9,0)))</f>
        <v/>
      </c>
      <c r="N6" s="146"/>
      <c r="O6" s="33" t="str">
        <f>IF((N6=""),"",VLOOKUP(N6,QB!$AC:$AD,2,0))</f>
        <v/>
      </c>
      <c r="P6" s="33" t="str">
        <f>IF((O6=""),"",VLOOKUP(O6,QB!$B:$C,2,0))</f>
        <v/>
      </c>
      <c r="Q6" s="33" t="str">
        <f>IF((P6=""),"",VLOOKUP(P6,Settings!$M$2:$N$33,2,0))</f>
        <v/>
      </c>
      <c r="R6" s="35"/>
      <c r="S6" s="84" t="str">
        <f>IF((R6=""),"",(R6-VLOOKUP(O6,Cheatsheet!$C$3:$K$32,9,0)))</f>
        <v/>
      </c>
      <c r="T6" s="146"/>
      <c r="U6" s="33" t="str">
        <f>IF((T6=""),"",VLOOKUP(T6,QB!$AC:$AD,2,0))</f>
        <v/>
      </c>
      <c r="V6" s="33" t="str">
        <f>IF((U6=""),"",VLOOKUP(U6,QB!$B:$C,2,0))</f>
        <v/>
      </c>
      <c r="W6" s="33" t="str">
        <f>IF((V6=""),"",VLOOKUP(V6,Settings!$M$2:$N$33,2,0))</f>
        <v/>
      </c>
      <c r="X6" s="35"/>
      <c r="Y6" s="84" t="str">
        <f>IF((X6=""),"",(X6-VLOOKUP(U6,Cheatsheet!$C$3:$K$32,9,0)))</f>
        <v/>
      </c>
      <c r="Z6" s="146"/>
      <c r="AA6" s="33" t="str">
        <f>IF((Z6=""),"",VLOOKUP(Z6,QB!$AC:$AD,2,0))</f>
        <v/>
      </c>
      <c r="AB6" s="33" t="str">
        <f>IF((AA6=""),"",VLOOKUP(AA6,QB!$B:$C,2,0))</f>
        <v/>
      </c>
      <c r="AC6" s="33" t="str">
        <f>IF((AB6=""),"",VLOOKUP(AB6,Settings!$M$2:$N$33,2,0))</f>
        <v/>
      </c>
      <c r="AD6" s="35"/>
      <c r="AE6" s="84" t="str">
        <f>IF((AD6=""),"",(AD6-VLOOKUP(AA6,Cheatsheet!$C$3:$K$32,9,0)))</f>
        <v/>
      </c>
      <c r="AF6" s="146"/>
      <c r="AG6" s="33" t="str">
        <f>IF((AF6=""),"",VLOOKUP(AF6,QB!$AC:$AD,2,0))</f>
        <v/>
      </c>
      <c r="AH6" s="33" t="str">
        <f>IF((AG6=""),"",VLOOKUP(AG6,QB!$B:$C,2,0))</f>
        <v/>
      </c>
      <c r="AI6" s="33" t="str">
        <f>IF((AH6=""),"",VLOOKUP(AH6,Settings!$M$2:$N$33,2,0))</f>
        <v/>
      </c>
      <c r="AJ6" s="35"/>
      <c r="AK6" s="84" t="str">
        <f>IF((AJ6=""),"",(AJ6-VLOOKUP(AG6,Cheatsheet!$C$3:$K$32,9,0)))</f>
        <v/>
      </c>
      <c r="AL6" s="146"/>
      <c r="AM6" s="33" t="str">
        <f>IF((AL6=""),"",VLOOKUP(AL6,QB!$AC:$AD,2,0))</f>
        <v/>
      </c>
      <c r="AN6" s="33" t="str">
        <f>IF((AM6=""),"",VLOOKUP(AM6,QB!$B:$C,2,0))</f>
        <v/>
      </c>
      <c r="AO6" s="33" t="str">
        <f>IF((AN6=""),"",VLOOKUP(AN6,Settings!$M$2:$N$33,2,0))</f>
        <v/>
      </c>
      <c r="AP6" s="35"/>
      <c r="AQ6" s="84" t="str">
        <f>IF((AP6=""),"",(AP6-VLOOKUP(AM6,Cheatsheet!$C$3:$K$32,9,0)))</f>
        <v/>
      </c>
      <c r="AR6" s="146"/>
      <c r="AS6" s="33" t="str">
        <f>IF((AR6=""),"",VLOOKUP(AR6,QB!$AC:$AD,2,0))</f>
        <v/>
      </c>
      <c r="AT6" s="33" t="str">
        <f>IF((AS6=""),"",VLOOKUP(AS6,QB!$B:$C,2,0))</f>
        <v/>
      </c>
      <c r="AU6" s="33" t="str">
        <f>IF((AT6=""),"",VLOOKUP(AT6,Settings!$M$2:$N$33,2,0))</f>
        <v/>
      </c>
      <c r="AV6" s="35"/>
      <c r="AW6" s="84" t="str">
        <f>IF((AV6=""),"",(AV6-VLOOKUP(AS6,Cheatsheet!$C$3:$K$32,9,0)))</f>
        <v/>
      </c>
      <c r="AX6" s="146"/>
      <c r="AY6" s="33" t="str">
        <f>IF((AX6=""),"",VLOOKUP(AX6,QB!$AC:$AD,2,0))</f>
        <v/>
      </c>
      <c r="AZ6" s="33" t="str">
        <f>IF((AY6=""),"",VLOOKUP(AY6,QB!$B:$C,2,0))</f>
        <v/>
      </c>
      <c r="BA6" s="33" t="str">
        <f>IF((AZ6=""),"",VLOOKUP(AZ6,Settings!$M$2:$N$33,2,0))</f>
        <v/>
      </c>
      <c r="BB6" s="35"/>
      <c r="BC6" s="84" t="str">
        <f>IF((BB6=""),"",(BB6-VLOOKUP(AY6,Cheatsheet!$C$3:$K$32,9,0)))</f>
        <v/>
      </c>
      <c r="BD6" s="146"/>
      <c r="BE6" s="33" t="str">
        <f>IF((BD6=""),"",VLOOKUP(BD6,QB!$AC:$AD,2,0))</f>
        <v/>
      </c>
      <c r="BF6" s="33" t="str">
        <f>IF((BE6=""),"",VLOOKUP(BE6,QB!$B:$C,2,0))</f>
        <v/>
      </c>
      <c r="BG6" s="33" t="str">
        <f>IF((BF6=""),"",VLOOKUP(BF6,Settings!$M$2:$N$33,2,0))</f>
        <v/>
      </c>
      <c r="BH6" s="35"/>
      <c r="BI6" s="84" t="str">
        <f>IF((BH6=""),"",(BH6-VLOOKUP(BE6,Cheatsheet!$C$3:$K$32,9,0)))</f>
        <v/>
      </c>
      <c r="BJ6" s="146"/>
      <c r="BK6" s="33" t="str">
        <f>IF((BJ6=""),"",VLOOKUP(BJ6,QB!$AC:$AD,2,0))</f>
        <v/>
      </c>
      <c r="BL6" s="33" t="str">
        <f>IF((BK6=""),"",VLOOKUP(BK6,QB!$B:$C,2,0))</f>
        <v/>
      </c>
      <c r="BM6" s="33" t="str">
        <f>IF((BL6=""),"",VLOOKUP(BL6,Settings!$M$2:$N$33,2,0))</f>
        <v/>
      </c>
      <c r="BN6" s="35"/>
      <c r="BO6" s="84" t="str">
        <f>IF((BN6=""),"",(BN6-VLOOKUP(BK6,Cheatsheet!$C$3:$K$32,9,0)))</f>
        <v/>
      </c>
    </row>
    <row r="7" spans="1:67" ht="12.75" customHeight="1">
      <c r="A7" s="47">
        <v>4</v>
      </c>
      <c r="B7" s="146"/>
      <c r="C7" s="33" t="str">
        <f>IF((B7=""),"",VLOOKUP(B7,QB!$AC:$AD,2,0))</f>
        <v/>
      </c>
      <c r="D7" s="33" t="str">
        <f>IF((C7=""),"",VLOOKUP(C7,QB!$B:$C,2,0))</f>
        <v/>
      </c>
      <c r="E7" s="33" t="str">
        <f>IF((D7=""),"",VLOOKUP(D7,Settings!$M$2:$N$33,2,0))</f>
        <v/>
      </c>
      <c r="F7" s="35"/>
      <c r="G7" s="84" t="str">
        <f>IF((F7=""),"",(F7-VLOOKUP(C7,Cheatsheet!$C$3:$K$32,9,0)))</f>
        <v/>
      </c>
      <c r="H7" s="146"/>
      <c r="I7" s="33" t="str">
        <f>IF((H7=""),"",VLOOKUP(H7,QB!$AC:$AD,2,0))</f>
        <v/>
      </c>
      <c r="J7" s="33" t="str">
        <f>IF((I7=""),"",VLOOKUP(I7,QB!$B:$C,2,0))</f>
        <v/>
      </c>
      <c r="K7" s="33" t="str">
        <f>IF((J7=""),"",VLOOKUP(J7,Settings!$M$2:$N$33,2,0))</f>
        <v/>
      </c>
      <c r="L7" s="35"/>
      <c r="M7" s="84" t="str">
        <f>IF((L7=""),"",(L7-VLOOKUP(I7,Cheatsheet!$C$3:$K$32,9,0)))</f>
        <v/>
      </c>
      <c r="N7" s="146"/>
      <c r="O7" s="33" t="str">
        <f>IF((N7=""),"",VLOOKUP(N7,QB!$AC:$AD,2,0))</f>
        <v/>
      </c>
      <c r="P7" s="33" t="str">
        <f>IF((O7=""),"",VLOOKUP(O7,QB!$B:$C,2,0))</f>
        <v/>
      </c>
      <c r="Q7" s="33" t="str">
        <f>IF((P7=""),"",VLOOKUP(P7,Settings!$M$2:$N$33,2,0))</f>
        <v/>
      </c>
      <c r="R7" s="35"/>
      <c r="S7" s="84" t="str">
        <f>IF((R7=""),"",(R7-VLOOKUP(O7,Cheatsheet!$C$3:$K$32,9,0)))</f>
        <v/>
      </c>
      <c r="T7" s="146"/>
      <c r="U7" s="33" t="str">
        <f>IF((T7=""),"",VLOOKUP(T7,QB!$AC:$AD,2,0))</f>
        <v/>
      </c>
      <c r="V7" s="33" t="str">
        <f>IF((U7=""),"",VLOOKUP(U7,QB!$B:$C,2,0))</f>
        <v/>
      </c>
      <c r="W7" s="33" t="str">
        <f>IF((V7=""),"",VLOOKUP(V7,Settings!$M$2:$N$33,2,0))</f>
        <v/>
      </c>
      <c r="X7" s="35"/>
      <c r="Y7" s="84" t="str">
        <f>IF((X7=""),"",(X7-VLOOKUP(U7,Cheatsheet!$C$3:$K$32,9,0)))</f>
        <v/>
      </c>
      <c r="Z7" s="146"/>
      <c r="AA7" s="33" t="str">
        <f>IF((Z7=""),"",VLOOKUP(Z7,QB!$AC:$AD,2,0))</f>
        <v/>
      </c>
      <c r="AB7" s="33" t="str">
        <f>IF((AA7=""),"",VLOOKUP(AA7,QB!$B:$C,2,0))</f>
        <v/>
      </c>
      <c r="AC7" s="33" t="str">
        <f>IF((AB7=""),"",VLOOKUP(AB7,Settings!$M$2:$N$33,2,0))</f>
        <v/>
      </c>
      <c r="AD7" s="35"/>
      <c r="AE7" s="84" t="str">
        <f>IF((AD7=""),"",(AD7-VLOOKUP(AA7,Cheatsheet!$C$3:$K$32,9,0)))</f>
        <v/>
      </c>
      <c r="AF7" s="146"/>
      <c r="AG7" s="33" t="str">
        <f>IF((AF7=""),"",VLOOKUP(AF7,QB!$AC:$AD,2,0))</f>
        <v/>
      </c>
      <c r="AH7" s="33" t="str">
        <f>IF((AG7=""),"",VLOOKUP(AG7,QB!$B:$C,2,0))</f>
        <v/>
      </c>
      <c r="AI7" s="33" t="str">
        <f>IF((AH7=""),"",VLOOKUP(AH7,Settings!$M$2:$N$33,2,0))</f>
        <v/>
      </c>
      <c r="AJ7" s="35"/>
      <c r="AK7" s="84" t="str">
        <f>IF((AJ7=""),"",(AJ7-VLOOKUP(AG7,Cheatsheet!$C$3:$K$32,9,0)))</f>
        <v/>
      </c>
      <c r="AL7" s="146"/>
      <c r="AM7" s="33" t="str">
        <f>IF((AL7=""),"",VLOOKUP(AL7,QB!$AC:$AD,2,0))</f>
        <v/>
      </c>
      <c r="AN7" s="33" t="str">
        <f>IF((AM7=""),"",VLOOKUP(AM7,QB!$B:$C,2,0))</f>
        <v/>
      </c>
      <c r="AO7" s="33" t="str">
        <f>IF((AN7=""),"",VLOOKUP(AN7,Settings!$M$2:$N$33,2,0))</f>
        <v/>
      </c>
      <c r="AP7" s="35"/>
      <c r="AQ7" s="84" t="str">
        <f>IF((AP7=""),"",(AP7-VLOOKUP(AM7,Cheatsheet!$C$3:$K$32,9,0)))</f>
        <v/>
      </c>
      <c r="AR7" s="146"/>
      <c r="AS7" s="33" t="str">
        <f>IF((AR7=""),"",VLOOKUP(AR7,QB!$AC:$AD,2,0))</f>
        <v/>
      </c>
      <c r="AT7" s="33" t="str">
        <f>IF((AS7=""),"",VLOOKUP(AS7,QB!$B:$C,2,0))</f>
        <v/>
      </c>
      <c r="AU7" s="33" t="str">
        <f>IF((AT7=""),"",VLOOKUP(AT7,Settings!$M$2:$N$33,2,0))</f>
        <v/>
      </c>
      <c r="AV7" s="35"/>
      <c r="AW7" s="84" t="str">
        <f>IF((AV7=""),"",(AV7-VLOOKUP(AS7,Cheatsheet!$C$3:$K$32,9,0)))</f>
        <v/>
      </c>
      <c r="AX7" s="146"/>
      <c r="AY7" s="33" t="str">
        <f>IF((AX7=""),"",VLOOKUP(AX7,QB!$AC:$AD,2,0))</f>
        <v/>
      </c>
      <c r="AZ7" s="33" t="str">
        <f>IF((AY7=""),"",VLOOKUP(AY7,QB!$B:$C,2,0))</f>
        <v/>
      </c>
      <c r="BA7" s="33" t="str">
        <f>IF((AZ7=""),"",VLOOKUP(AZ7,Settings!$M$2:$N$33,2,0))</f>
        <v/>
      </c>
      <c r="BB7" s="35"/>
      <c r="BC7" s="84" t="str">
        <f>IF((BB7=""),"",(BB7-VLOOKUP(AY7,Cheatsheet!$C$3:$K$32,9,0)))</f>
        <v/>
      </c>
      <c r="BD7" s="146"/>
      <c r="BE7" s="33" t="str">
        <f>IF((BD7=""),"",VLOOKUP(BD7,QB!$AC:$AD,2,0))</f>
        <v/>
      </c>
      <c r="BF7" s="33" t="str">
        <f>IF((BE7=""),"",VLOOKUP(BE7,QB!$B:$C,2,0))</f>
        <v/>
      </c>
      <c r="BG7" s="33" t="str">
        <f>IF((BF7=""),"",VLOOKUP(BF7,Settings!$M$2:$N$33,2,0))</f>
        <v/>
      </c>
      <c r="BH7" s="35"/>
      <c r="BI7" s="84" t="str">
        <f>IF((BH7=""),"",(BH7-VLOOKUP(BE7,Cheatsheet!$C$3:$K$32,9,0)))</f>
        <v/>
      </c>
      <c r="BJ7" s="146"/>
      <c r="BK7" s="33" t="str">
        <f>IF((BJ7=""),"",VLOOKUP(BJ7,QB!$AC:$AD,2,0))</f>
        <v/>
      </c>
      <c r="BL7" s="33" t="str">
        <f>IF((BK7=""),"",VLOOKUP(BK7,QB!$B:$C,2,0))</f>
        <v/>
      </c>
      <c r="BM7" s="33" t="str">
        <f>IF((BL7=""),"",VLOOKUP(BL7,Settings!$M$2:$N$33,2,0))</f>
        <v/>
      </c>
      <c r="BN7" s="35"/>
      <c r="BO7" s="84" t="str">
        <f>IF((BN7=""),"",(BN7-VLOOKUP(BK7,Cheatsheet!$C$3:$K$32,9,0)))</f>
        <v/>
      </c>
    </row>
    <row r="8" spans="1:67" ht="12.75" customHeight="1">
      <c r="A8" s="42" t="s">
        <v>2</v>
      </c>
      <c r="B8" s="92"/>
      <c r="C8" s="132"/>
      <c r="D8" s="132"/>
      <c r="E8" s="132"/>
      <c r="F8" s="143"/>
      <c r="G8" s="94"/>
      <c r="H8" s="92"/>
      <c r="I8" s="132"/>
      <c r="J8" s="132"/>
      <c r="K8" s="132"/>
      <c r="L8" s="143"/>
      <c r="M8" s="94"/>
      <c r="N8" s="92"/>
      <c r="O8" s="132"/>
      <c r="P8" s="132"/>
      <c r="Q8" s="132"/>
      <c r="R8" s="143"/>
      <c r="S8" s="94"/>
      <c r="T8" s="92"/>
      <c r="U8" s="132"/>
      <c r="V8" s="132"/>
      <c r="W8" s="132"/>
      <c r="X8" s="143"/>
      <c r="Y8" s="94"/>
      <c r="Z8" s="92"/>
      <c r="AA8" s="132"/>
      <c r="AB8" s="132"/>
      <c r="AC8" s="132"/>
      <c r="AD8" s="143"/>
      <c r="AE8" s="94"/>
      <c r="AF8" s="92"/>
      <c r="AG8" s="132"/>
      <c r="AH8" s="132"/>
      <c r="AI8" s="132"/>
      <c r="AJ8" s="143"/>
      <c r="AK8" s="94"/>
      <c r="AL8" s="92"/>
      <c r="AM8" s="132"/>
      <c r="AN8" s="132"/>
      <c r="AO8" s="132"/>
      <c r="AP8" s="143"/>
      <c r="AQ8" s="94"/>
      <c r="AR8" s="92"/>
      <c r="AS8" s="132"/>
      <c r="AT8" s="132"/>
      <c r="AU8" s="132"/>
      <c r="AV8" s="143"/>
      <c r="AW8" s="94"/>
      <c r="AX8" s="92"/>
      <c r="AY8" s="132"/>
      <c r="AZ8" s="132"/>
      <c r="BA8" s="132"/>
      <c r="BB8" s="143"/>
      <c r="BC8" s="94"/>
      <c r="BD8" s="92"/>
      <c r="BE8" s="132"/>
      <c r="BF8" s="132"/>
      <c r="BG8" s="132"/>
      <c r="BH8" s="143"/>
      <c r="BI8" s="94"/>
      <c r="BJ8" s="92"/>
      <c r="BK8" s="132"/>
      <c r="BL8" s="132"/>
      <c r="BM8" s="132"/>
      <c r="BN8" s="143"/>
      <c r="BO8" s="94"/>
    </row>
    <row r="9" spans="1:67" ht="12.75" customHeight="1">
      <c r="A9" s="47">
        <v>1</v>
      </c>
      <c r="B9" s="146"/>
      <c r="C9" s="33" t="str">
        <f>IF((B9=""),"",VLOOKUP(B9,RB!$Z:$AA,2,0))</f>
        <v/>
      </c>
      <c r="D9" s="33" t="str">
        <f>IF((C9=""),"",VLOOKUP(C9,RB!$B:$C,2,0))</f>
        <v/>
      </c>
      <c r="E9" s="33" t="str">
        <f>IF((D9=""),"",VLOOKUP(D9,Settings!$M$2:$N$33,2,0))</f>
        <v/>
      </c>
      <c r="F9" s="35"/>
      <c r="G9" s="84" t="str">
        <f>IF((F9=""),"",(F9-VLOOKUP(C9,Cheatsheet!$O$3:$W$102,9,0)))</f>
        <v/>
      </c>
      <c r="H9" s="146"/>
      <c r="I9" s="33" t="str">
        <f>IF((H9=""),"",VLOOKUP(H9,RB!$Z:$AA,2,0))</f>
        <v/>
      </c>
      <c r="J9" s="33" t="str">
        <f>IF((I9=""),"",VLOOKUP(I9,RB!$B:$C,2,0))</f>
        <v/>
      </c>
      <c r="K9" s="33" t="str">
        <f>IF((J9=""),"",VLOOKUP(J9,Settings!$M$2:$N$33,2,0))</f>
        <v/>
      </c>
      <c r="L9" s="35"/>
      <c r="M9" s="84" t="str">
        <f>IF((L9=""),"",(L9-VLOOKUP(I9,Cheatsheet!$O$3:$W$102,9,0)))</f>
        <v/>
      </c>
      <c r="N9" s="146"/>
      <c r="O9" s="33" t="str">
        <f>IF((N9=""),"",VLOOKUP(N9,RB!$Z:$AA,2,0))</f>
        <v/>
      </c>
      <c r="P9" s="33" t="str">
        <f>IF((O9=""),"",VLOOKUP(O9,RB!$B:$C,2,0))</f>
        <v/>
      </c>
      <c r="Q9" s="33" t="str">
        <f>IF((P9=""),"",VLOOKUP(P9,Settings!$M$2:$N$33,2,0))</f>
        <v/>
      </c>
      <c r="R9" s="35"/>
      <c r="S9" s="84" t="str">
        <f>IF((R9=""),"",(R9-VLOOKUP(O9,Cheatsheet!$O$3:$W$102,9,0)))</f>
        <v/>
      </c>
      <c r="T9" s="146"/>
      <c r="U9" s="33" t="str">
        <f>IF((T9=""),"",VLOOKUP(T9,RB!$Z:$AA,2,0))</f>
        <v/>
      </c>
      <c r="V9" s="33" t="str">
        <f>IF((U9=""),"",VLOOKUP(U9,RB!$B:$C,2,0))</f>
        <v/>
      </c>
      <c r="W9" s="33" t="str">
        <f>IF((V9=""),"",VLOOKUP(V9,Settings!$M$2:$N$33,2,0))</f>
        <v/>
      </c>
      <c r="X9" s="35"/>
      <c r="Y9" s="84" t="str">
        <f>IF((X9=""),"",(X9-VLOOKUP(U9,Cheatsheet!$O$3:$W$102,9,0)))</f>
        <v/>
      </c>
      <c r="Z9" s="146"/>
      <c r="AA9" s="33" t="str">
        <f>IF((Z9=""),"",VLOOKUP(Z9,RB!$Z:$AA,2,0))</f>
        <v/>
      </c>
      <c r="AB9" s="33" t="str">
        <f>IF((AA9=""),"",VLOOKUP(AA9,RB!$B:$C,2,0))</f>
        <v/>
      </c>
      <c r="AC9" s="33" t="str">
        <f>IF((AB9=""),"",VLOOKUP(AB9,Settings!$M$2:$N$33,2,0))</f>
        <v/>
      </c>
      <c r="AD9" s="35"/>
      <c r="AE9" s="84" t="str">
        <f>IF((AD9=""),"",(AD9-VLOOKUP(AA9,Cheatsheet!$O$3:$W$102,9,0)))</f>
        <v/>
      </c>
      <c r="AF9" s="146"/>
      <c r="AG9" s="33" t="str">
        <f>IF((AF9=""),"",VLOOKUP(AF9,RB!$Z:$AA,2,0))</f>
        <v/>
      </c>
      <c r="AH9" s="33" t="str">
        <f>IF((AG9=""),"",VLOOKUP(AG9,RB!$B:$C,2,0))</f>
        <v/>
      </c>
      <c r="AI9" s="33" t="str">
        <f>IF((AH9=""),"",VLOOKUP(AH9,Settings!$M$2:$N$33,2,0))</f>
        <v/>
      </c>
      <c r="AJ9" s="35"/>
      <c r="AK9" s="84" t="str">
        <f>IF((AJ9=""),"",(AJ9-VLOOKUP(AG9,Cheatsheet!$O$3:$W$102,9,0)))</f>
        <v/>
      </c>
      <c r="AL9" s="146"/>
      <c r="AM9" s="33" t="str">
        <f>IF((AL9=""),"",VLOOKUP(AL9,RB!$Z:$AA,2,0))</f>
        <v/>
      </c>
      <c r="AN9" s="33" t="str">
        <f>IF((AM9=""),"",VLOOKUP(AM9,RB!$B:$C,2,0))</f>
        <v/>
      </c>
      <c r="AO9" s="33" t="str">
        <f>IF((AN9=""),"",VLOOKUP(AN9,Settings!$M$2:$N$33,2,0))</f>
        <v/>
      </c>
      <c r="AP9" s="35"/>
      <c r="AQ9" s="84" t="str">
        <f>IF((AP9=""),"",(AP9-VLOOKUP(AM9,Cheatsheet!$O$3:$W$102,9,0)))</f>
        <v/>
      </c>
      <c r="AR9" s="146"/>
      <c r="AS9" s="33" t="str">
        <f>IF((AR9=""),"",VLOOKUP(AR9,RB!$Z:$AA,2,0))</f>
        <v/>
      </c>
      <c r="AT9" s="33" t="str">
        <f>IF((AS9=""),"",VLOOKUP(AS9,RB!$B:$C,2,0))</f>
        <v/>
      </c>
      <c r="AU9" s="33" t="str">
        <f>IF((AT9=""),"",VLOOKUP(AT9,Settings!$M$2:$N$33,2,0))</f>
        <v/>
      </c>
      <c r="AV9" s="35"/>
      <c r="AW9" s="84" t="str">
        <f>IF((AV9=""),"",(AV9-VLOOKUP(AS9,Cheatsheet!$O$3:$W$102,9,0)))</f>
        <v/>
      </c>
      <c r="AX9" s="146"/>
      <c r="AY9" s="33" t="str">
        <f>IF((AX9=""),"",VLOOKUP(AX9,RB!$Z:$AA,2,0))</f>
        <v/>
      </c>
      <c r="AZ9" s="33" t="str">
        <f>IF((AY9=""),"",VLOOKUP(AY9,RB!$B:$C,2,0))</f>
        <v/>
      </c>
      <c r="BA9" s="33" t="str">
        <f>IF((AZ9=""),"",VLOOKUP(AZ9,Settings!$M$2:$N$33,2,0))</f>
        <v/>
      </c>
      <c r="BB9" s="35"/>
      <c r="BC9" s="84" t="str">
        <f>IF((BB9=""),"",(BB9-VLOOKUP(AY9,Cheatsheet!$O$3:$W$102,9,0)))</f>
        <v/>
      </c>
      <c r="BD9" s="146"/>
      <c r="BE9" s="33" t="str">
        <f>IF((BD9=""),"",VLOOKUP(BD9,RB!$Z:$AA,2,0))</f>
        <v/>
      </c>
      <c r="BF9" s="33" t="str">
        <f>IF((BE9=""),"",VLOOKUP(BE9,RB!$B:$C,2,0))</f>
        <v/>
      </c>
      <c r="BG9" s="33" t="str">
        <f>IF((BF9=""),"",VLOOKUP(BF9,Settings!$M$2:$N$33,2,0))</f>
        <v/>
      </c>
      <c r="BH9" s="35"/>
      <c r="BI9" s="84" t="str">
        <f>IF((BH9=""),"",(BH9-VLOOKUP(BE9,Cheatsheet!$O$3:$W$102,9,0)))</f>
        <v/>
      </c>
      <c r="BJ9" s="146"/>
      <c r="BK9" s="33" t="str">
        <f>IF((BJ9=""),"",VLOOKUP(BJ9,RB!$Z:$AA,2,0))</f>
        <v/>
      </c>
      <c r="BL9" s="33" t="str">
        <f>IF((BK9=""),"",VLOOKUP(BK9,RB!$B:$C,2,0))</f>
        <v/>
      </c>
      <c r="BM9" s="33" t="str">
        <f>IF((BL9=""),"",VLOOKUP(BL9,Settings!$M$2:$N$33,2,0))</f>
        <v/>
      </c>
      <c r="BN9" s="35"/>
      <c r="BO9" s="84" t="str">
        <f>IF((BN9=""),"",(BN9-VLOOKUP(BK9,Cheatsheet!$O$3:$W$102,9,0)))</f>
        <v/>
      </c>
    </row>
    <row r="10" spans="1:67" ht="12.75" customHeight="1">
      <c r="A10" s="47">
        <v>2</v>
      </c>
      <c r="B10" s="146"/>
      <c r="C10" s="33" t="str">
        <f>IF((B10=""),"",VLOOKUP(B10,RB!$Z:$AA,2,0))</f>
        <v/>
      </c>
      <c r="D10" s="33" t="str">
        <f>IF((C10=""),"",VLOOKUP(C10,RB!$B:$C,2,0))</f>
        <v/>
      </c>
      <c r="E10" s="33" t="str">
        <f>IF((D10=""),"",VLOOKUP(D10,Settings!$M$2:$N$33,2,0))</f>
        <v/>
      </c>
      <c r="F10" s="35"/>
      <c r="G10" s="84" t="str">
        <f>IF((F10=""),"",(F10-VLOOKUP(C10,Cheatsheet!$O$3:$W$102,9,0)))</f>
        <v/>
      </c>
      <c r="H10" s="146"/>
      <c r="I10" s="33" t="str">
        <f>IF((H10=""),"",VLOOKUP(H10,RB!$Z:$AA,2,0))</f>
        <v/>
      </c>
      <c r="J10" s="33" t="str">
        <f>IF((I10=""),"",VLOOKUP(I10,RB!$B:$C,2,0))</f>
        <v/>
      </c>
      <c r="K10" s="33" t="str">
        <f>IF((J10=""),"",VLOOKUP(J10,Settings!$M$2:$N$33,2,0))</f>
        <v/>
      </c>
      <c r="L10" s="35"/>
      <c r="M10" s="84" t="str">
        <f>IF((L10=""),"",(L10-VLOOKUP(I10,Cheatsheet!$O$3:$W$102,9,0)))</f>
        <v/>
      </c>
      <c r="N10" s="146"/>
      <c r="O10" s="33" t="str">
        <f>IF((N10=""),"",VLOOKUP(N10,RB!$Z:$AA,2,0))</f>
        <v/>
      </c>
      <c r="P10" s="33" t="str">
        <f>IF((O10=""),"",VLOOKUP(O10,RB!$B:$C,2,0))</f>
        <v/>
      </c>
      <c r="Q10" s="33" t="str">
        <f>IF((P10=""),"",VLOOKUP(P10,Settings!$M$2:$N$33,2,0))</f>
        <v/>
      </c>
      <c r="R10" s="35"/>
      <c r="S10" s="84" t="str">
        <f>IF((R10=""),"",(R10-VLOOKUP(O10,Cheatsheet!$O$3:$W$102,9,0)))</f>
        <v/>
      </c>
      <c r="T10" s="146"/>
      <c r="U10" s="33" t="str">
        <f>IF((T10=""),"",VLOOKUP(T10,RB!$Z:$AA,2,0))</f>
        <v/>
      </c>
      <c r="V10" s="33" t="str">
        <f>IF((U10=""),"",VLOOKUP(U10,RB!$B:$C,2,0))</f>
        <v/>
      </c>
      <c r="W10" s="33" t="str">
        <f>IF((V10=""),"",VLOOKUP(V10,Settings!$M$2:$N$33,2,0))</f>
        <v/>
      </c>
      <c r="X10" s="35"/>
      <c r="Y10" s="84" t="str">
        <f>IF((X10=""),"",(X10-VLOOKUP(U10,Cheatsheet!$O$3:$W$102,9,0)))</f>
        <v/>
      </c>
      <c r="Z10" s="146"/>
      <c r="AA10" s="33" t="str">
        <f>IF((Z10=""),"",VLOOKUP(Z10,RB!$Z:$AA,2,0))</f>
        <v/>
      </c>
      <c r="AB10" s="33" t="str">
        <f>IF((AA10=""),"",VLOOKUP(AA10,RB!$B:$C,2,0))</f>
        <v/>
      </c>
      <c r="AC10" s="33" t="str">
        <f>IF((AB10=""),"",VLOOKUP(AB10,Settings!$M$2:$N$33,2,0))</f>
        <v/>
      </c>
      <c r="AD10" s="35"/>
      <c r="AE10" s="84" t="str">
        <f>IF((AD10=""),"",(AD10-VLOOKUP(AA10,Cheatsheet!$O$3:$W$102,9,0)))</f>
        <v/>
      </c>
      <c r="AF10" s="146"/>
      <c r="AG10" s="33" t="str">
        <f>IF((AF10=""),"",VLOOKUP(AF10,RB!$Z:$AA,2,0))</f>
        <v/>
      </c>
      <c r="AH10" s="33" t="str">
        <f>IF((AG10=""),"",VLOOKUP(AG10,RB!$B:$C,2,0))</f>
        <v/>
      </c>
      <c r="AI10" s="33" t="str">
        <f>IF((AH10=""),"",VLOOKUP(AH10,Settings!$M$2:$N$33,2,0))</f>
        <v/>
      </c>
      <c r="AJ10" s="35"/>
      <c r="AK10" s="84" t="str">
        <f>IF((AJ10=""),"",(AJ10-VLOOKUP(AG10,Cheatsheet!$O$3:$W$102,9,0)))</f>
        <v/>
      </c>
      <c r="AL10" s="146"/>
      <c r="AM10" s="33" t="str">
        <f>IF((AL10=""),"",VLOOKUP(AL10,RB!$Z:$AA,2,0))</f>
        <v/>
      </c>
      <c r="AN10" s="33" t="str">
        <f>IF((AM10=""),"",VLOOKUP(AM10,RB!$B:$C,2,0))</f>
        <v/>
      </c>
      <c r="AO10" s="33" t="str">
        <f>IF((AN10=""),"",VLOOKUP(AN10,Settings!$M$2:$N$33,2,0))</f>
        <v/>
      </c>
      <c r="AP10" s="35"/>
      <c r="AQ10" s="84" t="str">
        <f>IF((AP10=""),"",(AP10-VLOOKUP(AM10,Cheatsheet!$O$3:$W$102,9,0)))</f>
        <v/>
      </c>
      <c r="AR10" s="146"/>
      <c r="AS10" s="33" t="str">
        <f>IF((AR10=""),"",VLOOKUP(AR10,RB!$Z:$AA,2,0))</f>
        <v/>
      </c>
      <c r="AT10" s="33" t="str">
        <f>IF((AS10=""),"",VLOOKUP(AS10,RB!$B:$C,2,0))</f>
        <v/>
      </c>
      <c r="AU10" s="33" t="str">
        <f>IF((AT10=""),"",VLOOKUP(AT10,Settings!$M$2:$N$33,2,0))</f>
        <v/>
      </c>
      <c r="AV10" s="35"/>
      <c r="AW10" s="84" t="str">
        <f>IF((AV10=""),"",(AV10-VLOOKUP(AS10,Cheatsheet!$O$3:$W$102,9,0)))</f>
        <v/>
      </c>
      <c r="AX10" s="146"/>
      <c r="AY10" s="33" t="str">
        <f>IF((AX10=""),"",VLOOKUP(AX10,RB!$Z:$AA,2,0))</f>
        <v/>
      </c>
      <c r="AZ10" s="33" t="str">
        <f>IF((AY10=""),"",VLOOKUP(AY10,RB!$B:$C,2,0))</f>
        <v/>
      </c>
      <c r="BA10" s="33" t="str">
        <f>IF((AZ10=""),"",VLOOKUP(AZ10,Settings!$M$2:$N$33,2,0))</f>
        <v/>
      </c>
      <c r="BB10" s="35"/>
      <c r="BC10" s="84" t="str">
        <f>IF((BB10=""),"",(BB10-VLOOKUP(AY10,Cheatsheet!$O$3:$W$102,9,0)))</f>
        <v/>
      </c>
      <c r="BD10" s="146"/>
      <c r="BE10" s="33" t="str">
        <f>IF((BD10=""),"",VLOOKUP(BD10,RB!$Z:$AA,2,0))</f>
        <v/>
      </c>
      <c r="BF10" s="33" t="str">
        <f>IF((BE10=""),"",VLOOKUP(BE10,RB!$B:$C,2,0))</f>
        <v/>
      </c>
      <c r="BG10" s="33" t="str">
        <f>IF((BF10=""),"",VLOOKUP(BF10,Settings!$M$2:$N$33,2,0))</f>
        <v/>
      </c>
      <c r="BH10" s="35"/>
      <c r="BI10" s="84" t="str">
        <f>IF((BH10=""),"",(BH10-VLOOKUP(BE10,Cheatsheet!$O$3:$W$102,9,0)))</f>
        <v/>
      </c>
      <c r="BJ10" s="146"/>
      <c r="BK10" s="33" t="str">
        <f>IF((BJ10=""),"",VLOOKUP(BJ10,RB!$Z:$AA,2,0))</f>
        <v/>
      </c>
      <c r="BL10" s="33" t="str">
        <f>IF((BK10=""),"",VLOOKUP(BK10,RB!$B:$C,2,0))</f>
        <v/>
      </c>
      <c r="BM10" s="33" t="str">
        <f>IF((BL10=""),"",VLOOKUP(BL10,Settings!$M$2:$N$33,2,0))</f>
        <v/>
      </c>
      <c r="BN10" s="35"/>
      <c r="BO10" s="84" t="str">
        <f>IF((BN10=""),"",(BN10-VLOOKUP(BK10,Cheatsheet!$O$3:$W$102,9,0)))</f>
        <v/>
      </c>
    </row>
    <row r="11" spans="1:67" ht="12.75" customHeight="1">
      <c r="A11" s="47">
        <v>3</v>
      </c>
      <c r="B11" s="146"/>
      <c r="C11" s="33" t="str">
        <f>IF((B11=""),"",VLOOKUP(B11,RB!$Z:$AA,2,0))</f>
        <v/>
      </c>
      <c r="D11" s="33" t="str">
        <f>IF((C11=""),"",VLOOKUP(C11,RB!$B:$C,2,0))</f>
        <v/>
      </c>
      <c r="E11" s="33" t="str">
        <f>IF((D11=""),"",VLOOKUP(D11,Settings!$M$2:$N$33,2,0))</f>
        <v/>
      </c>
      <c r="F11" s="35"/>
      <c r="G11" s="84" t="str">
        <f>IF((F11=""),"",(F11-VLOOKUP(C11,Cheatsheet!$O$3:$W$102,9,0)))</f>
        <v/>
      </c>
      <c r="H11" s="146"/>
      <c r="I11" s="33" t="str">
        <f>IF((H11=""),"",VLOOKUP(H11,RB!$Z:$AA,2,0))</f>
        <v/>
      </c>
      <c r="J11" s="33" t="str">
        <f>IF((I11=""),"",VLOOKUP(I11,RB!$B:$C,2,0))</f>
        <v/>
      </c>
      <c r="K11" s="33" t="str">
        <f>IF((J11=""),"",VLOOKUP(J11,Settings!$M$2:$N$33,2,0))</f>
        <v/>
      </c>
      <c r="L11" s="35"/>
      <c r="M11" s="84" t="str">
        <f>IF((L11=""),"",(L11-VLOOKUP(I11,Cheatsheet!$O$3:$W$102,9,0)))</f>
        <v/>
      </c>
      <c r="N11" s="146"/>
      <c r="O11" s="33" t="str">
        <f>IF((N11=""),"",VLOOKUP(N11,RB!$Z:$AA,2,0))</f>
        <v/>
      </c>
      <c r="P11" s="33" t="str">
        <f>IF((O11=""),"",VLOOKUP(O11,RB!$B:$C,2,0))</f>
        <v/>
      </c>
      <c r="Q11" s="33" t="str">
        <f>IF((P11=""),"",VLOOKUP(P11,Settings!$M$2:$N$33,2,0))</f>
        <v/>
      </c>
      <c r="R11" s="35"/>
      <c r="S11" s="84" t="str">
        <f>IF((R11=""),"",(R11-VLOOKUP(O11,Cheatsheet!$O$3:$W$102,9,0)))</f>
        <v/>
      </c>
      <c r="T11" s="146"/>
      <c r="U11" s="33" t="str">
        <f>IF((T11=""),"",VLOOKUP(T11,RB!$Z:$AA,2,0))</f>
        <v/>
      </c>
      <c r="V11" s="33" t="str">
        <f>IF((U11=""),"",VLOOKUP(U11,RB!$B:$C,2,0))</f>
        <v/>
      </c>
      <c r="W11" s="33" t="str">
        <f>IF((V11=""),"",VLOOKUP(V11,Settings!$M$2:$N$33,2,0))</f>
        <v/>
      </c>
      <c r="X11" s="35"/>
      <c r="Y11" s="84" t="str">
        <f>IF((X11=""),"",(X11-VLOOKUP(U11,Cheatsheet!$O$3:$W$102,9,0)))</f>
        <v/>
      </c>
      <c r="Z11" s="146"/>
      <c r="AA11" s="33" t="str">
        <f>IF((Z11=""),"",VLOOKUP(Z11,RB!$Z:$AA,2,0))</f>
        <v/>
      </c>
      <c r="AB11" s="33" t="str">
        <f>IF((AA11=""),"",VLOOKUP(AA11,RB!$B:$C,2,0))</f>
        <v/>
      </c>
      <c r="AC11" s="33" t="str">
        <f>IF((AB11=""),"",VLOOKUP(AB11,Settings!$M$2:$N$33,2,0))</f>
        <v/>
      </c>
      <c r="AD11" s="35"/>
      <c r="AE11" s="84" t="str">
        <f>IF((AD11=""),"",(AD11-VLOOKUP(AA11,Cheatsheet!$O$3:$W$102,9,0)))</f>
        <v/>
      </c>
      <c r="AF11" s="146"/>
      <c r="AG11" s="33" t="str">
        <f>IF((AF11=""),"",VLOOKUP(AF11,RB!$Z:$AA,2,0))</f>
        <v/>
      </c>
      <c r="AH11" s="33" t="str">
        <f>IF((AG11=""),"",VLOOKUP(AG11,RB!$B:$C,2,0))</f>
        <v/>
      </c>
      <c r="AI11" s="33" t="str">
        <f>IF((AH11=""),"",VLOOKUP(AH11,Settings!$M$2:$N$33,2,0))</f>
        <v/>
      </c>
      <c r="AJ11" s="35"/>
      <c r="AK11" s="84" t="str">
        <f>IF((AJ11=""),"",(AJ11-VLOOKUP(AG11,Cheatsheet!$O$3:$W$102,9,0)))</f>
        <v/>
      </c>
      <c r="AL11" s="146"/>
      <c r="AM11" s="33" t="str">
        <f>IF((AL11=""),"",VLOOKUP(AL11,RB!$Z:$AA,2,0))</f>
        <v/>
      </c>
      <c r="AN11" s="33" t="str">
        <f>IF((AM11=""),"",VLOOKUP(AM11,RB!$B:$C,2,0))</f>
        <v/>
      </c>
      <c r="AO11" s="33" t="str">
        <f>IF((AN11=""),"",VLOOKUP(AN11,Settings!$M$2:$N$33,2,0))</f>
        <v/>
      </c>
      <c r="AP11" s="35"/>
      <c r="AQ11" s="84" t="str">
        <f>IF((AP11=""),"",(AP11-VLOOKUP(AM11,Cheatsheet!$O$3:$W$102,9,0)))</f>
        <v/>
      </c>
      <c r="AR11" s="146"/>
      <c r="AS11" s="33" t="str">
        <f>IF((AR11=""),"",VLOOKUP(AR11,RB!$Z:$AA,2,0))</f>
        <v/>
      </c>
      <c r="AT11" s="33" t="str">
        <f>IF((AS11=""),"",VLOOKUP(AS11,RB!$B:$C,2,0))</f>
        <v/>
      </c>
      <c r="AU11" s="33" t="str">
        <f>IF((AT11=""),"",VLOOKUP(AT11,Settings!$M$2:$N$33,2,0))</f>
        <v/>
      </c>
      <c r="AV11" s="35"/>
      <c r="AW11" s="84" t="str">
        <f>IF((AV11=""),"",(AV11-VLOOKUP(AS11,Cheatsheet!$O$3:$W$102,9,0)))</f>
        <v/>
      </c>
      <c r="AX11" s="146"/>
      <c r="AY11" s="33" t="str">
        <f>IF((AX11=""),"",VLOOKUP(AX11,RB!$Z:$AA,2,0))</f>
        <v/>
      </c>
      <c r="AZ11" s="33" t="str">
        <f>IF((AY11=""),"",VLOOKUP(AY11,RB!$B:$C,2,0))</f>
        <v/>
      </c>
      <c r="BA11" s="33" t="str">
        <f>IF((AZ11=""),"",VLOOKUP(AZ11,Settings!$M$2:$N$33,2,0))</f>
        <v/>
      </c>
      <c r="BB11" s="35"/>
      <c r="BC11" s="84" t="str">
        <f>IF((BB11=""),"",(BB11-VLOOKUP(AY11,Cheatsheet!$O$3:$W$102,9,0)))</f>
        <v/>
      </c>
      <c r="BD11" s="146"/>
      <c r="BE11" s="33" t="str">
        <f>IF((BD11=""),"",VLOOKUP(BD11,RB!$Z:$AA,2,0))</f>
        <v/>
      </c>
      <c r="BF11" s="33" t="str">
        <f>IF((BE11=""),"",VLOOKUP(BE11,RB!$B:$C,2,0))</f>
        <v/>
      </c>
      <c r="BG11" s="33" t="str">
        <f>IF((BF11=""),"",VLOOKUP(BF11,Settings!$M$2:$N$33,2,0))</f>
        <v/>
      </c>
      <c r="BH11" s="35"/>
      <c r="BI11" s="84" t="str">
        <f>IF((BH11=""),"",(BH11-VLOOKUP(BE11,Cheatsheet!$O$3:$W$102,9,0)))</f>
        <v/>
      </c>
      <c r="BJ11" s="146"/>
      <c r="BK11" s="33" t="str">
        <f>IF((BJ11=""),"",VLOOKUP(BJ11,RB!$Z:$AA,2,0))</f>
        <v/>
      </c>
      <c r="BL11" s="33" t="str">
        <f>IF((BK11=""),"",VLOOKUP(BK11,RB!$B:$C,2,0))</f>
        <v/>
      </c>
      <c r="BM11" s="33" t="str">
        <f>IF((BL11=""),"",VLOOKUP(BL11,Settings!$M$2:$N$33,2,0))</f>
        <v/>
      </c>
      <c r="BN11" s="35"/>
      <c r="BO11" s="84" t="str">
        <f>IF((BN11=""),"",(BN11-VLOOKUP(BK11,Cheatsheet!$O$3:$W$102,9,0)))</f>
        <v/>
      </c>
    </row>
    <row r="12" spans="1:67" ht="12.75" customHeight="1">
      <c r="A12" s="47">
        <v>4</v>
      </c>
      <c r="B12" s="146"/>
      <c r="C12" s="33" t="str">
        <f>IF((B12=""),"",VLOOKUP(B12,RB!$Z:$AA,2,0))</f>
        <v/>
      </c>
      <c r="D12" s="33" t="str">
        <f>IF((C12=""),"",VLOOKUP(C12,RB!$B:$C,2,0))</f>
        <v/>
      </c>
      <c r="E12" s="33" t="str">
        <f>IF((D12=""),"",VLOOKUP(D12,Settings!$M$2:$N$33,2,0))</f>
        <v/>
      </c>
      <c r="F12" s="35"/>
      <c r="G12" s="84" t="str">
        <f>IF((F12=""),"",(F12-VLOOKUP(C12,Cheatsheet!$O$3:$W$102,9,0)))</f>
        <v/>
      </c>
      <c r="H12" s="146"/>
      <c r="I12" s="33" t="str">
        <f>IF((H12=""),"",VLOOKUP(H12,RB!$Z:$AA,2,0))</f>
        <v/>
      </c>
      <c r="J12" s="33" t="str">
        <f>IF((I12=""),"",VLOOKUP(I12,RB!$B:$C,2,0))</f>
        <v/>
      </c>
      <c r="K12" s="33" t="str">
        <f>IF((J12=""),"",VLOOKUP(J12,Settings!$M$2:$N$33,2,0))</f>
        <v/>
      </c>
      <c r="L12" s="35"/>
      <c r="M12" s="84" t="str">
        <f>IF((L12=""),"",(L12-VLOOKUP(I12,Cheatsheet!$O$3:$W$102,9,0)))</f>
        <v/>
      </c>
      <c r="N12" s="146"/>
      <c r="O12" s="33" t="str">
        <f>IF((N12=""),"",VLOOKUP(N12,RB!$Z:$AA,2,0))</f>
        <v/>
      </c>
      <c r="P12" s="33" t="str">
        <f>IF((O12=""),"",VLOOKUP(O12,RB!$B:$C,2,0))</f>
        <v/>
      </c>
      <c r="Q12" s="33" t="str">
        <f>IF((P12=""),"",VLOOKUP(P12,Settings!$M$2:$N$33,2,0))</f>
        <v/>
      </c>
      <c r="R12" s="35"/>
      <c r="S12" s="84" t="str">
        <f>IF((R12=""),"",(R12-VLOOKUP(O12,Cheatsheet!$O$3:$W$102,9,0)))</f>
        <v/>
      </c>
      <c r="T12" s="146"/>
      <c r="U12" s="33" t="str">
        <f>IF((T12=""),"",VLOOKUP(T12,RB!$Z:$AA,2,0))</f>
        <v/>
      </c>
      <c r="V12" s="33" t="str">
        <f>IF((U12=""),"",VLOOKUP(U12,RB!$B:$C,2,0))</f>
        <v/>
      </c>
      <c r="W12" s="33" t="str">
        <f>IF((V12=""),"",VLOOKUP(V12,Settings!$M$2:$N$33,2,0))</f>
        <v/>
      </c>
      <c r="X12" s="35"/>
      <c r="Y12" s="84" t="str">
        <f>IF((X12=""),"",(X12-VLOOKUP(U12,Cheatsheet!$O$3:$W$102,9,0)))</f>
        <v/>
      </c>
      <c r="Z12" s="146"/>
      <c r="AA12" s="33" t="str">
        <f>IF((Z12=""),"",VLOOKUP(Z12,RB!$Z:$AA,2,0))</f>
        <v/>
      </c>
      <c r="AB12" s="33" t="str">
        <f>IF((AA12=""),"",VLOOKUP(AA12,RB!$B:$C,2,0))</f>
        <v/>
      </c>
      <c r="AC12" s="33" t="str">
        <f>IF((AB12=""),"",VLOOKUP(AB12,Settings!$M$2:$N$33,2,0))</f>
        <v/>
      </c>
      <c r="AD12" s="35"/>
      <c r="AE12" s="84" t="str">
        <f>IF((AD12=""),"",(AD12-VLOOKUP(AA12,Cheatsheet!$O$3:$W$102,9,0)))</f>
        <v/>
      </c>
      <c r="AF12" s="146"/>
      <c r="AG12" s="33" t="str">
        <f>IF((AF12=""),"",VLOOKUP(AF12,RB!$Z:$AA,2,0))</f>
        <v/>
      </c>
      <c r="AH12" s="33" t="str">
        <f>IF((AG12=""),"",VLOOKUP(AG12,RB!$B:$C,2,0))</f>
        <v/>
      </c>
      <c r="AI12" s="33" t="str">
        <f>IF((AH12=""),"",VLOOKUP(AH12,Settings!$M$2:$N$33,2,0))</f>
        <v/>
      </c>
      <c r="AJ12" s="35"/>
      <c r="AK12" s="84" t="str">
        <f>IF((AJ12=""),"",(AJ12-VLOOKUP(AG12,Cheatsheet!$O$3:$W$102,9,0)))</f>
        <v/>
      </c>
      <c r="AL12" s="146"/>
      <c r="AM12" s="33" t="str">
        <f>IF((AL12=""),"",VLOOKUP(AL12,RB!$Z:$AA,2,0))</f>
        <v/>
      </c>
      <c r="AN12" s="33" t="str">
        <f>IF((AM12=""),"",VLOOKUP(AM12,RB!$B:$C,2,0))</f>
        <v/>
      </c>
      <c r="AO12" s="33" t="str">
        <f>IF((AN12=""),"",VLOOKUP(AN12,Settings!$M$2:$N$33,2,0))</f>
        <v/>
      </c>
      <c r="AP12" s="35"/>
      <c r="AQ12" s="84" t="str">
        <f>IF((AP12=""),"",(AP12-VLOOKUP(AM12,Cheatsheet!$O$3:$W$102,9,0)))</f>
        <v/>
      </c>
      <c r="AR12" s="146"/>
      <c r="AS12" s="33" t="str">
        <f>IF((AR12=""),"",VLOOKUP(AR12,RB!$Z:$AA,2,0))</f>
        <v/>
      </c>
      <c r="AT12" s="33" t="str">
        <f>IF((AS12=""),"",VLOOKUP(AS12,RB!$B:$C,2,0))</f>
        <v/>
      </c>
      <c r="AU12" s="33" t="str">
        <f>IF((AT12=""),"",VLOOKUP(AT12,Settings!$M$2:$N$33,2,0))</f>
        <v/>
      </c>
      <c r="AV12" s="35"/>
      <c r="AW12" s="84" t="str">
        <f>IF((AV12=""),"",(AV12-VLOOKUP(AS12,Cheatsheet!$O$3:$W$102,9,0)))</f>
        <v/>
      </c>
      <c r="AX12" s="146"/>
      <c r="AY12" s="33" t="str">
        <f>IF((AX12=""),"",VLOOKUP(AX12,RB!$Z:$AA,2,0))</f>
        <v/>
      </c>
      <c r="AZ12" s="33" t="str">
        <f>IF((AY12=""),"",VLOOKUP(AY12,RB!$B:$C,2,0))</f>
        <v/>
      </c>
      <c r="BA12" s="33" t="str">
        <f>IF((AZ12=""),"",VLOOKUP(AZ12,Settings!$M$2:$N$33,2,0))</f>
        <v/>
      </c>
      <c r="BB12" s="35"/>
      <c r="BC12" s="84" t="str">
        <f>IF((BB12=""),"",(BB12-VLOOKUP(AY12,Cheatsheet!$O$3:$W$102,9,0)))</f>
        <v/>
      </c>
      <c r="BD12" s="146"/>
      <c r="BE12" s="33" t="str">
        <f>IF((BD12=""),"",VLOOKUP(BD12,RB!$Z:$AA,2,0))</f>
        <v/>
      </c>
      <c r="BF12" s="33" t="str">
        <f>IF((BE12=""),"",VLOOKUP(BE12,RB!$B:$C,2,0))</f>
        <v/>
      </c>
      <c r="BG12" s="33" t="str">
        <f>IF((BF12=""),"",VLOOKUP(BF12,Settings!$M$2:$N$33,2,0))</f>
        <v/>
      </c>
      <c r="BH12" s="35"/>
      <c r="BI12" s="84" t="str">
        <f>IF((BH12=""),"",(BH12-VLOOKUP(BE12,Cheatsheet!$O$3:$W$102,9,0)))</f>
        <v/>
      </c>
      <c r="BJ12" s="146"/>
      <c r="BK12" s="33" t="str">
        <f>IF((BJ12=""),"",VLOOKUP(BJ12,RB!$Z:$AA,2,0))</f>
        <v/>
      </c>
      <c r="BL12" s="33" t="str">
        <f>IF((BK12=""),"",VLOOKUP(BK12,RB!$B:$C,2,0))</f>
        <v/>
      </c>
      <c r="BM12" s="33" t="str">
        <f>IF((BL12=""),"",VLOOKUP(BL12,Settings!$M$2:$N$33,2,0))</f>
        <v/>
      </c>
      <c r="BN12" s="35"/>
      <c r="BO12" s="84" t="str">
        <f>IF((BN12=""),"",(BN12-VLOOKUP(BK12,Cheatsheet!$O$3:$W$102,9,0)))</f>
        <v/>
      </c>
    </row>
    <row r="13" spans="1:67" ht="12.75" customHeight="1">
      <c r="A13" s="47">
        <v>5</v>
      </c>
      <c r="B13" s="146"/>
      <c r="C13" s="33" t="str">
        <f>IF((B13=""),"",VLOOKUP(B13,RB!$Z:$AA,2,0))</f>
        <v/>
      </c>
      <c r="D13" s="33" t="str">
        <f>IF((C13=""),"",VLOOKUP(C13,RB!$B:$C,2,0))</f>
        <v/>
      </c>
      <c r="E13" s="33" t="str">
        <f>IF((D13=""),"",VLOOKUP(D13,Settings!$M$2:$N$33,2,0))</f>
        <v/>
      </c>
      <c r="F13" s="35"/>
      <c r="G13" s="84" t="str">
        <f>IF((F13=""),"",(F13-VLOOKUP(C13,Cheatsheet!$O$3:$W$102,9,0)))</f>
        <v/>
      </c>
      <c r="H13" s="146"/>
      <c r="I13" s="33" t="str">
        <f>IF((H13=""),"",VLOOKUP(H13,RB!$Z:$AA,2,0))</f>
        <v/>
      </c>
      <c r="J13" s="33" t="str">
        <f>IF((I13=""),"",VLOOKUP(I13,RB!$B:$C,2,0))</f>
        <v/>
      </c>
      <c r="K13" s="33" t="str">
        <f>IF((J13=""),"",VLOOKUP(J13,Settings!$M$2:$N$33,2,0))</f>
        <v/>
      </c>
      <c r="L13" s="35"/>
      <c r="M13" s="84" t="str">
        <f>IF((L13=""),"",(L13-VLOOKUP(I13,Cheatsheet!$O$3:$W$102,9,0)))</f>
        <v/>
      </c>
      <c r="N13" s="146"/>
      <c r="O13" s="33" t="str">
        <f>IF((N13=""),"",VLOOKUP(N13,RB!$Z:$AA,2,0))</f>
        <v/>
      </c>
      <c r="P13" s="33" t="str">
        <f>IF((O13=""),"",VLOOKUP(O13,RB!$B:$C,2,0))</f>
        <v/>
      </c>
      <c r="Q13" s="33" t="str">
        <f>IF((P13=""),"",VLOOKUP(P13,Settings!$M$2:$N$33,2,0))</f>
        <v/>
      </c>
      <c r="R13" s="35"/>
      <c r="S13" s="84" t="str">
        <f>IF((R13=""),"",(R13-VLOOKUP(O13,Cheatsheet!$O$3:$W$102,9,0)))</f>
        <v/>
      </c>
      <c r="T13" s="146"/>
      <c r="U13" s="33" t="str">
        <f>IF((T13=""),"",VLOOKUP(T13,RB!$Z:$AA,2,0))</f>
        <v/>
      </c>
      <c r="V13" s="33" t="str">
        <f>IF((U13=""),"",VLOOKUP(U13,RB!$B:$C,2,0))</f>
        <v/>
      </c>
      <c r="W13" s="33" t="str">
        <f>IF((V13=""),"",VLOOKUP(V13,Settings!$M$2:$N$33,2,0))</f>
        <v/>
      </c>
      <c r="X13" s="35"/>
      <c r="Y13" s="84" t="str">
        <f>IF((X13=""),"",(X13-VLOOKUP(U13,Cheatsheet!$O$3:$W$102,9,0)))</f>
        <v/>
      </c>
      <c r="Z13" s="146"/>
      <c r="AA13" s="33" t="str">
        <f>IF((Z13=""),"",VLOOKUP(Z13,RB!$Z:$AA,2,0))</f>
        <v/>
      </c>
      <c r="AB13" s="33" t="str">
        <f>IF((AA13=""),"",VLOOKUP(AA13,RB!$B:$C,2,0))</f>
        <v/>
      </c>
      <c r="AC13" s="33" t="str">
        <f>IF((AB13=""),"",VLOOKUP(AB13,Settings!$M$2:$N$33,2,0))</f>
        <v/>
      </c>
      <c r="AD13" s="35"/>
      <c r="AE13" s="84" t="str">
        <f>IF((AD13=""),"",(AD13-VLOOKUP(AA13,Cheatsheet!$O$3:$W$102,9,0)))</f>
        <v/>
      </c>
      <c r="AF13" s="146"/>
      <c r="AG13" s="33" t="str">
        <f>IF((AF13=""),"",VLOOKUP(AF13,RB!$Z:$AA,2,0))</f>
        <v/>
      </c>
      <c r="AH13" s="33" t="str">
        <f>IF((AG13=""),"",VLOOKUP(AG13,RB!$B:$C,2,0))</f>
        <v/>
      </c>
      <c r="AI13" s="33" t="str">
        <f>IF((AH13=""),"",VLOOKUP(AH13,Settings!$M$2:$N$33,2,0))</f>
        <v/>
      </c>
      <c r="AJ13" s="35"/>
      <c r="AK13" s="84" t="str">
        <f>IF((AJ13=""),"",(AJ13-VLOOKUP(AG13,Cheatsheet!$O$3:$W$102,9,0)))</f>
        <v/>
      </c>
      <c r="AL13" s="146"/>
      <c r="AM13" s="33" t="str">
        <f>IF((AL13=""),"",VLOOKUP(AL13,RB!$Z:$AA,2,0))</f>
        <v/>
      </c>
      <c r="AN13" s="33" t="str">
        <f>IF((AM13=""),"",VLOOKUP(AM13,RB!$B:$C,2,0))</f>
        <v/>
      </c>
      <c r="AO13" s="33" t="str">
        <f>IF((AN13=""),"",VLOOKUP(AN13,Settings!$M$2:$N$33,2,0))</f>
        <v/>
      </c>
      <c r="AP13" s="35"/>
      <c r="AQ13" s="84" t="str">
        <f>IF((AP13=""),"",(AP13-VLOOKUP(AM13,Cheatsheet!$O$3:$W$102,9,0)))</f>
        <v/>
      </c>
      <c r="AR13" s="146"/>
      <c r="AS13" s="33" t="str">
        <f>IF((AR13=""),"",VLOOKUP(AR13,RB!$Z:$AA,2,0))</f>
        <v/>
      </c>
      <c r="AT13" s="33" t="str">
        <f>IF((AS13=""),"",VLOOKUP(AS13,RB!$B:$C,2,0))</f>
        <v/>
      </c>
      <c r="AU13" s="33" t="str">
        <f>IF((AT13=""),"",VLOOKUP(AT13,Settings!$M$2:$N$33,2,0))</f>
        <v/>
      </c>
      <c r="AV13" s="35"/>
      <c r="AW13" s="84" t="str">
        <f>IF((AV13=""),"",(AV13-VLOOKUP(AS13,Cheatsheet!$O$3:$W$102,9,0)))</f>
        <v/>
      </c>
      <c r="AX13" s="146"/>
      <c r="AY13" s="33" t="str">
        <f>IF((AX13=""),"",VLOOKUP(AX13,RB!$Z:$AA,2,0))</f>
        <v/>
      </c>
      <c r="AZ13" s="33" t="str">
        <f>IF((AY13=""),"",VLOOKUP(AY13,RB!$B:$C,2,0))</f>
        <v/>
      </c>
      <c r="BA13" s="33" t="str">
        <f>IF((AZ13=""),"",VLOOKUP(AZ13,Settings!$M$2:$N$33,2,0))</f>
        <v/>
      </c>
      <c r="BB13" s="35"/>
      <c r="BC13" s="84" t="str">
        <f>IF((BB13=""),"",(BB13-VLOOKUP(AY13,Cheatsheet!$O$3:$W$102,9,0)))</f>
        <v/>
      </c>
      <c r="BD13" s="146"/>
      <c r="BE13" s="33" t="str">
        <f>IF((BD13=""),"",VLOOKUP(BD13,RB!$Z:$AA,2,0))</f>
        <v/>
      </c>
      <c r="BF13" s="33" t="str">
        <f>IF((BE13=""),"",VLOOKUP(BE13,RB!$B:$C,2,0))</f>
        <v/>
      </c>
      <c r="BG13" s="33" t="str">
        <f>IF((BF13=""),"",VLOOKUP(BF13,Settings!$M$2:$N$33,2,0))</f>
        <v/>
      </c>
      <c r="BH13" s="35"/>
      <c r="BI13" s="84" t="str">
        <f>IF((BH13=""),"",(BH13-VLOOKUP(BE13,Cheatsheet!$O$3:$W$102,9,0)))</f>
        <v/>
      </c>
      <c r="BJ13" s="146"/>
      <c r="BK13" s="33" t="str">
        <f>IF((BJ13=""),"",VLOOKUP(BJ13,RB!$Z:$AA,2,0))</f>
        <v/>
      </c>
      <c r="BL13" s="33" t="str">
        <f>IF((BK13=""),"",VLOOKUP(BK13,RB!$B:$C,2,0))</f>
        <v/>
      </c>
      <c r="BM13" s="33" t="str">
        <f>IF((BL13=""),"",VLOOKUP(BL13,Settings!$M$2:$N$33,2,0))</f>
        <v/>
      </c>
      <c r="BN13" s="35"/>
      <c r="BO13" s="84" t="str">
        <f>IF((BN13=""),"",(BN13-VLOOKUP(BK13,Cheatsheet!$O$3:$W$102,9,0)))</f>
        <v/>
      </c>
    </row>
    <row r="14" spans="1:67" ht="12.75" customHeight="1">
      <c r="A14" s="47">
        <v>6</v>
      </c>
      <c r="B14" s="146"/>
      <c r="C14" s="33" t="str">
        <f>IF((B14=""),"",VLOOKUP(B14,RB!$Z:$AA,2,0))</f>
        <v/>
      </c>
      <c r="D14" s="33" t="str">
        <f>IF((C14=""),"",VLOOKUP(C14,RB!$B:$C,2,0))</f>
        <v/>
      </c>
      <c r="E14" s="33" t="str">
        <f>IF((D14=""),"",VLOOKUP(D14,Settings!$M$2:$N$33,2,0))</f>
        <v/>
      </c>
      <c r="F14" s="35"/>
      <c r="G14" s="84" t="str">
        <f>IF((F14=""),"",(F14-VLOOKUP(C14,Cheatsheet!$O$3:$W$102,9,0)))</f>
        <v/>
      </c>
      <c r="H14" s="146"/>
      <c r="I14" s="33" t="str">
        <f>IF((H14=""),"",VLOOKUP(H14,RB!$Z:$AA,2,0))</f>
        <v/>
      </c>
      <c r="J14" s="33" t="str">
        <f>IF((I14=""),"",VLOOKUP(I14,RB!$B:$C,2,0))</f>
        <v/>
      </c>
      <c r="K14" s="33" t="str">
        <f>IF((J14=""),"",VLOOKUP(J14,Settings!$M$2:$N$33,2,0))</f>
        <v/>
      </c>
      <c r="L14" s="35"/>
      <c r="M14" s="84" t="str">
        <f>IF((L14=""),"",(L14-VLOOKUP(I14,Cheatsheet!$O$3:$W$102,9,0)))</f>
        <v/>
      </c>
      <c r="N14" s="146"/>
      <c r="O14" s="33" t="str">
        <f>IF((N14=""),"",VLOOKUP(N14,RB!$Z:$AA,2,0))</f>
        <v/>
      </c>
      <c r="P14" s="33" t="str">
        <f>IF((O14=""),"",VLOOKUP(O14,RB!$B:$C,2,0))</f>
        <v/>
      </c>
      <c r="Q14" s="33" t="str">
        <f>IF((P14=""),"",VLOOKUP(P14,Settings!$M$2:$N$33,2,0))</f>
        <v/>
      </c>
      <c r="R14" s="35"/>
      <c r="S14" s="84" t="str">
        <f>IF((R14=""),"",(R14-VLOOKUP(O14,Cheatsheet!$O$3:$W$102,9,0)))</f>
        <v/>
      </c>
      <c r="T14" s="146"/>
      <c r="U14" s="33" t="str">
        <f>IF((T14=""),"",VLOOKUP(T14,RB!$Z:$AA,2,0))</f>
        <v/>
      </c>
      <c r="V14" s="33" t="str">
        <f>IF((U14=""),"",VLOOKUP(U14,RB!$B:$C,2,0))</f>
        <v/>
      </c>
      <c r="W14" s="33" t="str">
        <f>IF((V14=""),"",VLOOKUP(V14,Settings!$M$2:$N$33,2,0))</f>
        <v/>
      </c>
      <c r="X14" s="35"/>
      <c r="Y14" s="84" t="str">
        <f>IF((X14=""),"",(X14-VLOOKUP(U14,Cheatsheet!$O$3:$W$102,9,0)))</f>
        <v/>
      </c>
      <c r="Z14" s="146"/>
      <c r="AA14" s="33" t="str">
        <f>IF((Z14=""),"",VLOOKUP(Z14,RB!$Z:$AA,2,0))</f>
        <v/>
      </c>
      <c r="AB14" s="33" t="str">
        <f>IF((AA14=""),"",VLOOKUP(AA14,RB!$B:$C,2,0))</f>
        <v/>
      </c>
      <c r="AC14" s="33" t="str">
        <f>IF((AB14=""),"",VLOOKUP(AB14,Settings!$M$2:$N$33,2,0))</f>
        <v/>
      </c>
      <c r="AD14" s="35"/>
      <c r="AE14" s="84" t="str">
        <f>IF((AD14=""),"",(AD14-VLOOKUP(AA14,Cheatsheet!$O$3:$W$102,9,0)))</f>
        <v/>
      </c>
      <c r="AF14" s="146"/>
      <c r="AG14" s="33" t="str">
        <f>IF((AF14=""),"",VLOOKUP(AF14,RB!$Z:$AA,2,0))</f>
        <v/>
      </c>
      <c r="AH14" s="33" t="str">
        <f>IF((AG14=""),"",VLOOKUP(AG14,RB!$B:$C,2,0))</f>
        <v/>
      </c>
      <c r="AI14" s="33" t="str">
        <f>IF((AH14=""),"",VLOOKUP(AH14,Settings!$M$2:$N$33,2,0))</f>
        <v/>
      </c>
      <c r="AJ14" s="35"/>
      <c r="AK14" s="84" t="str">
        <f>IF((AJ14=""),"",(AJ14-VLOOKUP(AG14,Cheatsheet!$O$3:$W$102,9,0)))</f>
        <v/>
      </c>
      <c r="AL14" s="146"/>
      <c r="AM14" s="33" t="str">
        <f>IF((AL14=""),"",VLOOKUP(AL14,RB!$Z:$AA,2,0))</f>
        <v/>
      </c>
      <c r="AN14" s="33" t="str">
        <f>IF((AM14=""),"",VLOOKUP(AM14,RB!$B:$C,2,0))</f>
        <v/>
      </c>
      <c r="AO14" s="33" t="str">
        <f>IF((AN14=""),"",VLOOKUP(AN14,Settings!$M$2:$N$33,2,0))</f>
        <v/>
      </c>
      <c r="AP14" s="35"/>
      <c r="AQ14" s="84" t="str">
        <f>IF((AP14=""),"",(AP14-VLOOKUP(AM14,Cheatsheet!$O$3:$W$102,9,0)))</f>
        <v/>
      </c>
      <c r="AR14" s="146"/>
      <c r="AS14" s="33" t="str">
        <f>IF((AR14=""),"",VLOOKUP(AR14,RB!$Z:$AA,2,0))</f>
        <v/>
      </c>
      <c r="AT14" s="33" t="str">
        <f>IF((AS14=""),"",VLOOKUP(AS14,RB!$B:$C,2,0))</f>
        <v/>
      </c>
      <c r="AU14" s="33" t="str">
        <f>IF((AT14=""),"",VLOOKUP(AT14,Settings!$M$2:$N$33,2,0))</f>
        <v/>
      </c>
      <c r="AV14" s="35"/>
      <c r="AW14" s="84" t="str">
        <f>IF((AV14=""),"",(AV14-VLOOKUP(AS14,Cheatsheet!$O$3:$W$102,9,0)))</f>
        <v/>
      </c>
      <c r="AX14" s="146"/>
      <c r="AY14" s="33" t="str">
        <f>IF((AX14=""),"",VLOOKUP(AX14,RB!$Z:$AA,2,0))</f>
        <v/>
      </c>
      <c r="AZ14" s="33" t="str">
        <f>IF((AY14=""),"",VLOOKUP(AY14,RB!$B:$C,2,0))</f>
        <v/>
      </c>
      <c r="BA14" s="33" t="str">
        <f>IF((AZ14=""),"",VLOOKUP(AZ14,Settings!$M$2:$N$33,2,0))</f>
        <v/>
      </c>
      <c r="BB14" s="35"/>
      <c r="BC14" s="84" t="str">
        <f>IF((BB14=""),"",(BB14-VLOOKUP(AY14,Cheatsheet!$O$3:$W$102,9,0)))</f>
        <v/>
      </c>
      <c r="BD14" s="146"/>
      <c r="BE14" s="33" t="str">
        <f>IF((BD14=""),"",VLOOKUP(BD14,RB!$Z:$AA,2,0))</f>
        <v/>
      </c>
      <c r="BF14" s="33" t="str">
        <f>IF((BE14=""),"",VLOOKUP(BE14,RB!$B:$C,2,0))</f>
        <v/>
      </c>
      <c r="BG14" s="33" t="str">
        <f>IF((BF14=""),"",VLOOKUP(BF14,Settings!$M$2:$N$33,2,0))</f>
        <v/>
      </c>
      <c r="BH14" s="35"/>
      <c r="BI14" s="84" t="str">
        <f>IF((BH14=""),"",(BH14-VLOOKUP(BE14,Cheatsheet!$O$3:$W$102,9,0)))</f>
        <v/>
      </c>
      <c r="BJ14" s="146"/>
      <c r="BK14" s="33" t="str">
        <f>IF((BJ14=""),"",VLOOKUP(BJ14,RB!$Z:$AA,2,0))</f>
        <v/>
      </c>
      <c r="BL14" s="33" t="str">
        <f>IF((BK14=""),"",VLOOKUP(BK14,RB!$B:$C,2,0))</f>
        <v/>
      </c>
      <c r="BM14" s="33" t="str">
        <f>IF((BL14=""),"",VLOOKUP(BL14,Settings!$M$2:$N$33,2,0))</f>
        <v/>
      </c>
      <c r="BN14" s="35"/>
      <c r="BO14" s="84" t="str">
        <f>IF((BN14=""),"",(BN14-VLOOKUP(BK14,Cheatsheet!$O$3:$W$102,9,0)))</f>
        <v/>
      </c>
    </row>
    <row r="15" spans="1:67" ht="12.75" customHeight="1">
      <c r="A15" s="47">
        <v>7</v>
      </c>
      <c r="B15" s="146"/>
      <c r="C15" s="33" t="str">
        <f>IF((B15=""),"",VLOOKUP(B15,RB!$Z:$AA,2,0))</f>
        <v/>
      </c>
      <c r="D15" s="33" t="str">
        <f>IF((C15=""),"",VLOOKUP(C15,RB!$B:$C,2,0))</f>
        <v/>
      </c>
      <c r="E15" s="33" t="str">
        <f>IF((D15=""),"",VLOOKUP(D15,Settings!$M$2:$N$33,2,0))</f>
        <v/>
      </c>
      <c r="F15" s="35"/>
      <c r="G15" s="84" t="str">
        <f>IF((F15=""),"",(F15-VLOOKUP(C15,Cheatsheet!$O$3:$W$102,9,0)))</f>
        <v/>
      </c>
      <c r="H15" s="146"/>
      <c r="I15" s="33" t="str">
        <f>IF((H15=""),"",VLOOKUP(H15,RB!$Z:$AA,2,0))</f>
        <v/>
      </c>
      <c r="J15" s="33" t="str">
        <f>IF((I15=""),"",VLOOKUP(I15,RB!$B:$C,2,0))</f>
        <v/>
      </c>
      <c r="K15" s="33" t="str">
        <f>IF((J15=""),"",VLOOKUP(J15,Settings!$M$2:$N$33,2,0))</f>
        <v/>
      </c>
      <c r="L15" s="35"/>
      <c r="M15" s="84" t="str">
        <f>IF((L15=""),"",(L15-VLOOKUP(I15,Cheatsheet!$O$3:$W$102,9,0)))</f>
        <v/>
      </c>
      <c r="N15" s="146"/>
      <c r="O15" s="33" t="str">
        <f>IF((N15=""),"",VLOOKUP(N15,RB!$Z:$AA,2,0))</f>
        <v/>
      </c>
      <c r="P15" s="33" t="str">
        <f>IF((O15=""),"",VLOOKUP(O15,RB!$B:$C,2,0))</f>
        <v/>
      </c>
      <c r="Q15" s="33" t="str">
        <f>IF((P15=""),"",VLOOKUP(P15,Settings!$M$2:$N$33,2,0))</f>
        <v/>
      </c>
      <c r="R15" s="35"/>
      <c r="S15" s="84" t="str">
        <f>IF((R15=""),"",(R15-VLOOKUP(O15,Cheatsheet!$O$3:$W$102,9,0)))</f>
        <v/>
      </c>
      <c r="T15" s="146"/>
      <c r="U15" s="33" t="str">
        <f>IF((T15=""),"",VLOOKUP(T15,RB!$Z:$AA,2,0))</f>
        <v/>
      </c>
      <c r="V15" s="33" t="str">
        <f>IF((U15=""),"",VLOOKUP(U15,RB!$B:$C,2,0))</f>
        <v/>
      </c>
      <c r="W15" s="33" t="str">
        <f>IF((V15=""),"",VLOOKUP(V15,Settings!$M$2:$N$33,2,0))</f>
        <v/>
      </c>
      <c r="X15" s="35"/>
      <c r="Y15" s="84" t="str">
        <f>IF((X15=""),"",(X15-VLOOKUP(U15,Cheatsheet!$O$3:$W$102,9,0)))</f>
        <v/>
      </c>
      <c r="Z15" s="146"/>
      <c r="AA15" s="33" t="str">
        <f>IF((Z15=""),"",VLOOKUP(Z15,RB!$Z:$AA,2,0))</f>
        <v/>
      </c>
      <c r="AB15" s="33" t="str">
        <f>IF((AA15=""),"",VLOOKUP(AA15,RB!$B:$C,2,0))</f>
        <v/>
      </c>
      <c r="AC15" s="33" t="str">
        <f>IF((AB15=""),"",VLOOKUP(AB15,Settings!$M$2:$N$33,2,0))</f>
        <v/>
      </c>
      <c r="AD15" s="35"/>
      <c r="AE15" s="84" t="str">
        <f>IF((AD15=""),"",(AD15-VLOOKUP(AA15,Cheatsheet!$O$3:$W$102,9,0)))</f>
        <v/>
      </c>
      <c r="AF15" s="146"/>
      <c r="AG15" s="33" t="str">
        <f>IF((AF15=""),"",VLOOKUP(AF15,RB!$Z:$AA,2,0))</f>
        <v/>
      </c>
      <c r="AH15" s="33" t="str">
        <f>IF((AG15=""),"",VLOOKUP(AG15,RB!$B:$C,2,0))</f>
        <v/>
      </c>
      <c r="AI15" s="33" t="str">
        <f>IF((AH15=""),"",VLOOKUP(AH15,Settings!$M$2:$N$33,2,0))</f>
        <v/>
      </c>
      <c r="AJ15" s="35"/>
      <c r="AK15" s="84" t="str">
        <f>IF((AJ15=""),"",(AJ15-VLOOKUP(AG15,Cheatsheet!$O$3:$W$102,9,0)))</f>
        <v/>
      </c>
      <c r="AL15" s="146"/>
      <c r="AM15" s="33" t="str">
        <f>IF((AL15=""),"",VLOOKUP(AL15,RB!$Z:$AA,2,0))</f>
        <v/>
      </c>
      <c r="AN15" s="33" t="str">
        <f>IF((AM15=""),"",VLOOKUP(AM15,RB!$B:$C,2,0))</f>
        <v/>
      </c>
      <c r="AO15" s="33" t="str">
        <f>IF((AN15=""),"",VLOOKUP(AN15,Settings!$M$2:$N$33,2,0))</f>
        <v/>
      </c>
      <c r="AP15" s="35"/>
      <c r="AQ15" s="84" t="str">
        <f>IF((AP15=""),"",(AP15-VLOOKUP(AM15,Cheatsheet!$O$3:$W$102,9,0)))</f>
        <v/>
      </c>
      <c r="AR15" s="146"/>
      <c r="AS15" s="33" t="str">
        <f>IF((AR15=""),"",VLOOKUP(AR15,RB!$Z:$AA,2,0))</f>
        <v/>
      </c>
      <c r="AT15" s="33" t="str">
        <f>IF((AS15=""),"",VLOOKUP(AS15,RB!$B:$C,2,0))</f>
        <v/>
      </c>
      <c r="AU15" s="33" t="str">
        <f>IF((AT15=""),"",VLOOKUP(AT15,Settings!$M$2:$N$33,2,0))</f>
        <v/>
      </c>
      <c r="AV15" s="35"/>
      <c r="AW15" s="84" t="str">
        <f>IF((AV15=""),"",(AV15-VLOOKUP(AS15,Cheatsheet!$O$3:$W$102,9,0)))</f>
        <v/>
      </c>
      <c r="AX15" s="146"/>
      <c r="AY15" s="33" t="str">
        <f>IF((AX15=""),"",VLOOKUP(AX15,RB!$Z:$AA,2,0))</f>
        <v/>
      </c>
      <c r="AZ15" s="33" t="str">
        <f>IF((AY15=""),"",VLOOKUP(AY15,RB!$B:$C,2,0))</f>
        <v/>
      </c>
      <c r="BA15" s="33" t="str">
        <f>IF((AZ15=""),"",VLOOKUP(AZ15,Settings!$M$2:$N$33,2,0))</f>
        <v/>
      </c>
      <c r="BB15" s="35"/>
      <c r="BC15" s="84" t="str">
        <f>IF((BB15=""),"",(BB15-VLOOKUP(AY15,Cheatsheet!$O$3:$W$102,9,0)))</f>
        <v/>
      </c>
      <c r="BD15" s="146"/>
      <c r="BE15" s="33" t="str">
        <f>IF((BD15=""),"",VLOOKUP(BD15,RB!$Z:$AA,2,0))</f>
        <v/>
      </c>
      <c r="BF15" s="33" t="str">
        <f>IF((BE15=""),"",VLOOKUP(BE15,RB!$B:$C,2,0))</f>
        <v/>
      </c>
      <c r="BG15" s="33" t="str">
        <f>IF((BF15=""),"",VLOOKUP(BF15,Settings!$M$2:$N$33,2,0))</f>
        <v/>
      </c>
      <c r="BH15" s="35"/>
      <c r="BI15" s="84" t="str">
        <f>IF((BH15=""),"",(BH15-VLOOKUP(BE15,Cheatsheet!$O$3:$W$102,9,0)))</f>
        <v/>
      </c>
      <c r="BJ15" s="146"/>
      <c r="BK15" s="33" t="str">
        <f>IF((BJ15=""),"",VLOOKUP(BJ15,RB!$Z:$AA,2,0))</f>
        <v/>
      </c>
      <c r="BL15" s="33" t="str">
        <f>IF((BK15=""),"",VLOOKUP(BK15,RB!$B:$C,2,0))</f>
        <v/>
      </c>
      <c r="BM15" s="33" t="str">
        <f>IF((BL15=""),"",VLOOKUP(BL15,Settings!$M$2:$N$33,2,0))</f>
        <v/>
      </c>
      <c r="BN15" s="35"/>
      <c r="BO15" s="84" t="str">
        <f>IF((BN15=""),"",(BN15-VLOOKUP(BK15,Cheatsheet!$O$3:$W$102,9,0)))</f>
        <v/>
      </c>
    </row>
    <row r="16" spans="1:67" ht="12.75" customHeight="1">
      <c r="A16" s="47">
        <v>8</v>
      </c>
      <c r="B16" s="146"/>
      <c r="C16" s="33" t="str">
        <f>IF((B16=""),"",VLOOKUP(B16,RB!$Z:$AA,2,0))</f>
        <v/>
      </c>
      <c r="D16" s="33" t="str">
        <f>IF((C16=""),"",VLOOKUP(C16,RB!$B:$C,2,0))</f>
        <v/>
      </c>
      <c r="E16" s="33" t="str">
        <f>IF((D16=""),"",VLOOKUP(D16,Settings!$M$2:$N$33,2,0))</f>
        <v/>
      </c>
      <c r="F16" s="35"/>
      <c r="G16" s="84" t="str">
        <f>IF((F16=""),"",(F16-VLOOKUP(C16,Cheatsheet!$O$3:$W$102,9,0)))</f>
        <v/>
      </c>
      <c r="H16" s="146"/>
      <c r="I16" s="33" t="str">
        <f>IF((H16=""),"",VLOOKUP(H16,RB!$Z:$AA,2,0))</f>
        <v/>
      </c>
      <c r="J16" s="33" t="str">
        <f>IF((I16=""),"",VLOOKUP(I16,RB!$B:$C,2,0))</f>
        <v/>
      </c>
      <c r="K16" s="33" t="str">
        <f>IF((J16=""),"",VLOOKUP(J16,Settings!$M$2:$N$33,2,0))</f>
        <v/>
      </c>
      <c r="L16" s="35"/>
      <c r="M16" s="84" t="str">
        <f>IF((L16=""),"",(L16-VLOOKUP(I16,Cheatsheet!$O$3:$W$102,9,0)))</f>
        <v/>
      </c>
      <c r="N16" s="146"/>
      <c r="O16" s="33" t="str">
        <f>IF((N16=""),"",VLOOKUP(N16,RB!$Z:$AA,2,0))</f>
        <v/>
      </c>
      <c r="P16" s="33" t="str">
        <f>IF((O16=""),"",VLOOKUP(O16,RB!$B:$C,2,0))</f>
        <v/>
      </c>
      <c r="Q16" s="33" t="str">
        <f>IF((P16=""),"",VLOOKUP(P16,Settings!$M$2:$N$33,2,0))</f>
        <v/>
      </c>
      <c r="R16" s="35"/>
      <c r="S16" s="84" t="str">
        <f>IF((R16=""),"",(R16-VLOOKUP(O16,Cheatsheet!$O$3:$W$102,9,0)))</f>
        <v/>
      </c>
      <c r="T16" s="146"/>
      <c r="U16" s="33" t="str">
        <f>IF((T16=""),"",VLOOKUP(T16,RB!$Z:$AA,2,0))</f>
        <v/>
      </c>
      <c r="V16" s="33" t="str">
        <f>IF((U16=""),"",VLOOKUP(U16,RB!$B:$C,2,0))</f>
        <v/>
      </c>
      <c r="W16" s="33" t="str">
        <f>IF((V16=""),"",VLOOKUP(V16,Settings!$M$2:$N$33,2,0))</f>
        <v/>
      </c>
      <c r="X16" s="35"/>
      <c r="Y16" s="84" t="str">
        <f>IF((X16=""),"",(X16-VLOOKUP(U16,Cheatsheet!$O$3:$W$102,9,0)))</f>
        <v/>
      </c>
      <c r="Z16" s="146"/>
      <c r="AA16" s="33" t="str">
        <f>IF((Z16=""),"",VLOOKUP(Z16,RB!$Z:$AA,2,0))</f>
        <v/>
      </c>
      <c r="AB16" s="33" t="str">
        <f>IF((AA16=""),"",VLOOKUP(AA16,RB!$B:$C,2,0))</f>
        <v/>
      </c>
      <c r="AC16" s="33" t="str">
        <f>IF((AB16=""),"",VLOOKUP(AB16,Settings!$M$2:$N$33,2,0))</f>
        <v/>
      </c>
      <c r="AD16" s="35"/>
      <c r="AE16" s="84" t="str">
        <f>IF((AD16=""),"",(AD16-VLOOKUP(AA16,Cheatsheet!$O$3:$W$102,9,0)))</f>
        <v/>
      </c>
      <c r="AF16" s="146"/>
      <c r="AG16" s="33" t="str">
        <f>IF((AF16=""),"",VLOOKUP(AF16,RB!$Z:$AA,2,0))</f>
        <v/>
      </c>
      <c r="AH16" s="33" t="str">
        <f>IF((AG16=""),"",VLOOKUP(AG16,RB!$B:$C,2,0))</f>
        <v/>
      </c>
      <c r="AI16" s="33" t="str">
        <f>IF((AH16=""),"",VLOOKUP(AH16,Settings!$M$2:$N$33,2,0))</f>
        <v/>
      </c>
      <c r="AJ16" s="35"/>
      <c r="AK16" s="84" t="str">
        <f>IF((AJ16=""),"",(AJ16-VLOOKUP(AG16,Cheatsheet!$O$3:$W$102,9,0)))</f>
        <v/>
      </c>
      <c r="AL16" s="146"/>
      <c r="AM16" s="33" t="str">
        <f>IF((AL16=""),"",VLOOKUP(AL16,RB!$Z:$AA,2,0))</f>
        <v/>
      </c>
      <c r="AN16" s="33" t="str">
        <f>IF((AM16=""),"",VLOOKUP(AM16,RB!$B:$C,2,0))</f>
        <v/>
      </c>
      <c r="AO16" s="33" t="str">
        <f>IF((AN16=""),"",VLOOKUP(AN16,Settings!$M$2:$N$33,2,0))</f>
        <v/>
      </c>
      <c r="AP16" s="35"/>
      <c r="AQ16" s="84" t="str">
        <f>IF((AP16=""),"",(AP16-VLOOKUP(AM16,Cheatsheet!$O$3:$W$102,9,0)))</f>
        <v/>
      </c>
      <c r="AR16" s="146"/>
      <c r="AS16" s="33" t="str">
        <f>IF((AR16=""),"",VLOOKUP(AR16,RB!$Z:$AA,2,0))</f>
        <v/>
      </c>
      <c r="AT16" s="33" t="str">
        <f>IF((AS16=""),"",VLOOKUP(AS16,RB!$B:$C,2,0))</f>
        <v/>
      </c>
      <c r="AU16" s="33" t="str">
        <f>IF((AT16=""),"",VLOOKUP(AT16,Settings!$M$2:$N$33,2,0))</f>
        <v/>
      </c>
      <c r="AV16" s="35"/>
      <c r="AW16" s="84" t="str">
        <f>IF((AV16=""),"",(AV16-VLOOKUP(AS16,Cheatsheet!$O$3:$W$102,9,0)))</f>
        <v/>
      </c>
      <c r="AX16" s="146"/>
      <c r="AY16" s="33" t="str">
        <f>IF((AX16=""),"",VLOOKUP(AX16,RB!$Z:$AA,2,0))</f>
        <v/>
      </c>
      <c r="AZ16" s="33" t="str">
        <f>IF((AY16=""),"",VLOOKUP(AY16,RB!$B:$C,2,0))</f>
        <v/>
      </c>
      <c r="BA16" s="33" t="str">
        <f>IF((AZ16=""),"",VLOOKUP(AZ16,Settings!$M$2:$N$33,2,0))</f>
        <v/>
      </c>
      <c r="BB16" s="35"/>
      <c r="BC16" s="84" t="str">
        <f>IF((BB16=""),"",(BB16-VLOOKUP(AY16,Cheatsheet!$O$3:$W$102,9,0)))</f>
        <v/>
      </c>
      <c r="BD16" s="146"/>
      <c r="BE16" s="33" t="str">
        <f>IF((BD16=""),"",VLOOKUP(BD16,RB!$Z:$AA,2,0))</f>
        <v/>
      </c>
      <c r="BF16" s="33" t="str">
        <f>IF((BE16=""),"",VLOOKUP(BE16,RB!$B:$C,2,0))</f>
        <v/>
      </c>
      <c r="BG16" s="33" t="str">
        <f>IF((BF16=""),"",VLOOKUP(BF16,Settings!$M$2:$N$33,2,0))</f>
        <v/>
      </c>
      <c r="BH16" s="35"/>
      <c r="BI16" s="84" t="str">
        <f>IF((BH16=""),"",(BH16-VLOOKUP(BE16,Cheatsheet!$O$3:$W$102,9,0)))</f>
        <v/>
      </c>
      <c r="BJ16" s="146"/>
      <c r="BK16" s="33" t="str">
        <f>IF((BJ16=""),"",VLOOKUP(BJ16,RB!$Z:$AA,2,0))</f>
        <v/>
      </c>
      <c r="BL16" s="33" t="str">
        <f>IF((BK16=""),"",VLOOKUP(BK16,RB!$B:$C,2,0))</f>
        <v/>
      </c>
      <c r="BM16" s="33" t="str">
        <f>IF((BL16=""),"",VLOOKUP(BL16,Settings!$M$2:$N$33,2,0))</f>
        <v/>
      </c>
      <c r="BN16" s="35"/>
      <c r="BO16" s="84" t="str">
        <f>IF((BN16=""),"",(BN16-VLOOKUP(BK16,Cheatsheet!$O$3:$W$102,9,0)))</f>
        <v/>
      </c>
    </row>
    <row r="17" spans="1:67" ht="12.75" customHeight="1">
      <c r="A17" s="42" t="s">
        <v>3</v>
      </c>
      <c r="B17" s="92"/>
      <c r="C17" s="132"/>
      <c r="D17" s="132"/>
      <c r="E17" s="132"/>
      <c r="F17" s="143"/>
      <c r="G17" s="94"/>
      <c r="H17" s="92"/>
      <c r="I17" s="132"/>
      <c r="J17" s="132"/>
      <c r="K17" s="132"/>
      <c r="L17" s="143"/>
      <c r="M17" s="94"/>
      <c r="N17" s="92"/>
      <c r="O17" s="132"/>
      <c r="P17" s="132"/>
      <c r="Q17" s="132"/>
      <c r="R17" s="143"/>
      <c r="S17" s="94"/>
      <c r="T17" s="92"/>
      <c r="U17" s="132"/>
      <c r="V17" s="132"/>
      <c r="W17" s="132"/>
      <c r="X17" s="143"/>
      <c r="Y17" s="94"/>
      <c r="Z17" s="92"/>
      <c r="AA17" s="132"/>
      <c r="AB17" s="132"/>
      <c r="AC17" s="132"/>
      <c r="AD17" s="143"/>
      <c r="AE17" s="94"/>
      <c r="AF17" s="92"/>
      <c r="AG17" s="132"/>
      <c r="AH17" s="132"/>
      <c r="AI17" s="132"/>
      <c r="AJ17" s="143"/>
      <c r="AK17" s="94"/>
      <c r="AL17" s="92"/>
      <c r="AM17" s="132"/>
      <c r="AN17" s="132"/>
      <c r="AO17" s="132"/>
      <c r="AP17" s="143"/>
      <c r="AQ17" s="94"/>
      <c r="AR17" s="92"/>
      <c r="AS17" s="132"/>
      <c r="AT17" s="132"/>
      <c r="AU17" s="132"/>
      <c r="AV17" s="143"/>
      <c r="AW17" s="94"/>
      <c r="AX17" s="92"/>
      <c r="AY17" s="132"/>
      <c r="AZ17" s="132"/>
      <c r="BA17" s="132"/>
      <c r="BB17" s="143"/>
      <c r="BC17" s="94"/>
      <c r="BD17" s="92"/>
      <c r="BE17" s="132"/>
      <c r="BF17" s="132"/>
      <c r="BG17" s="132"/>
      <c r="BH17" s="143"/>
      <c r="BI17" s="94"/>
      <c r="BJ17" s="92"/>
      <c r="BK17" s="132"/>
      <c r="BL17" s="132"/>
      <c r="BM17" s="132"/>
      <c r="BN17" s="143"/>
      <c r="BO17" s="94"/>
    </row>
    <row r="18" spans="1:67" ht="12.75" customHeight="1">
      <c r="A18" s="47">
        <v>1</v>
      </c>
      <c r="B18" s="146"/>
      <c r="C18" s="33" t="str">
        <f>IF((B18=""),"",VLOOKUP(B18,WR!$X:$Y,2,0))</f>
        <v/>
      </c>
      <c r="D18" s="33" t="str">
        <f>IF((C18=""),"",VLOOKUP(C18,WR!$B:$C,2,0))</f>
        <v/>
      </c>
      <c r="E18" s="33" t="str">
        <f>IF((D18=""),"",VLOOKUP(D18,Settings!$M$2:$N$33,2,0))</f>
        <v/>
      </c>
      <c r="F18" s="35"/>
      <c r="G18" s="84" t="str">
        <f>IF((F18=""),"",(F18-VLOOKUP(C18,Cheatsheet!$AA$3:$AI$102,9,0)))</f>
        <v/>
      </c>
      <c r="H18" s="146"/>
      <c r="I18" s="33" t="str">
        <f>IF((H18=""),"",VLOOKUP(H18,WR!$X:$Y,2,0))</f>
        <v/>
      </c>
      <c r="J18" s="33" t="str">
        <f>IF((I18=""),"",VLOOKUP(I18,WR!$B:$C,2,0))</f>
        <v/>
      </c>
      <c r="K18" s="33" t="str">
        <f>IF((J18=""),"",VLOOKUP(J18,Settings!$M$2:$N$33,2,0))</f>
        <v/>
      </c>
      <c r="L18" s="35"/>
      <c r="M18" s="84" t="str">
        <f>IF((L18=""),"",(L18-VLOOKUP(I18,Cheatsheet!$AA$3:$AI$102,9,0)))</f>
        <v/>
      </c>
      <c r="N18" s="146"/>
      <c r="O18" s="33" t="str">
        <f>IF((N18=""),"",VLOOKUP(N18,WR!$X:$Y,2,0))</f>
        <v/>
      </c>
      <c r="P18" s="33" t="str">
        <f>IF((O18=""),"",VLOOKUP(O18,WR!$B:$C,2,0))</f>
        <v/>
      </c>
      <c r="Q18" s="33" t="str">
        <f>IF((P18=""),"",VLOOKUP(P18,Settings!$M$2:$N$33,2,0))</f>
        <v/>
      </c>
      <c r="R18" s="35"/>
      <c r="S18" s="84" t="str">
        <f>IF((R18=""),"",(R18-VLOOKUP(O18,Cheatsheet!$AA$3:$AI$102,9,0)))</f>
        <v/>
      </c>
      <c r="T18" s="146"/>
      <c r="U18" s="33" t="str">
        <f>IF((T18=""),"",VLOOKUP(T18,WR!$X:$Y,2,0))</f>
        <v/>
      </c>
      <c r="V18" s="33" t="str">
        <f>IF((U18=""),"",VLOOKUP(U18,WR!$B:$C,2,0))</f>
        <v/>
      </c>
      <c r="W18" s="33" t="str">
        <f>IF((V18=""),"",VLOOKUP(V18,Settings!$M$2:$N$33,2,0))</f>
        <v/>
      </c>
      <c r="X18" s="35"/>
      <c r="Y18" s="84" t="str">
        <f>IF((X18=""),"",(X18-VLOOKUP(U18,Cheatsheet!$AA$3:$AI$102,9,0)))</f>
        <v/>
      </c>
      <c r="Z18" s="146"/>
      <c r="AA18" s="33" t="str">
        <f>IF((Z18=""),"",VLOOKUP(Z18,WR!$X:$Y,2,0))</f>
        <v/>
      </c>
      <c r="AB18" s="33" t="str">
        <f>IF((AA18=""),"",VLOOKUP(AA18,WR!$B:$C,2,0))</f>
        <v/>
      </c>
      <c r="AC18" s="33" t="str">
        <f>IF((AB18=""),"",VLOOKUP(AB18,Settings!$M$2:$N$33,2,0))</f>
        <v/>
      </c>
      <c r="AD18" s="35"/>
      <c r="AE18" s="84" t="str">
        <f>IF((AD18=""),"",(AD18-VLOOKUP(AA18,Cheatsheet!$AA$3:$AI$102,9,0)))</f>
        <v/>
      </c>
      <c r="AF18" s="146"/>
      <c r="AG18" s="33" t="str">
        <f>IF((AF18=""),"",VLOOKUP(AF18,WR!$X:$Y,2,0))</f>
        <v/>
      </c>
      <c r="AH18" s="33" t="str">
        <f>IF((AG18=""),"",VLOOKUP(AG18,WR!$B:$C,2,0))</f>
        <v/>
      </c>
      <c r="AI18" s="33" t="str">
        <f>IF((AH18=""),"",VLOOKUP(AH18,Settings!$M$2:$N$33,2,0))</f>
        <v/>
      </c>
      <c r="AJ18" s="35"/>
      <c r="AK18" s="84" t="str">
        <f>IF((AJ18=""),"",(AJ18-VLOOKUP(AG18,Cheatsheet!$AA$3:$AI$102,9,0)))</f>
        <v/>
      </c>
      <c r="AL18" s="146"/>
      <c r="AM18" s="33" t="str">
        <f>IF((AL18=""),"",VLOOKUP(AL18,WR!$X:$Y,2,0))</f>
        <v/>
      </c>
      <c r="AN18" s="33" t="str">
        <f>IF((AM18=""),"",VLOOKUP(AM18,WR!$B:$C,2,0))</f>
        <v/>
      </c>
      <c r="AO18" s="33" t="str">
        <f>IF((AN18=""),"",VLOOKUP(AN18,Settings!$M$2:$N$33,2,0))</f>
        <v/>
      </c>
      <c r="AP18" s="35"/>
      <c r="AQ18" s="84" t="str">
        <f>IF((AP18=""),"",(AP18-VLOOKUP(AM18,Cheatsheet!$AA$3:$AI$102,9,0)))</f>
        <v/>
      </c>
      <c r="AR18" s="146"/>
      <c r="AS18" s="33" t="str">
        <f>IF((AR18=""),"",VLOOKUP(AR18,WR!$X:$Y,2,0))</f>
        <v/>
      </c>
      <c r="AT18" s="33" t="str">
        <f>IF((AS18=""),"",VLOOKUP(AS18,WR!$B:$C,2,0))</f>
        <v/>
      </c>
      <c r="AU18" s="33" t="str">
        <f>IF((AT18=""),"",VLOOKUP(AT18,Settings!$M$2:$N$33,2,0))</f>
        <v/>
      </c>
      <c r="AV18" s="35"/>
      <c r="AW18" s="84" t="str">
        <f>IF((AV18=""),"",(AV18-VLOOKUP(AS18,Cheatsheet!$AA$3:$AI$102,9,0)))</f>
        <v/>
      </c>
      <c r="AX18" s="146"/>
      <c r="AY18" s="33" t="str">
        <f>IF((AX18=""),"",VLOOKUP(AX18,WR!$X:$Y,2,0))</f>
        <v/>
      </c>
      <c r="AZ18" s="33" t="str">
        <f>IF((AY18=""),"",VLOOKUP(AY18,WR!$B:$C,2,0))</f>
        <v/>
      </c>
      <c r="BA18" s="33" t="str">
        <f>IF((AZ18=""),"",VLOOKUP(AZ18,Settings!$M$2:$N$33,2,0))</f>
        <v/>
      </c>
      <c r="BB18" s="35"/>
      <c r="BC18" s="84" t="str">
        <f>IF((BB18=""),"",(BB18-VLOOKUP(AY18,Cheatsheet!$AA$3:$AI$102,9,0)))</f>
        <v/>
      </c>
      <c r="BD18" s="146"/>
      <c r="BE18" s="33" t="str">
        <f>IF((BD18=""),"",VLOOKUP(BD18,WR!$X:$Y,2,0))</f>
        <v/>
      </c>
      <c r="BF18" s="33" t="str">
        <f>IF((BE18=""),"",VLOOKUP(BE18,WR!$B:$C,2,0))</f>
        <v/>
      </c>
      <c r="BG18" s="33" t="str">
        <f>IF((BF18=""),"",VLOOKUP(BF18,Settings!$M$2:$N$33,2,0))</f>
        <v/>
      </c>
      <c r="BH18" s="35"/>
      <c r="BI18" s="84" t="str">
        <f>IF((BH18=""),"",(BH18-VLOOKUP(BE18,Cheatsheet!$AA$3:$AI$102,9,0)))</f>
        <v/>
      </c>
      <c r="BJ18" s="146"/>
      <c r="BK18" s="33" t="str">
        <f>IF((BJ18=""),"",VLOOKUP(BJ18,WR!$X:$Y,2,0))</f>
        <v/>
      </c>
      <c r="BL18" s="33" t="str">
        <f>IF((BK18=""),"",VLOOKUP(BK18,WR!$B:$C,2,0))</f>
        <v/>
      </c>
      <c r="BM18" s="33" t="str">
        <f>IF((BL18=""),"",VLOOKUP(BL18,Settings!$M$2:$N$33,2,0))</f>
        <v/>
      </c>
      <c r="BN18" s="35"/>
      <c r="BO18" s="84" t="str">
        <f>IF((BN18=""),"",(BN18-VLOOKUP(BK18,Cheatsheet!$AA$3:$AI$102,9,0)))</f>
        <v/>
      </c>
    </row>
    <row r="19" spans="1:67" ht="12.75" customHeight="1">
      <c r="A19" s="47">
        <v>2</v>
      </c>
      <c r="B19" s="146"/>
      <c r="C19" s="33" t="str">
        <f>IF((B19=""),"",VLOOKUP(B19,WR!$X:$Y,2,0))</f>
        <v/>
      </c>
      <c r="D19" s="33" t="str">
        <f>IF((C19=""),"",VLOOKUP(C19,WR!$B:$C,2,0))</f>
        <v/>
      </c>
      <c r="E19" s="33" t="str">
        <f>IF((D19=""),"",VLOOKUP(D19,Settings!$M$2:$N$33,2,0))</f>
        <v/>
      </c>
      <c r="F19" s="35"/>
      <c r="G19" s="84" t="str">
        <f>IF((F19=""),"",(F19-VLOOKUP(C19,Cheatsheet!$AA$3:$AI$102,9,0)))</f>
        <v/>
      </c>
      <c r="H19" s="146"/>
      <c r="I19" s="33" t="str">
        <f>IF((H19=""),"",VLOOKUP(H19,WR!$X:$Y,2,0))</f>
        <v/>
      </c>
      <c r="J19" s="33" t="str">
        <f>IF((I19=""),"",VLOOKUP(I19,WR!$B:$C,2,0))</f>
        <v/>
      </c>
      <c r="K19" s="33" t="str">
        <f>IF((J19=""),"",VLOOKUP(J19,Settings!$M$2:$N$33,2,0))</f>
        <v/>
      </c>
      <c r="L19" s="35"/>
      <c r="M19" s="84" t="str">
        <f>IF((L19=""),"",(L19-VLOOKUP(I19,Cheatsheet!$AA$3:$AI$102,9,0)))</f>
        <v/>
      </c>
      <c r="N19" s="146"/>
      <c r="O19" s="33" t="str">
        <f>IF((N19=""),"",VLOOKUP(N19,WR!$X:$Y,2,0))</f>
        <v/>
      </c>
      <c r="P19" s="33" t="str">
        <f>IF((O19=""),"",VLOOKUP(O19,WR!$B:$C,2,0))</f>
        <v/>
      </c>
      <c r="Q19" s="33" t="str">
        <f>IF((P19=""),"",VLOOKUP(P19,Settings!$M$2:$N$33,2,0))</f>
        <v/>
      </c>
      <c r="R19" s="35"/>
      <c r="S19" s="84" t="str">
        <f>IF((R19=""),"",(R19-VLOOKUP(O19,Cheatsheet!$AA$3:$AI$102,9,0)))</f>
        <v/>
      </c>
      <c r="T19" s="146"/>
      <c r="U19" s="33" t="str">
        <f>IF((T19=""),"",VLOOKUP(T19,WR!$X:$Y,2,0))</f>
        <v/>
      </c>
      <c r="V19" s="33" t="str">
        <f>IF((U19=""),"",VLOOKUP(U19,WR!$B:$C,2,0))</f>
        <v/>
      </c>
      <c r="W19" s="33" t="str">
        <f>IF((V19=""),"",VLOOKUP(V19,Settings!$M$2:$N$33,2,0))</f>
        <v/>
      </c>
      <c r="X19" s="35"/>
      <c r="Y19" s="84" t="str">
        <f>IF((X19=""),"",(X19-VLOOKUP(U19,Cheatsheet!$AA$3:$AI$102,9,0)))</f>
        <v/>
      </c>
      <c r="Z19" s="146"/>
      <c r="AA19" s="33" t="str">
        <f>IF((Z19=""),"",VLOOKUP(Z19,WR!$X:$Y,2,0))</f>
        <v/>
      </c>
      <c r="AB19" s="33" t="str">
        <f>IF((AA19=""),"",VLOOKUP(AA19,WR!$B:$C,2,0))</f>
        <v/>
      </c>
      <c r="AC19" s="33" t="str">
        <f>IF((AB19=""),"",VLOOKUP(AB19,Settings!$M$2:$N$33,2,0))</f>
        <v/>
      </c>
      <c r="AD19" s="35"/>
      <c r="AE19" s="84" t="str">
        <f>IF((AD19=""),"",(AD19-VLOOKUP(AA19,Cheatsheet!$AA$3:$AI$102,9,0)))</f>
        <v/>
      </c>
      <c r="AF19" s="146"/>
      <c r="AG19" s="33" t="str">
        <f>IF((AF19=""),"",VLOOKUP(AF19,WR!$X:$Y,2,0))</f>
        <v/>
      </c>
      <c r="AH19" s="33" t="str">
        <f>IF((AG19=""),"",VLOOKUP(AG19,WR!$B:$C,2,0))</f>
        <v/>
      </c>
      <c r="AI19" s="33" t="str">
        <f>IF((AH19=""),"",VLOOKUP(AH19,Settings!$M$2:$N$33,2,0))</f>
        <v/>
      </c>
      <c r="AJ19" s="35"/>
      <c r="AK19" s="84" t="str">
        <f>IF((AJ19=""),"",(AJ19-VLOOKUP(AG19,Cheatsheet!$AA$3:$AI$102,9,0)))</f>
        <v/>
      </c>
      <c r="AL19" s="146"/>
      <c r="AM19" s="33" t="str">
        <f>IF((AL19=""),"",VLOOKUP(AL19,WR!$X:$Y,2,0))</f>
        <v/>
      </c>
      <c r="AN19" s="33" t="str">
        <f>IF((AM19=""),"",VLOOKUP(AM19,WR!$B:$C,2,0))</f>
        <v/>
      </c>
      <c r="AO19" s="33" t="str">
        <f>IF((AN19=""),"",VLOOKUP(AN19,Settings!$M$2:$N$33,2,0))</f>
        <v/>
      </c>
      <c r="AP19" s="35"/>
      <c r="AQ19" s="84" t="str">
        <f>IF((AP19=""),"",(AP19-VLOOKUP(AM19,Cheatsheet!$AA$3:$AI$102,9,0)))</f>
        <v/>
      </c>
      <c r="AR19" s="146"/>
      <c r="AS19" s="33" t="str">
        <f>IF((AR19=""),"",VLOOKUP(AR19,WR!$X:$Y,2,0))</f>
        <v/>
      </c>
      <c r="AT19" s="33" t="str">
        <f>IF((AS19=""),"",VLOOKUP(AS19,WR!$B:$C,2,0))</f>
        <v/>
      </c>
      <c r="AU19" s="33" t="str">
        <f>IF((AT19=""),"",VLOOKUP(AT19,Settings!$M$2:$N$33,2,0))</f>
        <v/>
      </c>
      <c r="AV19" s="35"/>
      <c r="AW19" s="84" t="str">
        <f>IF((AV19=""),"",(AV19-VLOOKUP(AS19,Cheatsheet!$AA$3:$AI$102,9,0)))</f>
        <v/>
      </c>
      <c r="AX19" s="146"/>
      <c r="AY19" s="33" t="str">
        <f>IF((AX19=""),"",VLOOKUP(AX19,WR!$X:$Y,2,0))</f>
        <v/>
      </c>
      <c r="AZ19" s="33" t="str">
        <f>IF((AY19=""),"",VLOOKUP(AY19,WR!$B:$C,2,0))</f>
        <v/>
      </c>
      <c r="BA19" s="33" t="str">
        <f>IF((AZ19=""),"",VLOOKUP(AZ19,Settings!$M$2:$N$33,2,0))</f>
        <v/>
      </c>
      <c r="BB19" s="35"/>
      <c r="BC19" s="84" t="str">
        <f>IF((BB19=""),"",(BB19-VLOOKUP(AY19,Cheatsheet!$AA$3:$AI$102,9,0)))</f>
        <v/>
      </c>
      <c r="BD19" s="146"/>
      <c r="BE19" s="33" t="str">
        <f>IF((BD19=""),"",VLOOKUP(BD19,WR!$X:$Y,2,0))</f>
        <v/>
      </c>
      <c r="BF19" s="33" t="str">
        <f>IF((BE19=""),"",VLOOKUP(BE19,WR!$B:$C,2,0))</f>
        <v/>
      </c>
      <c r="BG19" s="33" t="str">
        <f>IF((BF19=""),"",VLOOKUP(BF19,Settings!$M$2:$N$33,2,0))</f>
        <v/>
      </c>
      <c r="BH19" s="35"/>
      <c r="BI19" s="84" t="str">
        <f>IF((BH19=""),"",(BH19-VLOOKUP(BE19,Cheatsheet!$AA$3:$AI$102,9,0)))</f>
        <v/>
      </c>
      <c r="BJ19" s="146"/>
      <c r="BK19" s="33" t="str">
        <f>IF((BJ19=""),"",VLOOKUP(BJ19,WR!$X:$Y,2,0))</f>
        <v/>
      </c>
      <c r="BL19" s="33" t="str">
        <f>IF((BK19=""),"",VLOOKUP(BK19,WR!$B:$C,2,0))</f>
        <v/>
      </c>
      <c r="BM19" s="33" t="str">
        <f>IF((BL19=""),"",VLOOKUP(BL19,Settings!$M$2:$N$33,2,0))</f>
        <v/>
      </c>
      <c r="BN19" s="35"/>
      <c r="BO19" s="84" t="str">
        <f>IF((BN19=""),"",(BN19-VLOOKUP(BK19,Cheatsheet!$AA$3:$AI$102,9,0)))</f>
        <v/>
      </c>
    </row>
    <row r="20" spans="1:67" ht="12.75" customHeight="1">
      <c r="A20" s="47">
        <v>3</v>
      </c>
      <c r="B20" s="146"/>
      <c r="C20" s="33" t="str">
        <f>IF((B20=""),"",VLOOKUP(B20,WR!$X:$Y,2,0))</f>
        <v/>
      </c>
      <c r="D20" s="33" t="str">
        <f>IF((C20=""),"",VLOOKUP(C20,WR!$B:$C,2,0))</f>
        <v/>
      </c>
      <c r="E20" s="33" t="str">
        <f>IF((D20=""),"",VLOOKUP(D20,Settings!$M$2:$N$33,2,0))</f>
        <v/>
      </c>
      <c r="F20" s="35"/>
      <c r="G20" s="84" t="str">
        <f>IF((F20=""),"",(F20-VLOOKUP(C20,Cheatsheet!$AA$3:$AI$102,9,0)))</f>
        <v/>
      </c>
      <c r="H20" s="146"/>
      <c r="I20" s="33" t="str">
        <f>IF((H20=""),"",VLOOKUP(H20,WR!$X:$Y,2,0))</f>
        <v/>
      </c>
      <c r="J20" s="33" t="str">
        <f>IF((I20=""),"",VLOOKUP(I20,WR!$B:$C,2,0))</f>
        <v/>
      </c>
      <c r="K20" s="33" t="str">
        <f>IF((J20=""),"",VLOOKUP(J20,Settings!$M$2:$N$33,2,0))</f>
        <v/>
      </c>
      <c r="L20" s="35"/>
      <c r="M20" s="84" t="str">
        <f>IF((L20=""),"",(L20-VLOOKUP(I20,Cheatsheet!$AA$3:$AI$102,9,0)))</f>
        <v/>
      </c>
      <c r="N20" s="146"/>
      <c r="O20" s="33" t="str">
        <f>IF((N20=""),"",VLOOKUP(N20,WR!$X:$Y,2,0))</f>
        <v/>
      </c>
      <c r="P20" s="33" t="str">
        <f>IF((O20=""),"",VLOOKUP(O20,WR!$B:$C,2,0))</f>
        <v/>
      </c>
      <c r="Q20" s="33" t="str">
        <f>IF((P20=""),"",VLOOKUP(P20,Settings!$M$2:$N$33,2,0))</f>
        <v/>
      </c>
      <c r="R20" s="35"/>
      <c r="S20" s="84" t="str">
        <f>IF((R20=""),"",(R20-VLOOKUP(O20,Cheatsheet!$AA$3:$AI$102,9,0)))</f>
        <v/>
      </c>
      <c r="T20" s="146"/>
      <c r="U20" s="33" t="str">
        <f>IF((T20=""),"",VLOOKUP(T20,WR!$X:$Y,2,0))</f>
        <v/>
      </c>
      <c r="V20" s="33" t="str">
        <f>IF((U20=""),"",VLOOKUP(U20,WR!$B:$C,2,0))</f>
        <v/>
      </c>
      <c r="W20" s="33" t="str">
        <f>IF((V20=""),"",VLOOKUP(V20,Settings!$M$2:$N$33,2,0))</f>
        <v/>
      </c>
      <c r="X20" s="35"/>
      <c r="Y20" s="84" t="str">
        <f>IF((X20=""),"",(X20-VLOOKUP(U20,Cheatsheet!$AA$3:$AI$102,9,0)))</f>
        <v/>
      </c>
      <c r="Z20" s="146"/>
      <c r="AA20" s="33" t="str">
        <f>IF((Z20=""),"",VLOOKUP(Z20,WR!$X:$Y,2,0))</f>
        <v/>
      </c>
      <c r="AB20" s="33" t="str">
        <f>IF((AA20=""),"",VLOOKUP(AA20,WR!$B:$C,2,0))</f>
        <v/>
      </c>
      <c r="AC20" s="33" t="str">
        <f>IF((AB20=""),"",VLOOKUP(AB20,Settings!$M$2:$N$33,2,0))</f>
        <v/>
      </c>
      <c r="AD20" s="35"/>
      <c r="AE20" s="84" t="str">
        <f>IF((AD20=""),"",(AD20-VLOOKUP(AA20,Cheatsheet!$AA$3:$AI$102,9,0)))</f>
        <v/>
      </c>
      <c r="AF20" s="146"/>
      <c r="AG20" s="33" t="str">
        <f>IF((AF20=""),"",VLOOKUP(AF20,WR!$X:$Y,2,0))</f>
        <v/>
      </c>
      <c r="AH20" s="33" t="str">
        <f>IF((AG20=""),"",VLOOKUP(AG20,WR!$B:$C,2,0))</f>
        <v/>
      </c>
      <c r="AI20" s="33" t="str">
        <f>IF((AH20=""),"",VLOOKUP(AH20,Settings!$M$2:$N$33,2,0))</f>
        <v/>
      </c>
      <c r="AJ20" s="35"/>
      <c r="AK20" s="84" t="str">
        <f>IF((AJ20=""),"",(AJ20-VLOOKUP(AG20,Cheatsheet!$AA$3:$AI$102,9,0)))</f>
        <v/>
      </c>
      <c r="AL20" s="146"/>
      <c r="AM20" s="33" t="str">
        <f>IF((AL20=""),"",VLOOKUP(AL20,WR!$X:$Y,2,0))</f>
        <v/>
      </c>
      <c r="AN20" s="33" t="str">
        <f>IF((AM20=""),"",VLOOKUP(AM20,WR!$B:$C,2,0))</f>
        <v/>
      </c>
      <c r="AO20" s="33" t="str">
        <f>IF((AN20=""),"",VLOOKUP(AN20,Settings!$M$2:$N$33,2,0))</f>
        <v/>
      </c>
      <c r="AP20" s="35"/>
      <c r="AQ20" s="84" t="str">
        <f>IF((AP20=""),"",(AP20-VLOOKUP(AM20,Cheatsheet!$AA$3:$AI$102,9,0)))</f>
        <v/>
      </c>
      <c r="AR20" s="146"/>
      <c r="AS20" s="33" t="str">
        <f>IF((AR20=""),"",VLOOKUP(AR20,WR!$X:$Y,2,0))</f>
        <v/>
      </c>
      <c r="AT20" s="33" t="str">
        <f>IF((AS20=""),"",VLOOKUP(AS20,WR!$B:$C,2,0))</f>
        <v/>
      </c>
      <c r="AU20" s="33" t="str">
        <f>IF((AT20=""),"",VLOOKUP(AT20,Settings!$M$2:$N$33,2,0))</f>
        <v/>
      </c>
      <c r="AV20" s="35"/>
      <c r="AW20" s="84" t="str">
        <f>IF((AV20=""),"",(AV20-VLOOKUP(AS20,Cheatsheet!$AA$3:$AI$102,9,0)))</f>
        <v/>
      </c>
      <c r="AX20" s="146"/>
      <c r="AY20" s="33" t="str">
        <f>IF((AX20=""),"",VLOOKUP(AX20,WR!$X:$Y,2,0))</f>
        <v/>
      </c>
      <c r="AZ20" s="33" t="str">
        <f>IF((AY20=""),"",VLOOKUP(AY20,WR!$B:$C,2,0))</f>
        <v/>
      </c>
      <c r="BA20" s="33" t="str">
        <f>IF((AZ20=""),"",VLOOKUP(AZ20,Settings!$M$2:$N$33,2,0))</f>
        <v/>
      </c>
      <c r="BB20" s="35"/>
      <c r="BC20" s="84" t="str">
        <f>IF((BB20=""),"",(BB20-VLOOKUP(AY20,Cheatsheet!$AA$3:$AI$102,9,0)))</f>
        <v/>
      </c>
      <c r="BD20" s="146"/>
      <c r="BE20" s="33" t="str">
        <f>IF((BD20=""),"",VLOOKUP(BD20,WR!$X:$Y,2,0))</f>
        <v/>
      </c>
      <c r="BF20" s="33" t="str">
        <f>IF((BE20=""),"",VLOOKUP(BE20,WR!$B:$C,2,0))</f>
        <v/>
      </c>
      <c r="BG20" s="33" t="str">
        <f>IF((BF20=""),"",VLOOKUP(BF20,Settings!$M$2:$N$33,2,0))</f>
        <v/>
      </c>
      <c r="BH20" s="35"/>
      <c r="BI20" s="84" t="str">
        <f>IF((BH20=""),"",(BH20-VLOOKUP(BE20,Cheatsheet!$AA$3:$AI$102,9,0)))</f>
        <v/>
      </c>
      <c r="BJ20" s="146"/>
      <c r="BK20" s="33" t="str">
        <f>IF((BJ20=""),"",VLOOKUP(BJ20,WR!$X:$Y,2,0))</f>
        <v/>
      </c>
      <c r="BL20" s="33" t="str">
        <f>IF((BK20=""),"",VLOOKUP(BK20,WR!$B:$C,2,0))</f>
        <v/>
      </c>
      <c r="BM20" s="33" t="str">
        <f>IF((BL20=""),"",VLOOKUP(BL20,Settings!$M$2:$N$33,2,0))</f>
        <v/>
      </c>
      <c r="BN20" s="35"/>
      <c r="BO20" s="84" t="str">
        <f>IF((BN20=""),"",(BN20-VLOOKUP(BK20,Cheatsheet!$AA$3:$AI$102,9,0)))</f>
        <v/>
      </c>
    </row>
    <row r="21" spans="1:67" ht="12.75" customHeight="1">
      <c r="A21" s="47">
        <v>4</v>
      </c>
      <c r="B21" s="146"/>
      <c r="C21" s="33" t="str">
        <f>IF((B21=""),"",VLOOKUP(B21,WR!$X:$Y,2,0))</f>
        <v/>
      </c>
      <c r="D21" s="33" t="str">
        <f>IF((C21=""),"",VLOOKUP(C21,WR!$B:$C,2,0))</f>
        <v/>
      </c>
      <c r="E21" s="33" t="str">
        <f>IF((D21=""),"",VLOOKUP(D21,Settings!$M$2:$N$33,2,0))</f>
        <v/>
      </c>
      <c r="F21" s="35"/>
      <c r="G21" s="84" t="str">
        <f>IF((F21=""),"",(F21-VLOOKUP(C21,Cheatsheet!$AA$3:$AI$102,9,0)))</f>
        <v/>
      </c>
      <c r="H21" s="146"/>
      <c r="I21" s="33" t="str">
        <f>IF((H21=""),"",VLOOKUP(H21,WR!$X:$Y,2,0))</f>
        <v/>
      </c>
      <c r="J21" s="33" t="str">
        <f>IF((I21=""),"",VLOOKUP(I21,WR!$B:$C,2,0))</f>
        <v/>
      </c>
      <c r="K21" s="33" t="str">
        <f>IF((J21=""),"",VLOOKUP(J21,Settings!$M$2:$N$33,2,0))</f>
        <v/>
      </c>
      <c r="L21" s="35"/>
      <c r="M21" s="84" t="str">
        <f>IF((L21=""),"",(L21-VLOOKUP(I21,Cheatsheet!$AA$3:$AI$102,9,0)))</f>
        <v/>
      </c>
      <c r="N21" s="146"/>
      <c r="O21" s="33" t="str">
        <f>IF((N21=""),"",VLOOKUP(N21,WR!$X:$Y,2,0))</f>
        <v/>
      </c>
      <c r="P21" s="33" t="str">
        <f>IF((O21=""),"",VLOOKUP(O21,WR!$B:$C,2,0))</f>
        <v/>
      </c>
      <c r="Q21" s="33" t="str">
        <f>IF((P21=""),"",VLOOKUP(P21,Settings!$M$2:$N$33,2,0))</f>
        <v/>
      </c>
      <c r="R21" s="35"/>
      <c r="S21" s="84" t="str">
        <f>IF((R21=""),"",(R21-VLOOKUP(O21,Cheatsheet!$AA$3:$AI$102,9,0)))</f>
        <v/>
      </c>
      <c r="T21" s="146"/>
      <c r="U21" s="33" t="str">
        <f>IF((T21=""),"",VLOOKUP(T21,WR!$X:$Y,2,0))</f>
        <v/>
      </c>
      <c r="V21" s="33" t="str">
        <f>IF((U21=""),"",VLOOKUP(U21,WR!$B:$C,2,0))</f>
        <v/>
      </c>
      <c r="W21" s="33" t="str">
        <f>IF((V21=""),"",VLOOKUP(V21,Settings!$M$2:$N$33,2,0))</f>
        <v/>
      </c>
      <c r="X21" s="35"/>
      <c r="Y21" s="84" t="str">
        <f>IF((X21=""),"",(X21-VLOOKUP(U21,Cheatsheet!$AA$3:$AI$102,9,0)))</f>
        <v/>
      </c>
      <c r="Z21" s="146"/>
      <c r="AA21" s="33" t="str">
        <f>IF((Z21=""),"",VLOOKUP(Z21,WR!$X:$Y,2,0))</f>
        <v/>
      </c>
      <c r="AB21" s="33" t="str">
        <f>IF((AA21=""),"",VLOOKUP(AA21,WR!$B:$C,2,0))</f>
        <v/>
      </c>
      <c r="AC21" s="33" t="str">
        <f>IF((AB21=""),"",VLOOKUP(AB21,Settings!$M$2:$N$33,2,0))</f>
        <v/>
      </c>
      <c r="AD21" s="35"/>
      <c r="AE21" s="84" t="str">
        <f>IF((AD21=""),"",(AD21-VLOOKUP(AA21,Cheatsheet!$AA$3:$AI$102,9,0)))</f>
        <v/>
      </c>
      <c r="AF21" s="146"/>
      <c r="AG21" s="33" t="str">
        <f>IF((AF21=""),"",VLOOKUP(AF21,WR!$X:$Y,2,0))</f>
        <v/>
      </c>
      <c r="AH21" s="33" t="str">
        <f>IF((AG21=""),"",VLOOKUP(AG21,WR!$B:$C,2,0))</f>
        <v/>
      </c>
      <c r="AI21" s="33" t="str">
        <f>IF((AH21=""),"",VLOOKUP(AH21,Settings!$M$2:$N$33,2,0))</f>
        <v/>
      </c>
      <c r="AJ21" s="35"/>
      <c r="AK21" s="84" t="str">
        <f>IF((AJ21=""),"",(AJ21-VLOOKUP(AG21,Cheatsheet!$AA$3:$AI$102,9,0)))</f>
        <v/>
      </c>
      <c r="AL21" s="146"/>
      <c r="AM21" s="33" t="str">
        <f>IF((AL21=""),"",VLOOKUP(AL21,WR!$X:$Y,2,0))</f>
        <v/>
      </c>
      <c r="AN21" s="33" t="str">
        <f>IF((AM21=""),"",VLOOKUP(AM21,WR!$B:$C,2,0))</f>
        <v/>
      </c>
      <c r="AO21" s="33" t="str">
        <f>IF((AN21=""),"",VLOOKUP(AN21,Settings!$M$2:$N$33,2,0))</f>
        <v/>
      </c>
      <c r="AP21" s="35"/>
      <c r="AQ21" s="84" t="str">
        <f>IF((AP21=""),"",(AP21-VLOOKUP(AM21,Cheatsheet!$AA$3:$AI$102,9,0)))</f>
        <v/>
      </c>
      <c r="AR21" s="146"/>
      <c r="AS21" s="33" t="str">
        <f>IF((AR21=""),"",VLOOKUP(AR21,WR!$X:$Y,2,0))</f>
        <v/>
      </c>
      <c r="AT21" s="33" t="str">
        <f>IF((AS21=""),"",VLOOKUP(AS21,WR!$B:$C,2,0))</f>
        <v/>
      </c>
      <c r="AU21" s="33" t="str">
        <f>IF((AT21=""),"",VLOOKUP(AT21,Settings!$M$2:$N$33,2,0))</f>
        <v/>
      </c>
      <c r="AV21" s="35"/>
      <c r="AW21" s="84" t="str">
        <f>IF((AV21=""),"",(AV21-VLOOKUP(AS21,Cheatsheet!$AA$3:$AI$102,9,0)))</f>
        <v/>
      </c>
      <c r="AX21" s="146"/>
      <c r="AY21" s="33" t="str">
        <f>IF((AX21=""),"",VLOOKUP(AX21,WR!$X:$Y,2,0))</f>
        <v/>
      </c>
      <c r="AZ21" s="33" t="str">
        <f>IF((AY21=""),"",VLOOKUP(AY21,WR!$B:$C,2,0))</f>
        <v/>
      </c>
      <c r="BA21" s="33" t="str">
        <f>IF((AZ21=""),"",VLOOKUP(AZ21,Settings!$M$2:$N$33,2,0))</f>
        <v/>
      </c>
      <c r="BB21" s="35"/>
      <c r="BC21" s="84" t="str">
        <f>IF((BB21=""),"",(BB21-VLOOKUP(AY21,Cheatsheet!$AA$3:$AI$102,9,0)))</f>
        <v/>
      </c>
      <c r="BD21" s="146"/>
      <c r="BE21" s="33" t="str">
        <f>IF((BD21=""),"",VLOOKUP(BD21,WR!$X:$Y,2,0))</f>
        <v/>
      </c>
      <c r="BF21" s="33" t="str">
        <f>IF((BE21=""),"",VLOOKUP(BE21,WR!$B:$C,2,0))</f>
        <v/>
      </c>
      <c r="BG21" s="33" t="str">
        <f>IF((BF21=""),"",VLOOKUP(BF21,Settings!$M$2:$N$33,2,0))</f>
        <v/>
      </c>
      <c r="BH21" s="35"/>
      <c r="BI21" s="84" t="str">
        <f>IF((BH21=""),"",(BH21-VLOOKUP(BE21,Cheatsheet!$AA$3:$AI$102,9,0)))</f>
        <v/>
      </c>
      <c r="BJ21" s="146"/>
      <c r="BK21" s="33" t="str">
        <f>IF((BJ21=""),"",VLOOKUP(BJ21,WR!$X:$Y,2,0))</f>
        <v/>
      </c>
      <c r="BL21" s="33" t="str">
        <f>IF((BK21=""),"",VLOOKUP(BK21,WR!$B:$C,2,0))</f>
        <v/>
      </c>
      <c r="BM21" s="33" t="str">
        <f>IF((BL21=""),"",VLOOKUP(BL21,Settings!$M$2:$N$33,2,0))</f>
        <v/>
      </c>
      <c r="BN21" s="35"/>
      <c r="BO21" s="84" t="str">
        <f>IF((BN21=""),"",(BN21-VLOOKUP(BK21,Cheatsheet!$AA$3:$AI$102,9,0)))</f>
        <v/>
      </c>
    </row>
    <row r="22" spans="1:67" ht="12.75" customHeight="1">
      <c r="A22" s="47">
        <v>5</v>
      </c>
      <c r="B22" s="146"/>
      <c r="C22" s="33" t="str">
        <f>IF((B22=""),"",VLOOKUP(B22,WR!$X:$Y,2,0))</f>
        <v/>
      </c>
      <c r="D22" s="33" t="str">
        <f>IF((C22=""),"",VLOOKUP(C22,WR!$B:$C,2,0))</f>
        <v/>
      </c>
      <c r="E22" s="33" t="str">
        <f>IF((D22=""),"",VLOOKUP(D22,Settings!$M$2:$N$33,2,0))</f>
        <v/>
      </c>
      <c r="F22" s="35"/>
      <c r="G22" s="84" t="str">
        <f>IF((F22=""),"",(F22-VLOOKUP(C22,Cheatsheet!$AA$3:$AI$102,9,0)))</f>
        <v/>
      </c>
      <c r="H22" s="146"/>
      <c r="I22" s="33" t="str">
        <f>IF((H22=""),"",VLOOKUP(H22,WR!$X:$Y,2,0))</f>
        <v/>
      </c>
      <c r="J22" s="33" t="str">
        <f>IF((I22=""),"",VLOOKUP(I22,WR!$B:$C,2,0))</f>
        <v/>
      </c>
      <c r="K22" s="33" t="str">
        <f>IF((J22=""),"",VLOOKUP(J22,Settings!$M$2:$N$33,2,0))</f>
        <v/>
      </c>
      <c r="L22" s="35"/>
      <c r="M22" s="84" t="str">
        <f>IF((L22=""),"",(L22-VLOOKUP(I22,Cheatsheet!$AA$3:$AI$102,9,0)))</f>
        <v/>
      </c>
      <c r="N22" s="146"/>
      <c r="O22" s="33" t="str">
        <f>IF((N22=""),"",VLOOKUP(N22,WR!$X:$Y,2,0))</f>
        <v/>
      </c>
      <c r="P22" s="33" t="str">
        <f>IF((O22=""),"",VLOOKUP(O22,WR!$B:$C,2,0))</f>
        <v/>
      </c>
      <c r="Q22" s="33" t="str">
        <f>IF((P22=""),"",VLOOKUP(P22,Settings!$M$2:$N$33,2,0))</f>
        <v/>
      </c>
      <c r="R22" s="35"/>
      <c r="S22" s="84" t="str">
        <f>IF((R22=""),"",(R22-VLOOKUP(O22,Cheatsheet!$AA$3:$AI$102,9,0)))</f>
        <v/>
      </c>
      <c r="T22" s="146"/>
      <c r="U22" s="33" t="str">
        <f>IF((T22=""),"",VLOOKUP(T22,WR!$X:$Y,2,0))</f>
        <v/>
      </c>
      <c r="V22" s="33" t="str">
        <f>IF((U22=""),"",VLOOKUP(U22,WR!$B:$C,2,0))</f>
        <v/>
      </c>
      <c r="W22" s="33" t="str">
        <f>IF((V22=""),"",VLOOKUP(V22,Settings!$M$2:$N$33,2,0))</f>
        <v/>
      </c>
      <c r="X22" s="35"/>
      <c r="Y22" s="84" t="str">
        <f>IF((X22=""),"",(X22-VLOOKUP(U22,Cheatsheet!$AA$3:$AI$102,9,0)))</f>
        <v/>
      </c>
      <c r="Z22" s="146"/>
      <c r="AA22" s="33" t="str">
        <f>IF((Z22=""),"",VLOOKUP(Z22,WR!$X:$Y,2,0))</f>
        <v/>
      </c>
      <c r="AB22" s="33" t="str">
        <f>IF((AA22=""),"",VLOOKUP(AA22,WR!$B:$C,2,0))</f>
        <v/>
      </c>
      <c r="AC22" s="33" t="str">
        <f>IF((AB22=""),"",VLOOKUP(AB22,Settings!$M$2:$N$33,2,0))</f>
        <v/>
      </c>
      <c r="AD22" s="35"/>
      <c r="AE22" s="84" t="str">
        <f>IF((AD22=""),"",(AD22-VLOOKUP(AA22,Cheatsheet!$AA$3:$AI$102,9,0)))</f>
        <v/>
      </c>
      <c r="AF22" s="146"/>
      <c r="AG22" s="33" t="str">
        <f>IF((AF22=""),"",VLOOKUP(AF22,WR!$X:$Y,2,0))</f>
        <v/>
      </c>
      <c r="AH22" s="33" t="str">
        <f>IF((AG22=""),"",VLOOKUP(AG22,WR!$B:$C,2,0))</f>
        <v/>
      </c>
      <c r="AI22" s="33" t="str">
        <f>IF((AH22=""),"",VLOOKUP(AH22,Settings!$M$2:$N$33,2,0))</f>
        <v/>
      </c>
      <c r="AJ22" s="35"/>
      <c r="AK22" s="84" t="str">
        <f>IF((AJ22=""),"",(AJ22-VLOOKUP(AG22,Cheatsheet!$AA$3:$AI$102,9,0)))</f>
        <v/>
      </c>
      <c r="AL22" s="146"/>
      <c r="AM22" s="33" t="str">
        <f>IF((AL22=""),"",VLOOKUP(AL22,WR!$X:$Y,2,0))</f>
        <v/>
      </c>
      <c r="AN22" s="33" t="str">
        <f>IF((AM22=""),"",VLOOKUP(AM22,WR!$B:$C,2,0))</f>
        <v/>
      </c>
      <c r="AO22" s="33" t="str">
        <f>IF((AN22=""),"",VLOOKUP(AN22,Settings!$M$2:$N$33,2,0))</f>
        <v/>
      </c>
      <c r="AP22" s="35"/>
      <c r="AQ22" s="84" t="str">
        <f>IF((AP22=""),"",(AP22-VLOOKUP(AM22,Cheatsheet!$AA$3:$AI$102,9,0)))</f>
        <v/>
      </c>
      <c r="AR22" s="146"/>
      <c r="AS22" s="33" t="str">
        <f>IF((AR22=""),"",VLOOKUP(AR22,WR!$X:$Y,2,0))</f>
        <v/>
      </c>
      <c r="AT22" s="33" t="str">
        <f>IF((AS22=""),"",VLOOKUP(AS22,WR!$B:$C,2,0))</f>
        <v/>
      </c>
      <c r="AU22" s="33" t="str">
        <f>IF((AT22=""),"",VLOOKUP(AT22,Settings!$M$2:$N$33,2,0))</f>
        <v/>
      </c>
      <c r="AV22" s="35"/>
      <c r="AW22" s="84" t="str">
        <f>IF((AV22=""),"",(AV22-VLOOKUP(AS22,Cheatsheet!$AA$3:$AI$102,9,0)))</f>
        <v/>
      </c>
      <c r="AX22" s="146"/>
      <c r="AY22" s="33" t="str">
        <f>IF((AX22=""),"",VLOOKUP(AX22,WR!$X:$Y,2,0))</f>
        <v/>
      </c>
      <c r="AZ22" s="33" t="str">
        <f>IF((AY22=""),"",VLOOKUP(AY22,WR!$B:$C,2,0))</f>
        <v/>
      </c>
      <c r="BA22" s="33" t="str">
        <f>IF((AZ22=""),"",VLOOKUP(AZ22,Settings!$M$2:$N$33,2,0))</f>
        <v/>
      </c>
      <c r="BB22" s="35"/>
      <c r="BC22" s="84" t="str">
        <f>IF((BB22=""),"",(BB22-VLOOKUP(AY22,Cheatsheet!$AA$3:$AI$102,9,0)))</f>
        <v/>
      </c>
      <c r="BD22" s="146"/>
      <c r="BE22" s="33" t="str">
        <f>IF((BD22=""),"",VLOOKUP(BD22,WR!$X:$Y,2,0))</f>
        <v/>
      </c>
      <c r="BF22" s="33" t="str">
        <f>IF((BE22=""),"",VLOOKUP(BE22,WR!$B:$C,2,0))</f>
        <v/>
      </c>
      <c r="BG22" s="33" t="str">
        <f>IF((BF22=""),"",VLOOKUP(BF22,Settings!$M$2:$N$33,2,0))</f>
        <v/>
      </c>
      <c r="BH22" s="35"/>
      <c r="BI22" s="84" t="str">
        <f>IF((BH22=""),"",(BH22-VLOOKUP(BE22,Cheatsheet!$AA$3:$AI$102,9,0)))</f>
        <v/>
      </c>
      <c r="BJ22" s="146"/>
      <c r="BK22" s="33" t="str">
        <f>IF((BJ22=""),"",VLOOKUP(BJ22,WR!$X:$Y,2,0))</f>
        <v/>
      </c>
      <c r="BL22" s="33" t="str">
        <f>IF((BK22=""),"",VLOOKUP(BK22,WR!$B:$C,2,0))</f>
        <v/>
      </c>
      <c r="BM22" s="33" t="str">
        <f>IF((BL22=""),"",VLOOKUP(BL22,Settings!$M$2:$N$33,2,0))</f>
        <v/>
      </c>
      <c r="BN22" s="35"/>
      <c r="BO22" s="84" t="str">
        <f>IF((BN22=""),"",(BN22-VLOOKUP(BK22,Cheatsheet!$AA$3:$AI$102,9,0)))</f>
        <v/>
      </c>
    </row>
    <row r="23" spans="1:67" ht="12.75" customHeight="1">
      <c r="A23" s="47">
        <v>6</v>
      </c>
      <c r="B23" s="146"/>
      <c r="C23" s="33" t="str">
        <f>IF((B23=""),"",VLOOKUP(B23,WR!$X:$Y,2,0))</f>
        <v/>
      </c>
      <c r="D23" s="33" t="str">
        <f>IF((C23=""),"",VLOOKUP(C23,WR!$B:$C,2,0))</f>
        <v/>
      </c>
      <c r="E23" s="33" t="str">
        <f>IF((D23=""),"",VLOOKUP(D23,Settings!$M$2:$N$33,2,0))</f>
        <v/>
      </c>
      <c r="F23" s="35"/>
      <c r="G23" s="84" t="str">
        <f>IF((F23=""),"",(F23-VLOOKUP(C23,Cheatsheet!$AA$3:$AI$102,9,0)))</f>
        <v/>
      </c>
      <c r="H23" s="146"/>
      <c r="I23" s="33" t="str">
        <f>IF((H23=""),"",VLOOKUP(H23,WR!$X:$Y,2,0))</f>
        <v/>
      </c>
      <c r="J23" s="33" t="str">
        <f>IF((I23=""),"",VLOOKUP(I23,WR!$B:$C,2,0))</f>
        <v/>
      </c>
      <c r="K23" s="33"/>
      <c r="L23" s="35"/>
      <c r="M23" s="84" t="str">
        <f>IF((L23=""),"",(L23-VLOOKUP(I23,Cheatsheet!$AA$3:$AI$102,9,0)))</f>
        <v/>
      </c>
      <c r="N23" s="146"/>
      <c r="O23" s="33" t="str">
        <f>IF((N23=""),"",VLOOKUP(N23,WR!$X:$Y,2,0))</f>
        <v/>
      </c>
      <c r="P23" s="33" t="str">
        <f>IF((O23=""),"",VLOOKUP(O23,WR!$B:$C,2,0))</f>
        <v/>
      </c>
      <c r="Q23" s="33" t="str">
        <f>IF((P23=""),"",VLOOKUP(P23,Settings!$M$2:$N$33,2,0))</f>
        <v/>
      </c>
      <c r="R23" s="35"/>
      <c r="S23" s="84" t="str">
        <f>IF((R23=""),"",(R23-VLOOKUP(O23,Cheatsheet!$AA$3:$AI$102,9,0)))</f>
        <v/>
      </c>
      <c r="T23" s="146"/>
      <c r="U23" s="33" t="str">
        <f>IF((T23=""),"",VLOOKUP(T23,WR!$X:$Y,2,0))</f>
        <v/>
      </c>
      <c r="V23" s="33" t="str">
        <f>IF((U23=""),"",VLOOKUP(U23,WR!$B:$C,2,0))</f>
        <v/>
      </c>
      <c r="W23" s="33" t="str">
        <f>IF((V23=""),"",VLOOKUP(V23,Settings!$M$2:$N$33,2,0))</f>
        <v/>
      </c>
      <c r="X23" s="35"/>
      <c r="Y23" s="84" t="str">
        <f>IF((X23=""),"",(X23-VLOOKUP(U23,Cheatsheet!$AA$3:$AI$102,9,0)))</f>
        <v/>
      </c>
      <c r="Z23" s="146"/>
      <c r="AA23" s="33" t="str">
        <f>IF((Z23=""),"",VLOOKUP(Z23,WR!$X:$Y,2,0))</f>
        <v/>
      </c>
      <c r="AB23" s="33" t="str">
        <f>IF((AA23=""),"",VLOOKUP(AA23,WR!$B:$C,2,0))</f>
        <v/>
      </c>
      <c r="AC23" s="33" t="str">
        <f>IF((AB23=""),"",VLOOKUP(AB23,Settings!$M$2:$N$33,2,0))</f>
        <v/>
      </c>
      <c r="AD23" s="35"/>
      <c r="AE23" s="84" t="str">
        <f>IF((AD23=""),"",(AD23-VLOOKUP(AA23,Cheatsheet!$AA$3:$AI$102,9,0)))</f>
        <v/>
      </c>
      <c r="AF23" s="146"/>
      <c r="AG23" s="33" t="str">
        <f>IF((AF23=""),"",VLOOKUP(AF23,WR!$X:$Y,2,0))</f>
        <v/>
      </c>
      <c r="AH23" s="33" t="str">
        <f>IF((AG23=""),"",VLOOKUP(AG23,WR!$B:$C,2,0))</f>
        <v/>
      </c>
      <c r="AI23" s="33" t="str">
        <f>IF((AH23=""),"",VLOOKUP(AH23,Settings!$M$2:$N$33,2,0))</f>
        <v/>
      </c>
      <c r="AJ23" s="35"/>
      <c r="AK23" s="84" t="str">
        <f>IF((AJ23=""),"",(AJ23-VLOOKUP(AG23,Cheatsheet!$AA$3:$AI$102,9,0)))</f>
        <v/>
      </c>
      <c r="AL23" s="146"/>
      <c r="AM23" s="33" t="str">
        <f>IF((AL23=""),"",VLOOKUP(AL23,WR!$X:$Y,2,0))</f>
        <v/>
      </c>
      <c r="AN23" s="33" t="str">
        <f>IF((AM23=""),"",VLOOKUP(AM23,WR!$B:$C,2,0))</f>
        <v/>
      </c>
      <c r="AO23" s="33" t="str">
        <f>IF((AN23=""),"",VLOOKUP(AN23,Settings!$M$2:$N$33,2,0))</f>
        <v/>
      </c>
      <c r="AP23" s="35"/>
      <c r="AQ23" s="84" t="str">
        <f>IF((AP23=""),"",(AP23-VLOOKUP(AM23,Cheatsheet!$AA$3:$AI$102,9,0)))</f>
        <v/>
      </c>
      <c r="AR23" s="146"/>
      <c r="AS23" s="33" t="str">
        <f>IF((AR23=""),"",VLOOKUP(AR23,WR!$X:$Y,2,0))</f>
        <v/>
      </c>
      <c r="AT23" s="33" t="str">
        <f>IF((AS23=""),"",VLOOKUP(AS23,WR!$B:$C,2,0))</f>
        <v/>
      </c>
      <c r="AU23" s="33" t="str">
        <f>IF((AT23=""),"",VLOOKUP(AT23,Settings!$M$2:$N$33,2,0))</f>
        <v/>
      </c>
      <c r="AV23" s="35"/>
      <c r="AW23" s="84" t="str">
        <f>IF((AV23=""),"",(AV23-VLOOKUP(AS23,Cheatsheet!$AA$3:$AI$102,9,0)))</f>
        <v/>
      </c>
      <c r="AX23" s="146"/>
      <c r="AY23" s="33" t="str">
        <f>IF((AX23=""),"",VLOOKUP(AX23,WR!$X:$Y,2,0))</f>
        <v/>
      </c>
      <c r="AZ23" s="33" t="str">
        <f>IF((AY23=""),"",VLOOKUP(AY23,WR!$B:$C,2,0))</f>
        <v/>
      </c>
      <c r="BA23" s="33" t="str">
        <f>IF((AZ23=""),"",VLOOKUP(AZ23,Settings!$M$2:$N$33,2,0))</f>
        <v/>
      </c>
      <c r="BB23" s="35"/>
      <c r="BC23" s="84" t="str">
        <f>IF((BB23=""),"",(BB23-VLOOKUP(AY23,Cheatsheet!$AA$3:$AI$102,9,0)))</f>
        <v/>
      </c>
      <c r="BD23" s="146"/>
      <c r="BE23" s="33" t="str">
        <f>IF((BD23=""),"",VLOOKUP(BD23,WR!$X:$Y,2,0))</f>
        <v/>
      </c>
      <c r="BF23" s="33" t="str">
        <f>IF((BE23=""),"",VLOOKUP(BE23,WR!$B:$C,2,0))</f>
        <v/>
      </c>
      <c r="BG23" s="33" t="str">
        <f>IF((BF23=""),"",VLOOKUP(BF23,Settings!$M$2:$N$33,2,0))</f>
        <v/>
      </c>
      <c r="BH23" s="35"/>
      <c r="BI23" s="84" t="str">
        <f>IF((BH23=""),"",(BH23-VLOOKUP(BE23,Cheatsheet!$AA$3:$AI$102,9,0)))</f>
        <v/>
      </c>
      <c r="BJ23" s="146"/>
      <c r="BK23" s="33" t="str">
        <f>IF((BJ23=""),"",VLOOKUP(BJ23,WR!$X:$Y,2,0))</f>
        <v/>
      </c>
      <c r="BL23" s="33" t="str">
        <f>IF((BK23=""),"",VLOOKUP(BK23,WR!$B:$C,2,0))</f>
        <v/>
      </c>
      <c r="BM23" s="33" t="str">
        <f>IF((BL23=""),"",VLOOKUP(BL23,Settings!$M$2:$N$33,2,0))</f>
        <v/>
      </c>
      <c r="BN23" s="35"/>
      <c r="BO23" s="84" t="str">
        <f>IF((BN23=""),"",(BN23-VLOOKUP(BK23,Cheatsheet!$AA$3:$AI$102,9,0)))</f>
        <v/>
      </c>
    </row>
    <row r="24" spans="1:67" ht="12.75" customHeight="1">
      <c r="A24" s="47">
        <v>7</v>
      </c>
      <c r="B24" s="146"/>
      <c r="C24" s="33" t="str">
        <f>IF((B24=""),"",VLOOKUP(B24,WR!$X:$Y,2,0))</f>
        <v/>
      </c>
      <c r="D24" s="33" t="str">
        <f>IF((C24=""),"",VLOOKUP(C24,WR!$B:$C,2,0))</f>
        <v/>
      </c>
      <c r="E24" s="33" t="str">
        <f>IF((D24=""),"",VLOOKUP(D24,Settings!$M$2:$N$33,2,0))</f>
        <v/>
      </c>
      <c r="F24" s="35"/>
      <c r="G24" s="84" t="str">
        <f>IF((F24=""),"",(F24-VLOOKUP(C24,Cheatsheet!$AA$3:$AI$102,9,0)))</f>
        <v/>
      </c>
      <c r="H24" s="146"/>
      <c r="I24" s="33" t="str">
        <f>IF((H24=""),"",VLOOKUP(H24,WR!$X:$Y,2,0))</f>
        <v/>
      </c>
      <c r="J24" s="33" t="str">
        <f>IF((I24=""),"",VLOOKUP(I24,WR!$B:$C,2,0))</f>
        <v/>
      </c>
      <c r="K24" s="33" t="str">
        <f>IF((J24=""),"",VLOOKUP(J24,Settings!$M$2:$N$33,2,0))</f>
        <v/>
      </c>
      <c r="L24" s="35"/>
      <c r="M24" s="84" t="str">
        <f>IF((L24=""),"",(L24-VLOOKUP(I24,Cheatsheet!$AA$3:$AI$102,9,0)))</f>
        <v/>
      </c>
      <c r="N24" s="146"/>
      <c r="O24" s="33" t="str">
        <f>IF((N24=""),"",VLOOKUP(N24,WR!$X:$Y,2,0))</f>
        <v/>
      </c>
      <c r="P24" s="33" t="str">
        <f>IF((O24=""),"",VLOOKUP(O24,WR!$B:$C,2,0))</f>
        <v/>
      </c>
      <c r="Q24" s="33" t="str">
        <f>IF((P24=""),"",VLOOKUP(P24,Settings!$M$2:$N$33,2,0))</f>
        <v/>
      </c>
      <c r="R24" s="35"/>
      <c r="S24" s="84" t="str">
        <f>IF((R24=""),"",(R24-VLOOKUP(O24,Cheatsheet!$AA$3:$AI$102,9,0)))</f>
        <v/>
      </c>
      <c r="T24" s="146"/>
      <c r="U24" s="33" t="str">
        <f>IF((T24=""),"",VLOOKUP(T24,WR!$X:$Y,2,0))</f>
        <v/>
      </c>
      <c r="V24" s="33" t="str">
        <f>IF((U24=""),"",VLOOKUP(U24,WR!$B:$C,2,0))</f>
        <v/>
      </c>
      <c r="W24" s="33" t="str">
        <f>IF((V24=""),"",VLOOKUP(V24,Settings!$M$2:$N$33,2,0))</f>
        <v/>
      </c>
      <c r="X24" s="35"/>
      <c r="Y24" s="84" t="str">
        <f>IF((X24=""),"",(X24-VLOOKUP(U24,Cheatsheet!$AA$3:$AI$102,9,0)))</f>
        <v/>
      </c>
      <c r="Z24" s="146"/>
      <c r="AA24" s="33" t="str">
        <f>IF((Z24=""),"",VLOOKUP(Z24,WR!$X:$Y,2,0))</f>
        <v/>
      </c>
      <c r="AB24" s="33" t="str">
        <f>IF((AA24=""),"",VLOOKUP(AA24,WR!$B:$C,2,0))</f>
        <v/>
      </c>
      <c r="AC24" s="33" t="str">
        <f>IF((AB24=""),"",VLOOKUP(AB24,Settings!$M$2:$N$33,2,0))</f>
        <v/>
      </c>
      <c r="AD24" s="35"/>
      <c r="AE24" s="84" t="str">
        <f>IF((AD24=""),"",(AD24-VLOOKUP(AA24,Cheatsheet!$AA$3:$AI$102,9,0)))</f>
        <v/>
      </c>
      <c r="AF24" s="146"/>
      <c r="AG24" s="33" t="str">
        <f>IF((AF24=""),"",VLOOKUP(AF24,WR!$X:$Y,2,0))</f>
        <v/>
      </c>
      <c r="AH24" s="33" t="str">
        <f>IF((AG24=""),"",VLOOKUP(AG24,WR!$B:$C,2,0))</f>
        <v/>
      </c>
      <c r="AI24" s="33" t="str">
        <f>IF((AH24=""),"",VLOOKUP(AH24,Settings!$M$2:$N$33,2,0))</f>
        <v/>
      </c>
      <c r="AJ24" s="35"/>
      <c r="AK24" s="84" t="str">
        <f>IF((AJ24=""),"",(AJ24-VLOOKUP(AG24,Cheatsheet!$AA$3:$AI$102,9,0)))</f>
        <v/>
      </c>
      <c r="AL24" s="146"/>
      <c r="AM24" s="33" t="str">
        <f>IF((AL24=""),"",VLOOKUP(AL24,WR!$X:$Y,2,0))</f>
        <v/>
      </c>
      <c r="AN24" s="33" t="str">
        <f>IF((AM24=""),"",VLOOKUP(AM24,WR!$B:$C,2,0))</f>
        <v/>
      </c>
      <c r="AO24" s="33" t="str">
        <f>IF((AN24=""),"",VLOOKUP(AN24,Settings!$M$2:$N$33,2,0))</f>
        <v/>
      </c>
      <c r="AP24" s="35"/>
      <c r="AQ24" s="84" t="str">
        <f>IF((AP24=""),"",(AP24-VLOOKUP(AM24,Cheatsheet!$AA$3:$AI$102,9,0)))</f>
        <v/>
      </c>
      <c r="AR24" s="146"/>
      <c r="AS24" s="33" t="str">
        <f>IF((AR24=""),"",VLOOKUP(AR24,WR!$X:$Y,2,0))</f>
        <v/>
      </c>
      <c r="AT24" s="33" t="str">
        <f>IF((AS24=""),"",VLOOKUP(AS24,WR!$B:$C,2,0))</f>
        <v/>
      </c>
      <c r="AU24" s="33" t="str">
        <f>IF((AT24=""),"",VLOOKUP(AT24,Settings!$M$2:$N$33,2,0))</f>
        <v/>
      </c>
      <c r="AV24" s="35"/>
      <c r="AW24" s="84" t="str">
        <f>IF((AV24=""),"",(AV24-VLOOKUP(AS24,Cheatsheet!$AA$3:$AI$102,9,0)))</f>
        <v/>
      </c>
      <c r="AX24" s="146"/>
      <c r="AY24" s="33" t="str">
        <f>IF((AX24=""),"",VLOOKUP(AX24,WR!$X:$Y,2,0))</f>
        <v/>
      </c>
      <c r="AZ24" s="33" t="str">
        <f>IF((AY24=""),"",VLOOKUP(AY24,WR!$B:$C,2,0))</f>
        <v/>
      </c>
      <c r="BA24" s="33" t="str">
        <f>IF((AZ24=""),"",VLOOKUP(AZ24,Settings!$M$2:$N$33,2,0))</f>
        <v/>
      </c>
      <c r="BB24" s="35"/>
      <c r="BC24" s="84" t="str">
        <f>IF((BB24=""),"",(BB24-VLOOKUP(AY24,Cheatsheet!$AA$3:$AI$102,9,0)))</f>
        <v/>
      </c>
      <c r="BD24" s="146"/>
      <c r="BE24" s="33" t="str">
        <f>IF((BD24=""),"",VLOOKUP(BD24,WR!$X:$Y,2,0))</f>
        <v/>
      </c>
      <c r="BF24" s="33" t="str">
        <f>IF((BE24=""),"",VLOOKUP(BE24,WR!$B:$C,2,0))</f>
        <v/>
      </c>
      <c r="BG24" s="33" t="str">
        <f>IF((BF24=""),"",VLOOKUP(BF24,Settings!$M$2:$N$33,2,0))</f>
        <v/>
      </c>
      <c r="BH24" s="35"/>
      <c r="BI24" s="84" t="str">
        <f>IF((BH24=""),"",(BH24-VLOOKUP(BE24,Cheatsheet!$AA$3:$AI$102,9,0)))</f>
        <v/>
      </c>
      <c r="BJ24" s="146"/>
      <c r="BK24" s="33" t="str">
        <f>IF((BJ24=""),"",VLOOKUP(BJ24,WR!$X:$Y,2,0))</f>
        <v/>
      </c>
      <c r="BL24" s="33" t="str">
        <f>IF((BK24=""),"",VLOOKUP(BK24,WR!$B:$C,2,0))</f>
        <v/>
      </c>
      <c r="BM24" s="33" t="str">
        <f>IF((BL24=""),"",VLOOKUP(BL24,Settings!$M$2:$N$33,2,0))</f>
        <v/>
      </c>
      <c r="BN24" s="35"/>
      <c r="BO24" s="84" t="str">
        <f>IF((BN24=""),"",(BN24-VLOOKUP(BK24,Cheatsheet!$AA$3:$AI$102,9,0)))</f>
        <v/>
      </c>
    </row>
    <row r="25" spans="1:67" ht="12.75" customHeight="1">
      <c r="A25" s="47">
        <v>8</v>
      </c>
      <c r="B25" s="146"/>
      <c r="C25" s="33" t="str">
        <f>IF((B25=""),"",VLOOKUP(B25,WR!$X:$Y,2,0))</f>
        <v/>
      </c>
      <c r="D25" s="33" t="str">
        <f>IF((C25=""),"",VLOOKUP(C25,WR!$B:$C,2,0))</f>
        <v/>
      </c>
      <c r="E25" s="33" t="str">
        <f>IF((D25=""),"",VLOOKUP(D25,Settings!$M$2:$N$33,2,0))</f>
        <v/>
      </c>
      <c r="F25" s="35"/>
      <c r="G25" s="84" t="str">
        <f>IF((F25=""),"",(F25-VLOOKUP(C25,Cheatsheet!$AA$3:$AI$102,9,0)))</f>
        <v/>
      </c>
      <c r="H25" s="146"/>
      <c r="I25" s="33" t="str">
        <f>IF((H25=""),"",VLOOKUP(H25,WR!$X:$Y,2,0))</f>
        <v/>
      </c>
      <c r="J25" s="33" t="str">
        <f>IF((I25=""),"",VLOOKUP(I25,WR!$B:$C,2,0))</f>
        <v/>
      </c>
      <c r="K25" s="33" t="str">
        <f>IF((J25=""),"",VLOOKUP(J25,Settings!$M$2:$N$33,2,0))</f>
        <v/>
      </c>
      <c r="L25" s="35"/>
      <c r="M25" s="84" t="str">
        <f>IF((L25=""),"",(L25-VLOOKUP(I25,Cheatsheet!$AA$3:$AI$102,9,0)))</f>
        <v/>
      </c>
      <c r="N25" s="146"/>
      <c r="O25" s="33" t="str">
        <f>IF((N25=""),"",VLOOKUP(N25,WR!$X:$Y,2,0))</f>
        <v/>
      </c>
      <c r="P25" s="33" t="str">
        <f>IF((O25=""),"",VLOOKUP(O25,WR!$B:$C,2,0))</f>
        <v/>
      </c>
      <c r="Q25" s="33" t="str">
        <f>IF((P25=""),"",VLOOKUP(P25,Settings!$M$2:$N$33,2,0))</f>
        <v/>
      </c>
      <c r="R25" s="35"/>
      <c r="S25" s="84" t="str">
        <f>IF((R25=""),"",(R25-VLOOKUP(O25,Cheatsheet!$AA$3:$AI$102,9,0)))</f>
        <v/>
      </c>
      <c r="T25" s="146"/>
      <c r="U25" s="33" t="str">
        <f>IF((T25=""),"",VLOOKUP(T25,WR!$X:$Y,2,0))</f>
        <v/>
      </c>
      <c r="V25" s="33" t="str">
        <f>IF((U25=""),"",VLOOKUP(U25,WR!$B:$C,2,0))</f>
        <v/>
      </c>
      <c r="W25" s="33" t="str">
        <f>IF((V25=""),"",VLOOKUP(V25,Settings!$M$2:$N$33,2,0))</f>
        <v/>
      </c>
      <c r="X25" s="35"/>
      <c r="Y25" s="84" t="str">
        <f>IF((X25=""),"",(X25-VLOOKUP(U25,Cheatsheet!$AA$3:$AI$102,9,0)))</f>
        <v/>
      </c>
      <c r="Z25" s="146"/>
      <c r="AA25" s="33" t="str">
        <f>IF((Z25=""),"",VLOOKUP(Z25,WR!$X:$Y,2,0))</f>
        <v/>
      </c>
      <c r="AB25" s="33" t="str">
        <f>IF((AA25=""),"",VLOOKUP(AA25,WR!$B:$C,2,0))</f>
        <v/>
      </c>
      <c r="AC25" s="33" t="str">
        <f>IF((AB25=""),"",VLOOKUP(AB25,Settings!$M$2:$N$33,2,0))</f>
        <v/>
      </c>
      <c r="AD25" s="35"/>
      <c r="AE25" s="84" t="str">
        <f>IF((AD25=""),"",(AD25-VLOOKUP(AA25,Cheatsheet!$AA$3:$AI$102,9,0)))</f>
        <v/>
      </c>
      <c r="AF25" s="146"/>
      <c r="AG25" s="33" t="str">
        <f>IF((AF25=""),"",VLOOKUP(AF25,WR!$X:$Y,2,0))</f>
        <v/>
      </c>
      <c r="AH25" s="33" t="str">
        <f>IF((AG25=""),"",VLOOKUP(AG25,WR!$B:$C,2,0))</f>
        <v/>
      </c>
      <c r="AI25" s="33" t="str">
        <f>IF((AH25=""),"",VLOOKUP(AH25,Settings!$M$2:$N$33,2,0))</f>
        <v/>
      </c>
      <c r="AJ25" s="35"/>
      <c r="AK25" s="84" t="str">
        <f>IF((AJ25=""),"",(AJ25-VLOOKUP(AG25,Cheatsheet!$AA$3:$AI$102,9,0)))</f>
        <v/>
      </c>
      <c r="AL25" s="146"/>
      <c r="AM25" s="33" t="str">
        <f>IF((AL25=""),"",VLOOKUP(AL25,WR!$X:$Y,2,0))</f>
        <v/>
      </c>
      <c r="AN25" s="33" t="str">
        <f>IF((AM25=""),"",VLOOKUP(AM25,WR!$B:$C,2,0))</f>
        <v/>
      </c>
      <c r="AO25" s="33" t="str">
        <f>IF((AN25=""),"",VLOOKUP(AN25,Settings!$M$2:$N$33,2,0))</f>
        <v/>
      </c>
      <c r="AP25" s="35"/>
      <c r="AQ25" s="84" t="str">
        <f>IF((AP25=""),"",(AP25-VLOOKUP(AM25,Cheatsheet!$AA$3:$AI$102,9,0)))</f>
        <v/>
      </c>
      <c r="AR25" s="146"/>
      <c r="AS25" s="33" t="str">
        <f>IF((AR25=""),"",VLOOKUP(AR25,WR!$X:$Y,2,0))</f>
        <v/>
      </c>
      <c r="AT25" s="33" t="str">
        <f>IF((AS25=""),"",VLOOKUP(AS25,WR!$B:$C,2,0))</f>
        <v/>
      </c>
      <c r="AU25" s="33" t="str">
        <f>IF((AT25=""),"",VLOOKUP(AT25,Settings!$M$2:$N$33,2,0))</f>
        <v/>
      </c>
      <c r="AV25" s="35"/>
      <c r="AW25" s="84" t="str">
        <f>IF((AV25=""),"",(AV25-VLOOKUP(AS25,Cheatsheet!$AA$3:$AI$102,9,0)))</f>
        <v/>
      </c>
      <c r="AX25" s="146"/>
      <c r="AY25" s="33" t="str">
        <f>IF((AX25=""),"",VLOOKUP(AX25,WR!$X:$Y,2,0))</f>
        <v/>
      </c>
      <c r="AZ25" s="33" t="str">
        <f>IF((AY25=""),"",VLOOKUP(AY25,WR!$B:$C,2,0))</f>
        <v/>
      </c>
      <c r="BA25" s="33" t="str">
        <f>IF((AZ25=""),"",VLOOKUP(AZ25,Settings!$M$2:$N$33,2,0))</f>
        <v/>
      </c>
      <c r="BB25" s="35"/>
      <c r="BC25" s="84" t="str">
        <f>IF((BB25=""),"",(BB25-VLOOKUP(AY25,Cheatsheet!$AA$3:$AI$102,9,0)))</f>
        <v/>
      </c>
      <c r="BD25" s="146"/>
      <c r="BE25" s="33" t="str">
        <f>IF((BD25=""),"",VLOOKUP(BD25,WR!$X:$Y,2,0))</f>
        <v/>
      </c>
      <c r="BF25" s="33" t="str">
        <f>IF((BE25=""),"",VLOOKUP(BE25,WR!$B:$C,2,0))</f>
        <v/>
      </c>
      <c r="BG25" s="33" t="str">
        <f>IF((BF25=""),"",VLOOKUP(BF25,Settings!$M$2:$N$33,2,0))</f>
        <v/>
      </c>
      <c r="BH25" s="35"/>
      <c r="BI25" s="84" t="str">
        <f>IF((BH25=""),"",(BH25-VLOOKUP(BE25,Cheatsheet!$AA$3:$AI$102,9,0)))</f>
        <v/>
      </c>
      <c r="BJ25" s="146"/>
      <c r="BK25" s="33" t="str">
        <f>IF((BJ25=""),"",VLOOKUP(BJ25,WR!$X:$Y,2,0))</f>
        <v/>
      </c>
      <c r="BL25" s="33" t="str">
        <f>IF((BK25=""),"",VLOOKUP(BK25,WR!$B:$C,2,0))</f>
        <v/>
      </c>
      <c r="BM25" s="33" t="str">
        <f>IF((BL25=""),"",VLOOKUP(BL25,Settings!$M$2:$N$33,2,0))</f>
        <v/>
      </c>
      <c r="BN25" s="35"/>
      <c r="BO25" s="84" t="str">
        <f>IF((BN25=""),"",(BN25-VLOOKUP(BK25,Cheatsheet!$AA$3:$AI$102,9,0)))</f>
        <v/>
      </c>
    </row>
    <row r="26" spans="1:67" ht="12.75" customHeight="1">
      <c r="A26" s="42" t="s">
        <v>16</v>
      </c>
      <c r="B26" s="92"/>
      <c r="C26" s="132"/>
      <c r="D26" s="132"/>
      <c r="E26" s="132"/>
      <c r="F26" s="143"/>
      <c r="G26" s="94"/>
      <c r="H26" s="92"/>
      <c r="I26" s="132"/>
      <c r="J26" s="132"/>
      <c r="K26" s="132"/>
      <c r="L26" s="143"/>
      <c r="M26" s="94"/>
      <c r="N26" s="92"/>
      <c r="O26" s="132"/>
      <c r="P26" s="132"/>
      <c r="Q26" s="132"/>
      <c r="R26" s="143"/>
      <c r="S26" s="94"/>
      <c r="T26" s="92"/>
      <c r="U26" s="132"/>
      <c r="V26" s="132"/>
      <c r="W26" s="132"/>
      <c r="X26" s="143"/>
      <c r="Y26" s="94"/>
      <c r="Z26" s="92"/>
      <c r="AA26" s="132"/>
      <c r="AB26" s="132"/>
      <c r="AC26" s="132"/>
      <c r="AD26" s="143"/>
      <c r="AE26" s="94"/>
      <c r="AF26" s="92"/>
      <c r="AG26" s="132"/>
      <c r="AH26" s="132"/>
      <c r="AI26" s="132"/>
      <c r="AJ26" s="143"/>
      <c r="AK26" s="94"/>
      <c r="AL26" s="92"/>
      <c r="AM26" s="132"/>
      <c r="AN26" s="132"/>
      <c r="AO26" s="132"/>
      <c r="AP26" s="143"/>
      <c r="AQ26" s="94"/>
      <c r="AR26" s="92"/>
      <c r="AS26" s="132"/>
      <c r="AT26" s="132"/>
      <c r="AU26" s="132"/>
      <c r="AV26" s="143"/>
      <c r="AW26" s="94"/>
      <c r="AX26" s="92"/>
      <c r="AY26" s="132"/>
      <c r="AZ26" s="132"/>
      <c r="BA26" s="132"/>
      <c r="BB26" s="143"/>
      <c r="BC26" s="94"/>
      <c r="BD26" s="92"/>
      <c r="BE26" s="132"/>
      <c r="BF26" s="132"/>
      <c r="BG26" s="132"/>
      <c r="BH26" s="143"/>
      <c r="BI26" s="94"/>
      <c r="BJ26" s="92"/>
      <c r="BK26" s="132"/>
      <c r="BL26" s="132"/>
      <c r="BM26" s="132"/>
      <c r="BN26" s="143"/>
      <c r="BO26" s="94"/>
    </row>
    <row r="27" spans="1:67" ht="12.75" customHeight="1">
      <c r="A27" s="47">
        <v>1</v>
      </c>
      <c r="B27" s="146"/>
      <c r="C27" s="33" t="str">
        <f>IF((B27=""),"",VLOOKUP(B27,TE!$T:$U,2,0))</f>
        <v/>
      </c>
      <c r="D27" s="33" t="str">
        <f>IF((C27=""),"",VLOOKUP(C27,TE!$B:$C,2,0))</f>
        <v/>
      </c>
      <c r="E27" s="33" t="str">
        <f>IF((D27=""),"",VLOOKUP(D27,Settings!$M$2:$N$33,2,0))</f>
        <v/>
      </c>
      <c r="F27" s="35"/>
      <c r="G27" s="48" t="str">
        <f>IF((F27=""),"",(F27-VLOOKUP(C27,Cheatsheet!$C$57:$K$86,9,0)))</f>
        <v/>
      </c>
      <c r="H27" s="146"/>
      <c r="I27" s="33" t="str">
        <f>IF((H27=""),"",VLOOKUP(H27,TE!$T:$U,2,0))</f>
        <v/>
      </c>
      <c r="J27" s="33" t="str">
        <f>IF((I27=""),"",VLOOKUP(I27,TE!$B:$C,2,0))</f>
        <v/>
      </c>
      <c r="K27" s="33" t="str">
        <f>IF((J27=""),"",VLOOKUP(J27,Settings!$M$2:$N$33,2,0))</f>
        <v/>
      </c>
      <c r="L27" s="35"/>
      <c r="M27" s="48" t="str">
        <f>IF((L27=""),"",(L27-VLOOKUP(I27,Cheatsheet!$C$57:$K$86,9,0)))</f>
        <v/>
      </c>
      <c r="N27" s="146"/>
      <c r="O27" s="33" t="str">
        <f>IF((N27=""),"",VLOOKUP(N27,TE!$T:$U,2,0))</f>
        <v/>
      </c>
      <c r="P27" s="33" t="str">
        <f>IF((O27=""),"",VLOOKUP(O27,TE!$B:$C,2,0))</f>
        <v/>
      </c>
      <c r="Q27" s="33" t="str">
        <f>IF((P27=""),"",VLOOKUP(P27,Settings!$M$2:$N$33,2,0))</f>
        <v/>
      </c>
      <c r="R27" s="35"/>
      <c r="S27" s="48" t="str">
        <f>IF((R27=""),"",(R27-VLOOKUP(O27,Cheatsheet!$C$57:$K$86,9,0)))</f>
        <v/>
      </c>
      <c r="T27" s="146"/>
      <c r="U27" s="33" t="str">
        <f>IF((T27=""),"",VLOOKUP(T27,TE!$T:$U,2,0))</f>
        <v/>
      </c>
      <c r="V27" s="33" t="str">
        <f>IF((U27=""),"",VLOOKUP(U27,TE!$B:$C,2,0))</f>
        <v/>
      </c>
      <c r="W27" s="33" t="str">
        <f>IF((V27=""),"",VLOOKUP(V27,Settings!$M$2:$N$33,2,0))</f>
        <v/>
      </c>
      <c r="X27" s="35"/>
      <c r="Y27" s="48" t="str">
        <f>IF((X27=""),"",(X27-VLOOKUP(U27,Cheatsheet!$C$57:$K$86,9,0)))</f>
        <v/>
      </c>
      <c r="Z27" s="146"/>
      <c r="AA27" s="33" t="str">
        <f>IF((Z27=""),"",VLOOKUP(Z27,TE!$T:$U,2,0))</f>
        <v/>
      </c>
      <c r="AB27" s="33" t="str">
        <f>IF((AA27=""),"",VLOOKUP(AA27,TE!$B:$C,2,0))</f>
        <v/>
      </c>
      <c r="AC27" s="33" t="str">
        <f>IF((AB27=""),"",VLOOKUP(AB27,Settings!$M$2:$N$33,2,0))</f>
        <v/>
      </c>
      <c r="AD27" s="35"/>
      <c r="AE27" s="48" t="str">
        <f>IF((AD27=""),"",(AD27-VLOOKUP(AA27,Cheatsheet!$C$57:$K$86,9,0)))</f>
        <v/>
      </c>
      <c r="AF27" s="146"/>
      <c r="AG27" s="33" t="str">
        <f>IF((AF27=""),"",VLOOKUP(AF27,TE!$T:$U,2,0))</f>
        <v/>
      </c>
      <c r="AH27" s="33" t="str">
        <f>IF((AG27=""),"",VLOOKUP(AG27,TE!$B:$C,2,0))</f>
        <v/>
      </c>
      <c r="AI27" s="33" t="str">
        <f>IF((AH27=""),"",VLOOKUP(AH27,Settings!$M$2:$N$33,2,0))</f>
        <v/>
      </c>
      <c r="AJ27" s="35"/>
      <c r="AK27" s="48" t="str">
        <f>IF((AJ27=""),"",(AJ27-VLOOKUP(AG27,Cheatsheet!$C$57:$K$86,9,0)))</f>
        <v/>
      </c>
      <c r="AL27" s="146"/>
      <c r="AM27" s="33" t="str">
        <f>IF((AL27=""),"",VLOOKUP(AL27,TE!$T:$U,2,0))</f>
        <v/>
      </c>
      <c r="AN27" s="33" t="str">
        <f>IF((AM27=""),"",VLOOKUP(AM27,TE!$B:$C,2,0))</f>
        <v/>
      </c>
      <c r="AO27" s="33" t="str">
        <f>IF((AN27=""),"",VLOOKUP(AN27,Settings!$M$2:$N$33,2,0))</f>
        <v/>
      </c>
      <c r="AP27" s="35"/>
      <c r="AQ27" s="48" t="str">
        <f>IF((AP27=""),"",(AP27-VLOOKUP(AM27,Cheatsheet!$C$57:$K$86,9,0)))</f>
        <v/>
      </c>
      <c r="AR27" s="146"/>
      <c r="AS27" s="33" t="str">
        <f>IF((AR27=""),"",VLOOKUP(AR27,TE!$T:$U,2,0))</f>
        <v/>
      </c>
      <c r="AT27" s="33" t="str">
        <f>IF((AS27=""),"",VLOOKUP(AS27,TE!$B:$C,2,0))</f>
        <v/>
      </c>
      <c r="AU27" s="33" t="str">
        <f>IF((AT27=""),"",VLOOKUP(AT27,Settings!$M$2:$N$33,2,0))</f>
        <v/>
      </c>
      <c r="AV27" s="35"/>
      <c r="AW27" s="48" t="str">
        <f>IF((AV27=""),"",(AV27-VLOOKUP(AS27,Cheatsheet!$C$57:$K$86,9,0)))</f>
        <v/>
      </c>
      <c r="AX27" s="146"/>
      <c r="AY27" s="33" t="str">
        <f>IF((AX27=""),"",VLOOKUP(AX27,TE!$T:$U,2,0))</f>
        <v/>
      </c>
      <c r="AZ27" s="33" t="str">
        <f>IF((AY27=""),"",VLOOKUP(AY27,TE!$B:$C,2,0))</f>
        <v/>
      </c>
      <c r="BA27" s="33" t="str">
        <f>IF((AZ27=""),"",VLOOKUP(AZ27,Settings!$M$2:$N$33,2,0))</f>
        <v/>
      </c>
      <c r="BB27" s="35"/>
      <c r="BC27" s="48" t="str">
        <f>IF((BB27=""),"",(BB27-VLOOKUP(AY27,Cheatsheet!$C$57:$K$86,9,0)))</f>
        <v/>
      </c>
      <c r="BD27" s="146"/>
      <c r="BE27" s="33" t="str">
        <f>IF((BD27=""),"",VLOOKUP(BD27,TE!$T:$U,2,0))</f>
        <v/>
      </c>
      <c r="BF27" s="33" t="str">
        <f>IF((BE27=""),"",VLOOKUP(BE27,TE!$B:$C,2,0))</f>
        <v/>
      </c>
      <c r="BG27" s="33" t="str">
        <f>IF((BF27=""),"",VLOOKUP(BF27,Settings!$M$2:$N$33,2,0))</f>
        <v/>
      </c>
      <c r="BH27" s="35"/>
      <c r="BI27" s="48" t="str">
        <f>IF((BH27=""),"",(BH27-VLOOKUP(BE27,Cheatsheet!$C$57:$K$86,9,0)))</f>
        <v/>
      </c>
      <c r="BJ27" s="146"/>
      <c r="BK27" s="33" t="str">
        <f>IF((BJ27=""),"",VLOOKUP(BJ27,TE!$T:$U,2,0))</f>
        <v/>
      </c>
      <c r="BL27" s="33" t="str">
        <f>IF((BK27=""),"",VLOOKUP(BK27,TE!$B:$C,2,0))</f>
        <v/>
      </c>
      <c r="BM27" s="33" t="str">
        <f>IF((BL27=""),"",VLOOKUP(BL27,Settings!$M$2:$N$33,2,0))</f>
        <v/>
      </c>
      <c r="BN27" s="35"/>
      <c r="BO27" s="48" t="str">
        <f>IF((BN27=""),"",(BN27-VLOOKUP(BK27,Cheatsheet!$C$57:$K$86,9,0)))</f>
        <v/>
      </c>
    </row>
    <row r="28" spans="1:67" ht="12.75" customHeight="1">
      <c r="A28" s="47">
        <v>2</v>
      </c>
      <c r="B28" s="146"/>
      <c r="C28" s="33" t="str">
        <f>IF((B28=""),"",VLOOKUP(B28,TE!$T:$U,2,0))</f>
        <v/>
      </c>
      <c r="D28" s="33" t="str">
        <f>IF((C28=""),"",VLOOKUP(C28,TE!$B:$C,2,0))</f>
        <v/>
      </c>
      <c r="E28" s="33" t="str">
        <f>IF((D28=""),"",VLOOKUP(D28,Settings!$M$2:$N$33,2,0))</f>
        <v/>
      </c>
      <c r="F28" s="35"/>
      <c r="G28" s="48" t="str">
        <f>IF((F28=""),"",(F28-VLOOKUP(C28,Cheatsheet!$C$57:$K$86,9,0)))</f>
        <v/>
      </c>
      <c r="H28" s="146"/>
      <c r="I28" s="33" t="str">
        <f>IF((H28=""),"",VLOOKUP(H28,TE!$T:$U,2,0))</f>
        <v/>
      </c>
      <c r="J28" s="33" t="str">
        <f>IF((I28=""),"",VLOOKUP(I28,TE!$B:$C,2,0))</f>
        <v/>
      </c>
      <c r="K28" s="33" t="str">
        <f>IF((J28=""),"",VLOOKUP(J28,Settings!$M$2:$N$33,2,0))</f>
        <v/>
      </c>
      <c r="L28" s="35"/>
      <c r="M28" s="48" t="str">
        <f>IF((L28=""),"",(L28-VLOOKUP(I28,Cheatsheet!$C$57:$K$86,9,0)))</f>
        <v/>
      </c>
      <c r="N28" s="146"/>
      <c r="O28" s="33" t="str">
        <f>IF((N28=""),"",VLOOKUP(N28,TE!$T:$U,2,0))</f>
        <v/>
      </c>
      <c r="P28" s="33" t="str">
        <f>IF((O28=""),"",VLOOKUP(O28,TE!$B:$C,2,0))</f>
        <v/>
      </c>
      <c r="Q28" s="33" t="str">
        <f>IF((P28=""),"",VLOOKUP(P28,Settings!$M$2:$N$33,2,0))</f>
        <v/>
      </c>
      <c r="R28" s="35"/>
      <c r="S28" s="48" t="str">
        <f>IF((R28=""),"",(R28-VLOOKUP(O28,Cheatsheet!$C$57:$K$86,9,0)))</f>
        <v/>
      </c>
      <c r="T28" s="146"/>
      <c r="U28" s="33" t="str">
        <f>IF((T28=""),"",VLOOKUP(T28,TE!$T:$U,2,0))</f>
        <v/>
      </c>
      <c r="V28" s="33" t="str">
        <f>IF((U28=""),"",VLOOKUP(U28,TE!$B:$C,2,0))</f>
        <v/>
      </c>
      <c r="W28" s="33" t="str">
        <f>IF((V28=""),"",VLOOKUP(V28,Settings!$M$2:$N$33,2,0))</f>
        <v/>
      </c>
      <c r="X28" s="35"/>
      <c r="Y28" s="48" t="str">
        <f>IF((X28=""),"",(X28-VLOOKUP(U28,Cheatsheet!$C$57:$K$86,9,0)))</f>
        <v/>
      </c>
      <c r="Z28" s="146"/>
      <c r="AA28" s="33" t="str">
        <f>IF((Z28=""),"",VLOOKUP(Z28,TE!$T:$U,2,0))</f>
        <v/>
      </c>
      <c r="AB28" s="33" t="str">
        <f>IF((AA28=""),"",VLOOKUP(AA28,TE!$B:$C,2,0))</f>
        <v/>
      </c>
      <c r="AC28" s="33" t="str">
        <f>IF((AB28=""),"",VLOOKUP(AB28,Settings!$M$2:$N$33,2,0))</f>
        <v/>
      </c>
      <c r="AD28" s="35"/>
      <c r="AE28" s="48" t="str">
        <f>IF((AD28=""),"",(AD28-VLOOKUP(AA28,Cheatsheet!$C$57:$K$86,9,0)))</f>
        <v/>
      </c>
      <c r="AF28" s="146"/>
      <c r="AG28" s="33" t="str">
        <f>IF((AF28=""),"",VLOOKUP(AF28,TE!$T:$U,2,0))</f>
        <v/>
      </c>
      <c r="AH28" s="33" t="str">
        <f>IF((AG28=""),"",VLOOKUP(AG28,TE!$B:$C,2,0))</f>
        <v/>
      </c>
      <c r="AI28" s="33" t="str">
        <f>IF((AH28=""),"",VLOOKUP(AH28,Settings!$M$2:$N$33,2,0))</f>
        <v/>
      </c>
      <c r="AJ28" s="35"/>
      <c r="AK28" s="48" t="str">
        <f>IF((AJ28=""),"",(AJ28-VLOOKUP(AG28,Cheatsheet!$C$57:$K$86,9,0)))</f>
        <v/>
      </c>
      <c r="AL28" s="146"/>
      <c r="AM28" s="33" t="str">
        <f>IF((AL28=""),"",VLOOKUP(AL28,TE!$T:$U,2,0))</f>
        <v/>
      </c>
      <c r="AN28" s="33" t="str">
        <f>IF((AM28=""),"",VLOOKUP(AM28,TE!$B:$C,2,0))</f>
        <v/>
      </c>
      <c r="AO28" s="33" t="str">
        <f>IF((AN28=""),"",VLOOKUP(AN28,Settings!$M$2:$N$33,2,0))</f>
        <v/>
      </c>
      <c r="AP28" s="35"/>
      <c r="AQ28" s="48" t="str">
        <f>IF((AP28=""),"",(AP28-VLOOKUP(AM28,Cheatsheet!$C$57:$K$86,9,0)))</f>
        <v/>
      </c>
      <c r="AR28" s="146"/>
      <c r="AS28" s="33" t="str">
        <f>IF((AR28=""),"",VLOOKUP(AR28,TE!$T:$U,2,0))</f>
        <v/>
      </c>
      <c r="AT28" s="33" t="str">
        <f>IF((AS28=""),"",VLOOKUP(AS28,TE!$B:$C,2,0))</f>
        <v/>
      </c>
      <c r="AU28" s="33" t="str">
        <f>IF((AT28=""),"",VLOOKUP(AT28,Settings!$M$2:$N$33,2,0))</f>
        <v/>
      </c>
      <c r="AV28" s="35"/>
      <c r="AW28" s="48" t="str">
        <f>IF((AV28=""),"",(AV28-VLOOKUP(AS28,Cheatsheet!$C$57:$K$86,9,0)))</f>
        <v/>
      </c>
      <c r="AX28" s="146"/>
      <c r="AY28" s="33" t="str">
        <f>IF((AX28=""),"",VLOOKUP(AX28,TE!$T:$U,2,0))</f>
        <v/>
      </c>
      <c r="AZ28" s="33" t="str">
        <f>IF((AY28=""),"",VLOOKUP(AY28,TE!$B:$C,2,0))</f>
        <v/>
      </c>
      <c r="BA28" s="33" t="str">
        <f>IF((AZ28=""),"",VLOOKUP(AZ28,Settings!$M$2:$N$33,2,0))</f>
        <v/>
      </c>
      <c r="BB28" s="35"/>
      <c r="BC28" s="48" t="str">
        <f>IF((BB28=""),"",(BB28-VLOOKUP(AY28,Cheatsheet!$C$57:$K$86,9,0)))</f>
        <v/>
      </c>
      <c r="BD28" s="146"/>
      <c r="BE28" s="33" t="str">
        <f>IF((BD28=""),"",VLOOKUP(BD28,TE!$T:$U,2,0))</f>
        <v/>
      </c>
      <c r="BF28" s="33" t="str">
        <f>IF((BE28=""),"",VLOOKUP(BE28,TE!$B:$C,2,0))</f>
        <v/>
      </c>
      <c r="BG28" s="33" t="str">
        <f>IF((BF28=""),"",VLOOKUP(BF28,Settings!$M$2:$N$33,2,0))</f>
        <v/>
      </c>
      <c r="BH28" s="35"/>
      <c r="BI28" s="48" t="str">
        <f>IF((BH28=""),"",(BH28-VLOOKUP(BE28,Cheatsheet!$C$57:$K$86,9,0)))</f>
        <v/>
      </c>
      <c r="BJ28" s="146"/>
      <c r="BK28" s="33" t="str">
        <f>IF((BJ28=""),"",VLOOKUP(BJ28,TE!$T:$U,2,0))</f>
        <v/>
      </c>
      <c r="BL28" s="33" t="str">
        <f>IF((BK28=""),"",VLOOKUP(BK28,TE!$B:$C,2,0))</f>
        <v/>
      </c>
      <c r="BM28" s="33" t="str">
        <f>IF((BL28=""),"",VLOOKUP(BL28,Settings!$M$2:$N$33,2,0))</f>
        <v/>
      </c>
      <c r="BN28" s="35"/>
      <c r="BO28" s="48" t="str">
        <f>IF((BN28=""),"",(BN28-VLOOKUP(BK28,Cheatsheet!$C$57:$K$86,9,0)))</f>
        <v/>
      </c>
    </row>
    <row r="29" spans="1:67" ht="12.75" customHeight="1">
      <c r="A29" s="47">
        <v>3</v>
      </c>
      <c r="B29" s="146"/>
      <c r="C29" s="33" t="str">
        <f>IF((B29=""),"",VLOOKUP(B29,TE!$T:$U,2,0))</f>
        <v/>
      </c>
      <c r="D29" s="33" t="str">
        <f>IF((C29=""),"",VLOOKUP(C29,TE!$B:$C,2,0))</f>
        <v/>
      </c>
      <c r="E29" s="33" t="str">
        <f>IF((D29=""),"",VLOOKUP(D29,Settings!$M$2:$N$33,2,0))</f>
        <v/>
      </c>
      <c r="F29" s="35"/>
      <c r="G29" s="48" t="str">
        <f>IF((F29=""),"",(F29-VLOOKUP(C29,Cheatsheet!$C$57:$K$86,9,0)))</f>
        <v/>
      </c>
      <c r="H29" s="146"/>
      <c r="I29" s="33" t="str">
        <f>IF((H29=""),"",VLOOKUP(H29,TE!$T:$U,2,0))</f>
        <v/>
      </c>
      <c r="J29" s="33" t="str">
        <f>IF((I29=""),"",VLOOKUP(I29,TE!$B:$C,2,0))</f>
        <v/>
      </c>
      <c r="K29" s="33" t="str">
        <f>IF((J29=""),"",VLOOKUP(J29,Settings!$M$2:$N$33,2,0))</f>
        <v/>
      </c>
      <c r="L29" s="35"/>
      <c r="M29" s="48" t="str">
        <f>IF((L29=""),"",(L29-VLOOKUP(I29,Cheatsheet!$C$57:$K$86,9,0)))</f>
        <v/>
      </c>
      <c r="N29" s="146"/>
      <c r="O29" s="33" t="str">
        <f>IF((N29=""),"",VLOOKUP(N29,TE!$T:$U,2,0))</f>
        <v/>
      </c>
      <c r="P29" s="33" t="str">
        <f>IF((O29=""),"",VLOOKUP(O29,TE!$B:$C,2,0))</f>
        <v/>
      </c>
      <c r="Q29" s="33" t="str">
        <f>IF((P29=""),"",VLOOKUP(P29,Settings!$M$2:$N$33,2,0))</f>
        <v/>
      </c>
      <c r="R29" s="35"/>
      <c r="S29" s="48" t="str">
        <f>IF((R29=""),"",(R29-VLOOKUP(O29,Cheatsheet!$C$57:$K$86,9,0)))</f>
        <v/>
      </c>
      <c r="T29" s="146"/>
      <c r="U29" s="33" t="str">
        <f>IF((T29=""),"",VLOOKUP(T29,TE!$T:$U,2,0))</f>
        <v/>
      </c>
      <c r="V29" s="33" t="str">
        <f>IF((U29=""),"",VLOOKUP(U29,TE!$B:$C,2,0))</f>
        <v/>
      </c>
      <c r="W29" s="33" t="str">
        <f>IF((V29=""),"",VLOOKUP(V29,Settings!$M$2:$N$33,2,0))</f>
        <v/>
      </c>
      <c r="X29" s="35"/>
      <c r="Y29" s="48" t="str">
        <f>IF((X29=""),"",(X29-VLOOKUP(U29,Cheatsheet!$C$57:$K$86,9,0)))</f>
        <v/>
      </c>
      <c r="Z29" s="146"/>
      <c r="AA29" s="33" t="str">
        <f>IF((Z29=""),"",VLOOKUP(Z29,TE!$T:$U,2,0))</f>
        <v/>
      </c>
      <c r="AB29" s="33" t="str">
        <f>IF((AA29=""),"",VLOOKUP(AA29,TE!$B:$C,2,0))</f>
        <v/>
      </c>
      <c r="AC29" s="33" t="str">
        <f>IF((AB29=""),"",VLOOKUP(AB29,Settings!$M$2:$N$33,2,0))</f>
        <v/>
      </c>
      <c r="AD29" s="35"/>
      <c r="AE29" s="48" t="str">
        <f>IF((AD29=""),"",(AD29-VLOOKUP(AA29,Cheatsheet!$C$57:$K$86,9,0)))</f>
        <v/>
      </c>
      <c r="AF29" s="146"/>
      <c r="AG29" s="33" t="str">
        <f>IF((AF29=""),"",VLOOKUP(AF29,TE!$T:$U,2,0))</f>
        <v/>
      </c>
      <c r="AH29" s="33" t="str">
        <f>IF((AG29=""),"",VLOOKUP(AG29,TE!$B:$C,2,0))</f>
        <v/>
      </c>
      <c r="AI29" s="33" t="str">
        <f>IF((AH29=""),"",VLOOKUP(AH29,Settings!$M$2:$N$33,2,0))</f>
        <v/>
      </c>
      <c r="AJ29" s="35"/>
      <c r="AK29" s="48" t="str">
        <f>IF((AJ29=""),"",(AJ29-VLOOKUP(AG29,Cheatsheet!$C$57:$K$86,9,0)))</f>
        <v/>
      </c>
      <c r="AL29" s="146"/>
      <c r="AM29" s="33" t="str">
        <f>IF((AL29=""),"",VLOOKUP(AL29,TE!$T:$U,2,0))</f>
        <v/>
      </c>
      <c r="AN29" s="33" t="str">
        <f>IF((AM29=""),"",VLOOKUP(AM29,TE!$B:$C,2,0))</f>
        <v/>
      </c>
      <c r="AO29" s="33" t="str">
        <f>IF((AN29=""),"",VLOOKUP(AN29,Settings!$M$2:$N$33,2,0))</f>
        <v/>
      </c>
      <c r="AP29" s="35"/>
      <c r="AQ29" s="48" t="str">
        <f>IF((AP29=""),"",(AP29-VLOOKUP(AM29,Cheatsheet!$C$57:$K$86,9,0)))</f>
        <v/>
      </c>
      <c r="AR29" s="146"/>
      <c r="AS29" s="33" t="str">
        <f>IF((AR29=""),"",VLOOKUP(AR29,TE!$T:$U,2,0))</f>
        <v/>
      </c>
      <c r="AT29" s="33" t="str">
        <f>IF((AS29=""),"",VLOOKUP(AS29,TE!$B:$C,2,0))</f>
        <v/>
      </c>
      <c r="AU29" s="33" t="str">
        <f>IF((AT29=""),"",VLOOKUP(AT29,Settings!$M$2:$N$33,2,0))</f>
        <v/>
      </c>
      <c r="AV29" s="35"/>
      <c r="AW29" s="48" t="str">
        <f>IF((AV29=""),"",(AV29-VLOOKUP(AS29,Cheatsheet!$C$57:$K$86,9,0)))</f>
        <v/>
      </c>
      <c r="AX29" s="146"/>
      <c r="AY29" s="33" t="str">
        <f>IF((AX29=""),"",VLOOKUP(AX29,TE!$T:$U,2,0))</f>
        <v/>
      </c>
      <c r="AZ29" s="33" t="str">
        <f>IF((AY29=""),"",VLOOKUP(AY29,TE!$B:$C,2,0))</f>
        <v/>
      </c>
      <c r="BA29" s="33" t="str">
        <f>IF((AZ29=""),"",VLOOKUP(AZ29,Settings!$M$2:$N$33,2,0))</f>
        <v/>
      </c>
      <c r="BB29" s="35"/>
      <c r="BC29" s="48" t="str">
        <f>IF((BB29=""),"",(BB29-VLOOKUP(AY29,Cheatsheet!$C$57:$K$86,9,0)))</f>
        <v/>
      </c>
      <c r="BD29" s="146"/>
      <c r="BE29" s="33" t="str">
        <f>IF((BD29=""),"",VLOOKUP(BD29,TE!$T:$U,2,0))</f>
        <v/>
      </c>
      <c r="BF29" s="33" t="str">
        <f>IF((BE29=""),"",VLOOKUP(BE29,TE!$B:$C,2,0))</f>
        <v/>
      </c>
      <c r="BG29" s="33" t="str">
        <f>IF((BF29=""),"",VLOOKUP(BF29,Settings!$M$2:$N$33,2,0))</f>
        <v/>
      </c>
      <c r="BH29" s="35"/>
      <c r="BI29" s="48" t="str">
        <f>IF((BH29=""),"",(BH29-VLOOKUP(BE29,Cheatsheet!$C$57:$K$86,9,0)))</f>
        <v/>
      </c>
      <c r="BJ29" s="146"/>
      <c r="BK29" s="33" t="str">
        <f>IF((BJ29=""),"",VLOOKUP(BJ29,TE!$T:$U,2,0))</f>
        <v/>
      </c>
      <c r="BL29" s="33" t="str">
        <f>IF((BK29=""),"",VLOOKUP(BK29,TE!$B:$C,2,0))</f>
        <v/>
      </c>
      <c r="BM29" s="33" t="str">
        <f>IF((BL29=""),"",VLOOKUP(BL29,Settings!$M$2:$N$33,2,0))</f>
        <v/>
      </c>
      <c r="BN29" s="35"/>
      <c r="BO29" s="48" t="str">
        <f>IF((BN29=""),"",(BN29-VLOOKUP(BK29,Cheatsheet!$C$57:$K$86,9,0)))</f>
        <v/>
      </c>
    </row>
    <row r="30" spans="1:67" ht="12.75" customHeight="1">
      <c r="A30" s="42" t="s">
        <v>4</v>
      </c>
      <c r="B30" s="92"/>
      <c r="C30" s="132"/>
      <c r="D30" s="132"/>
      <c r="E30" s="132"/>
      <c r="F30" s="143"/>
      <c r="G30" s="94"/>
      <c r="H30" s="92"/>
      <c r="I30" s="132"/>
      <c r="J30" s="132"/>
      <c r="K30" s="132"/>
      <c r="L30" s="143"/>
      <c r="M30" s="94"/>
      <c r="N30" s="92"/>
      <c r="O30" s="132"/>
      <c r="P30" s="132"/>
      <c r="Q30" s="132"/>
      <c r="R30" s="143"/>
      <c r="S30" s="94"/>
      <c r="T30" s="92"/>
      <c r="U30" s="132"/>
      <c r="V30" s="132"/>
      <c r="W30" s="132"/>
      <c r="X30" s="143"/>
      <c r="Y30" s="94"/>
      <c r="Z30" s="92"/>
      <c r="AA30" s="132"/>
      <c r="AB30" s="132"/>
      <c r="AC30" s="132"/>
      <c r="AD30" s="143"/>
      <c r="AE30" s="94"/>
      <c r="AF30" s="92"/>
      <c r="AG30" s="132"/>
      <c r="AH30" s="132"/>
      <c r="AI30" s="132"/>
      <c r="AJ30" s="143"/>
      <c r="AK30" s="94"/>
      <c r="AL30" s="92"/>
      <c r="AM30" s="132"/>
      <c r="AN30" s="132"/>
      <c r="AO30" s="132"/>
      <c r="AP30" s="143"/>
      <c r="AQ30" s="94"/>
      <c r="AR30" s="92"/>
      <c r="AS30" s="132"/>
      <c r="AT30" s="132"/>
      <c r="AU30" s="132"/>
      <c r="AV30" s="143"/>
      <c r="AW30" s="94"/>
      <c r="AX30" s="92"/>
      <c r="AY30" s="132"/>
      <c r="AZ30" s="132"/>
      <c r="BA30" s="132"/>
      <c r="BB30" s="143"/>
      <c r="BC30" s="94"/>
      <c r="BD30" s="92"/>
      <c r="BE30" s="132"/>
      <c r="BF30" s="132"/>
      <c r="BG30" s="132"/>
      <c r="BH30" s="143"/>
      <c r="BI30" s="94"/>
      <c r="BJ30" s="92"/>
      <c r="BK30" s="132"/>
      <c r="BL30" s="132"/>
      <c r="BM30" s="132"/>
      <c r="BN30" s="143"/>
      <c r="BO30" s="94"/>
    </row>
    <row r="31" spans="1:67" ht="12.75" customHeight="1">
      <c r="A31" s="47">
        <v>1</v>
      </c>
      <c r="B31" s="146"/>
      <c r="C31" s="33" t="str">
        <f>IF((B31=""),"",VLOOKUP(B31,K!$Q:$R,2,0))</f>
        <v/>
      </c>
      <c r="D31" s="33" t="str">
        <f>IF((C31=""),"",VLOOKUP(C31,K!$B:$C,2,0))</f>
        <v/>
      </c>
      <c r="E31" s="33" t="str">
        <f>IF((D31=""),"",VLOOKUP(D31,Settings!$M$2:$N$33,2,0))</f>
        <v/>
      </c>
      <c r="F31" s="35"/>
      <c r="G31" s="48" t="str">
        <f>IF((F31=""),"",(F31-VLOOKUP(C31,Cheatsheet!$AM$3:$AU$32,9,0)))</f>
        <v/>
      </c>
      <c r="H31" s="146"/>
      <c r="I31" s="33" t="str">
        <f>IF((H31=""),"",VLOOKUP(H31,K!$Q:$R,2,0))</f>
        <v/>
      </c>
      <c r="J31" s="33" t="str">
        <f>IF((I31=""),"",VLOOKUP(I31,K!$B:$C,2,0))</f>
        <v/>
      </c>
      <c r="K31" s="33" t="str">
        <f>IF((J31=""),"",VLOOKUP(J31,Settings!$M$2:$N$33,2,0))</f>
        <v/>
      </c>
      <c r="L31" s="35"/>
      <c r="M31" s="48" t="str">
        <f>IF((L31=""),"",(L31-VLOOKUP(I31,Cheatsheet!$AM$3:$AU$32,9,0)))</f>
        <v/>
      </c>
      <c r="N31" s="146"/>
      <c r="O31" s="33" t="str">
        <f>IF((N31=""),"",VLOOKUP(N31,K!$Q:$R,2,0))</f>
        <v/>
      </c>
      <c r="P31" s="33" t="str">
        <f>IF((O31=""),"",VLOOKUP(O31,K!$B:$C,2,0))</f>
        <v/>
      </c>
      <c r="Q31" s="33" t="str">
        <f>IF((P31=""),"",VLOOKUP(P31,Settings!$M$2:$N$33,2,0))</f>
        <v/>
      </c>
      <c r="R31" s="35"/>
      <c r="S31" s="48" t="str">
        <f>IF((R31=""),"",(R31-VLOOKUP(O31,Cheatsheet!$AM$3:$AU$32,9,0)))</f>
        <v/>
      </c>
      <c r="T31" s="146"/>
      <c r="U31" s="33" t="str">
        <f>IF((T31=""),"",VLOOKUP(T31,K!$Q:$R,2,0))</f>
        <v/>
      </c>
      <c r="V31" s="33" t="str">
        <f>IF((U31=""),"",VLOOKUP(U31,K!$B:$C,2,0))</f>
        <v/>
      </c>
      <c r="W31" s="33" t="str">
        <f>IF((V31=""),"",VLOOKUP(V31,Settings!$M$2:$N$33,2,0))</f>
        <v/>
      </c>
      <c r="X31" s="35"/>
      <c r="Y31" s="48" t="str">
        <f>IF((X31=""),"",(X31-VLOOKUP(U31,Cheatsheet!$AM$3:$AU$32,9,0)))</f>
        <v/>
      </c>
      <c r="Z31" s="146"/>
      <c r="AA31" s="33" t="str">
        <f>IF((Z31=""),"",VLOOKUP(Z31,K!$Q:$R,2,0))</f>
        <v/>
      </c>
      <c r="AB31" s="33" t="str">
        <f>IF((AA31=""),"",VLOOKUP(AA31,K!$B:$C,2,0))</f>
        <v/>
      </c>
      <c r="AC31" s="33" t="str">
        <f>IF((AB31=""),"",VLOOKUP(AB31,Settings!$M$2:$N$33,2,0))</f>
        <v/>
      </c>
      <c r="AD31" s="35"/>
      <c r="AE31" s="48" t="str">
        <f>IF((AD31=""),"",(AD31-VLOOKUP(AA31,Cheatsheet!$AM$3:$AU$32,9,0)))</f>
        <v/>
      </c>
      <c r="AF31" s="146"/>
      <c r="AG31" s="33" t="str">
        <f>IF((AF31=""),"",VLOOKUP(AF31,K!$Q:$R,2,0))</f>
        <v/>
      </c>
      <c r="AH31" s="33" t="str">
        <f>IF((AG31=""),"",VLOOKUP(AG31,K!$B:$C,2,0))</f>
        <v/>
      </c>
      <c r="AI31" s="33" t="str">
        <f>IF((AH31=""),"",VLOOKUP(AH31,Settings!$M$2:$N$33,2,0))</f>
        <v/>
      </c>
      <c r="AJ31" s="35"/>
      <c r="AK31" s="48" t="str">
        <f>IF((AJ31=""),"",(AJ31-VLOOKUP(AG31,Cheatsheet!$AM$3:$AU$32,9,0)))</f>
        <v/>
      </c>
      <c r="AL31" s="146"/>
      <c r="AM31" s="33" t="str">
        <f>IF((AL31=""),"",VLOOKUP(AL31,K!$Q:$R,2,0))</f>
        <v/>
      </c>
      <c r="AN31" s="33" t="str">
        <f>IF((AM31=""),"",VLOOKUP(AM31,K!$B:$C,2,0))</f>
        <v/>
      </c>
      <c r="AO31" s="33" t="str">
        <f>IF((AN31=""),"",VLOOKUP(AN31,Settings!$M$2:$N$33,2,0))</f>
        <v/>
      </c>
      <c r="AP31" s="35"/>
      <c r="AQ31" s="48" t="str">
        <f>IF((AP31=""),"",(AP31-VLOOKUP(AM31,Cheatsheet!$AM$3:$AU$32,9,0)))</f>
        <v/>
      </c>
      <c r="AR31" s="146"/>
      <c r="AS31" s="33" t="str">
        <f>IF((AR31=""),"",VLOOKUP(AR31,K!$Q:$R,2,0))</f>
        <v/>
      </c>
      <c r="AT31" s="33" t="str">
        <f>IF((AS31=""),"",VLOOKUP(AS31,K!$B:$C,2,0))</f>
        <v/>
      </c>
      <c r="AU31" s="33" t="str">
        <f>IF((AT31=""),"",VLOOKUP(AT31,Settings!$M$2:$N$33,2,0))</f>
        <v/>
      </c>
      <c r="AV31" s="35"/>
      <c r="AW31" s="48" t="str">
        <f>IF((AV31=""),"",(AV31-VLOOKUP(AS31,Cheatsheet!$AM$3:$AU$32,9,0)))</f>
        <v/>
      </c>
      <c r="AX31" s="146"/>
      <c r="AY31" s="33" t="str">
        <f>IF((AX31=""),"",VLOOKUP(AX31,K!$Q:$R,2,0))</f>
        <v/>
      </c>
      <c r="AZ31" s="33" t="str">
        <f>IF((AY31=""),"",VLOOKUP(AY31,K!$B:$C,2,0))</f>
        <v/>
      </c>
      <c r="BA31" s="33" t="str">
        <f>IF((AZ31=""),"",VLOOKUP(AZ31,Settings!$M$2:$N$33,2,0))</f>
        <v/>
      </c>
      <c r="BB31" s="35"/>
      <c r="BC31" s="48" t="str">
        <f>IF((BB31=""),"",(BB31-VLOOKUP(AY31,Cheatsheet!$AM$3:$AU$32,9,0)))</f>
        <v/>
      </c>
      <c r="BD31" s="146"/>
      <c r="BE31" s="33" t="str">
        <f>IF((BD31=""),"",VLOOKUP(BD31,K!$Q:$R,2,0))</f>
        <v/>
      </c>
      <c r="BF31" s="33" t="str">
        <f>IF((BE31=""),"",VLOOKUP(BE31,K!$B:$C,2,0))</f>
        <v/>
      </c>
      <c r="BG31" s="33" t="str">
        <f>IF((BF31=""),"",VLOOKUP(BF31,Settings!$M$2:$N$33,2,0))</f>
        <v/>
      </c>
      <c r="BH31" s="35"/>
      <c r="BI31" s="48" t="str">
        <f>IF((BH31=""),"",(BH31-VLOOKUP(BE31,Cheatsheet!$AM$3:$AU$32,9,0)))</f>
        <v/>
      </c>
      <c r="BJ31" s="146"/>
      <c r="BK31" s="33" t="str">
        <f>IF((BJ31=""),"",VLOOKUP(BJ31,K!$Q:$R,2,0))</f>
        <v/>
      </c>
      <c r="BL31" s="33" t="str">
        <f>IF((BK31=""),"",VLOOKUP(BK31,K!$B:$C,2,0))</f>
        <v/>
      </c>
      <c r="BM31" s="33" t="str">
        <f>IF((BL31=""),"",VLOOKUP(BL31,Settings!$M$2:$N$33,2,0))</f>
        <v/>
      </c>
      <c r="BN31" s="35"/>
      <c r="BO31" s="48" t="str">
        <f>IF((BN31=""),"",(BN31-VLOOKUP(BK31,Cheatsheet!$AM$3:$AU$32,9,0)))</f>
        <v/>
      </c>
    </row>
    <row r="32" spans="1:67" ht="12.75" customHeight="1">
      <c r="A32" s="47">
        <v>2</v>
      </c>
      <c r="B32" s="146"/>
      <c r="C32" s="33" t="str">
        <f>IF((B32=""),"",VLOOKUP(B32,K!$Q:$R,2,0))</f>
        <v/>
      </c>
      <c r="D32" s="33" t="str">
        <f>IF((C32=""),"",VLOOKUP(C32,K!$B:$C,2,0))</f>
        <v/>
      </c>
      <c r="E32" s="33" t="str">
        <f>IF((D32=""),"",VLOOKUP(D32,Settings!$M$2:$N$33,2,0))</f>
        <v/>
      </c>
      <c r="F32" s="35"/>
      <c r="G32" s="48" t="str">
        <f>IF((F32=""),"",(F32-VLOOKUP(C32,Cheatsheet!$AM$3:$AU$32,9,0)))</f>
        <v/>
      </c>
      <c r="H32" s="146"/>
      <c r="I32" s="33" t="str">
        <f>IF((H32=""),"",VLOOKUP(H32,K!$Q:$R,2,0))</f>
        <v/>
      </c>
      <c r="J32" s="33" t="str">
        <f>IF((I32=""),"",VLOOKUP(I32,K!$B:$C,2,0))</f>
        <v/>
      </c>
      <c r="K32" s="33" t="str">
        <f>IF((J32=""),"",VLOOKUP(J32,Settings!$M$2:$N$33,2,0))</f>
        <v/>
      </c>
      <c r="L32" s="35"/>
      <c r="M32" s="48" t="str">
        <f>IF((L32=""),"",(L32-VLOOKUP(I32,Cheatsheet!$AM$3:$AU$32,9,0)))</f>
        <v/>
      </c>
      <c r="N32" s="146"/>
      <c r="O32" s="33" t="str">
        <f>IF((N32=""),"",VLOOKUP(N32,K!$Q:$R,2,0))</f>
        <v/>
      </c>
      <c r="P32" s="33" t="str">
        <f>IF((O32=""),"",VLOOKUP(O32,K!$B:$C,2,0))</f>
        <v/>
      </c>
      <c r="Q32" s="33" t="str">
        <f>IF((P32=""),"",VLOOKUP(P32,Settings!$M$2:$N$33,2,0))</f>
        <v/>
      </c>
      <c r="R32" s="35"/>
      <c r="S32" s="48" t="str">
        <f>IF((R32=""),"",(R32-VLOOKUP(O32,Cheatsheet!$AM$3:$AU$32,9,0)))</f>
        <v/>
      </c>
      <c r="T32" s="146"/>
      <c r="U32" s="33" t="str">
        <f>IF((T32=""),"",VLOOKUP(T32,K!$Q:$R,2,0))</f>
        <v/>
      </c>
      <c r="V32" s="33" t="str">
        <f>IF((U32=""),"",VLOOKUP(U32,K!$B:$C,2,0))</f>
        <v/>
      </c>
      <c r="W32" s="33" t="str">
        <f>IF((V32=""),"",VLOOKUP(V32,Settings!$M$2:$N$33,2,0))</f>
        <v/>
      </c>
      <c r="X32" s="35"/>
      <c r="Y32" s="48" t="str">
        <f>IF((X32=""),"",(X32-VLOOKUP(U32,Cheatsheet!$AM$3:$AU$32,9,0)))</f>
        <v/>
      </c>
      <c r="Z32" s="146"/>
      <c r="AA32" s="33" t="str">
        <f>IF((Z32=""),"",VLOOKUP(Z32,K!$Q:$R,2,0))</f>
        <v/>
      </c>
      <c r="AB32" s="33" t="str">
        <f>IF((AA32=""),"",VLOOKUP(AA32,K!$B:$C,2,0))</f>
        <v/>
      </c>
      <c r="AC32" s="33" t="str">
        <f>IF((AB32=""),"",VLOOKUP(AB32,Settings!$M$2:$N$33,2,0))</f>
        <v/>
      </c>
      <c r="AD32" s="35"/>
      <c r="AE32" s="48" t="str">
        <f>IF((AD32=""),"",(AD32-VLOOKUP(AA32,Cheatsheet!$AM$3:$AU$32,9,0)))</f>
        <v/>
      </c>
      <c r="AF32" s="146"/>
      <c r="AG32" s="33" t="str">
        <f>IF((AF32=""),"",VLOOKUP(AF32,K!$Q:$R,2,0))</f>
        <v/>
      </c>
      <c r="AH32" s="33" t="str">
        <f>IF((AG32=""),"",VLOOKUP(AG32,K!$B:$C,2,0))</f>
        <v/>
      </c>
      <c r="AI32" s="33" t="str">
        <f>IF((AH32=""),"",VLOOKUP(AH32,Settings!$M$2:$N$33,2,0))</f>
        <v/>
      </c>
      <c r="AJ32" s="35"/>
      <c r="AK32" s="48" t="str">
        <f>IF((AJ32=""),"",(AJ32-VLOOKUP(AG32,Cheatsheet!$AM$3:$AU$32,9,0)))</f>
        <v/>
      </c>
      <c r="AL32" s="146"/>
      <c r="AM32" s="33" t="str">
        <f>IF((AL32=""),"",VLOOKUP(AL32,K!$Q:$R,2,0))</f>
        <v/>
      </c>
      <c r="AN32" s="33" t="str">
        <f>IF((AM32=""),"",VLOOKUP(AM32,K!$B:$C,2,0))</f>
        <v/>
      </c>
      <c r="AO32" s="33" t="str">
        <f>IF((AN32=""),"",VLOOKUP(AN32,Settings!$M$2:$N$33,2,0))</f>
        <v/>
      </c>
      <c r="AP32" s="35"/>
      <c r="AQ32" s="48" t="str">
        <f>IF((AP32=""),"",(AP32-VLOOKUP(AM32,Cheatsheet!$AM$3:$AU$32,9,0)))</f>
        <v/>
      </c>
      <c r="AR32" s="146"/>
      <c r="AS32" s="33" t="str">
        <f>IF((AR32=""),"",VLOOKUP(AR32,K!$Q:$R,2,0))</f>
        <v/>
      </c>
      <c r="AT32" s="33" t="str">
        <f>IF((AS32=""),"",VLOOKUP(AS32,K!$B:$C,2,0))</f>
        <v/>
      </c>
      <c r="AU32" s="33" t="str">
        <f>IF((AT32=""),"",VLOOKUP(AT32,Settings!$M$2:$N$33,2,0))</f>
        <v/>
      </c>
      <c r="AV32" s="35"/>
      <c r="AW32" s="48" t="str">
        <f>IF((AV32=""),"",(AV32-VLOOKUP(AS32,Cheatsheet!$AM$3:$AU$32,9,0)))</f>
        <v/>
      </c>
      <c r="AX32" s="146"/>
      <c r="AY32" s="33" t="str">
        <f>IF((AX32=""),"",VLOOKUP(AX32,K!$Q:$R,2,0))</f>
        <v/>
      </c>
      <c r="AZ32" s="33" t="str">
        <f>IF((AY32=""),"",VLOOKUP(AY32,K!$B:$C,2,0))</f>
        <v/>
      </c>
      <c r="BA32" s="33" t="str">
        <f>IF((AZ32=""),"",VLOOKUP(AZ32,Settings!$M$2:$N$33,2,0))</f>
        <v/>
      </c>
      <c r="BB32" s="35"/>
      <c r="BC32" s="48" t="str">
        <f>IF((BB32=""),"",(BB32-VLOOKUP(AY32,Cheatsheet!$AM$3:$AU$32,9,0)))</f>
        <v/>
      </c>
      <c r="BD32" s="146"/>
      <c r="BE32" s="33" t="str">
        <f>IF((BD32=""),"",VLOOKUP(BD32,K!$Q:$R,2,0))</f>
        <v/>
      </c>
      <c r="BF32" s="33" t="str">
        <f>IF((BE32=""),"",VLOOKUP(BE32,K!$B:$C,2,0))</f>
        <v/>
      </c>
      <c r="BG32" s="33" t="str">
        <f>IF((BF32=""),"",VLOOKUP(BF32,Settings!$M$2:$N$33,2,0))</f>
        <v/>
      </c>
      <c r="BH32" s="35"/>
      <c r="BI32" s="48" t="str">
        <f>IF((BH32=""),"",(BH32-VLOOKUP(BE32,Cheatsheet!$AM$3:$AU$32,9,0)))</f>
        <v/>
      </c>
      <c r="BJ32" s="146"/>
      <c r="BK32" s="33" t="str">
        <f>IF((BJ32=""),"",VLOOKUP(BJ32,K!$Q:$R,2,0))</f>
        <v/>
      </c>
      <c r="BL32" s="33" t="str">
        <f>IF((BK32=""),"",VLOOKUP(BK32,K!$B:$C,2,0))</f>
        <v/>
      </c>
      <c r="BM32" s="33" t="str">
        <f>IF((BL32=""),"",VLOOKUP(BL32,Settings!$M$2:$N$33,2,0))</f>
        <v/>
      </c>
      <c r="BN32" s="35"/>
      <c r="BO32" s="48" t="str">
        <f>IF((BN32=""),"",(BN32-VLOOKUP(BK32,Cheatsheet!$AM$3:$AU$32,9,0)))</f>
        <v/>
      </c>
    </row>
    <row r="33" spans="1:67" ht="12.75" customHeight="1">
      <c r="A33" s="42" t="s">
        <v>15</v>
      </c>
      <c r="B33" s="92"/>
      <c r="C33" s="132"/>
      <c r="D33" s="132"/>
      <c r="E33" s="132"/>
      <c r="F33" s="143"/>
      <c r="G33" s="94"/>
      <c r="H33" s="92"/>
      <c r="I33" s="132"/>
      <c r="J33" s="132"/>
      <c r="K33" s="132"/>
      <c r="L33" s="143"/>
      <c r="M33" s="94"/>
      <c r="N33" s="92"/>
      <c r="O33" s="132"/>
      <c r="P33" s="132"/>
      <c r="Q33" s="132"/>
      <c r="R33" s="143"/>
      <c r="S33" s="94"/>
      <c r="T33" s="92"/>
      <c r="U33" s="132"/>
      <c r="V33" s="132"/>
      <c r="W33" s="132"/>
      <c r="X33" s="143"/>
      <c r="Y33" s="94"/>
      <c r="Z33" s="92"/>
      <c r="AA33" s="132"/>
      <c r="AB33" s="132"/>
      <c r="AC33" s="132"/>
      <c r="AD33" s="143"/>
      <c r="AE33" s="94"/>
      <c r="AF33" s="92"/>
      <c r="AG33" s="132"/>
      <c r="AH33" s="132"/>
      <c r="AI33" s="132"/>
      <c r="AJ33" s="143"/>
      <c r="AK33" s="94"/>
      <c r="AL33" s="92"/>
      <c r="AM33" s="132"/>
      <c r="AN33" s="132"/>
      <c r="AO33" s="132"/>
      <c r="AP33" s="143"/>
      <c r="AQ33" s="94"/>
      <c r="AR33" s="92"/>
      <c r="AS33" s="132"/>
      <c r="AT33" s="132"/>
      <c r="AU33" s="132"/>
      <c r="AV33" s="143"/>
      <c r="AW33" s="94"/>
      <c r="AX33" s="92"/>
      <c r="AY33" s="132"/>
      <c r="AZ33" s="132"/>
      <c r="BA33" s="132"/>
      <c r="BB33" s="143"/>
      <c r="BC33" s="94"/>
      <c r="BD33" s="92"/>
      <c r="BE33" s="132"/>
      <c r="BF33" s="132"/>
      <c r="BG33" s="132"/>
      <c r="BH33" s="143"/>
      <c r="BI33" s="94"/>
      <c r="BJ33" s="92"/>
      <c r="BK33" s="132"/>
      <c r="BL33" s="132"/>
      <c r="BM33" s="132"/>
      <c r="BN33" s="143"/>
      <c r="BO33" s="94"/>
    </row>
    <row r="34" spans="1:67" ht="12.75" customHeight="1">
      <c r="A34" s="47">
        <v>1</v>
      </c>
      <c r="B34" s="146"/>
      <c r="C34" s="33" t="str">
        <f>IF((B34=""),"",VLOOKUP(B34,DST!$V:$W,2,0))</f>
        <v/>
      </c>
      <c r="D34" s="33" t="str">
        <f>IF((C34=""),"",VLOOKUP(C34,DST!$B:$C,2,0))</f>
        <v/>
      </c>
      <c r="E34" s="33" t="str">
        <f>IF((D34=""),"",VLOOKUP(D34,Settings!$M$2:$N$33,2,0))</f>
        <v/>
      </c>
      <c r="F34" s="35"/>
      <c r="G34" s="84" t="str">
        <f>IF((F34=""),"",(F34-VLOOKUP(C34,Cheatsheet!$AM$35:$AU$64,9,0)))</f>
        <v/>
      </c>
      <c r="H34" s="146"/>
      <c r="I34" s="33" t="str">
        <f>IF((H34=""),"",VLOOKUP(H34,DST!$V:$W,2,0))</f>
        <v/>
      </c>
      <c r="J34" s="33" t="str">
        <f>IF((I34=""),"",VLOOKUP(I34,DST!$B:$C,2,0))</f>
        <v/>
      </c>
      <c r="K34" s="33" t="str">
        <f>IF((J34=""),"",VLOOKUP(J34,Settings!$M$2:$N$33,2,0))</f>
        <v/>
      </c>
      <c r="L34" s="35"/>
      <c r="M34" s="84" t="str">
        <f>IF((L34=""),"",(L34-VLOOKUP(I34,Cheatsheet!$AM$35:$AU$64,9,0)))</f>
        <v/>
      </c>
      <c r="N34" s="146"/>
      <c r="O34" s="33" t="str">
        <f>IF((N34=""),"",VLOOKUP(N34,DST!$V:$W,2,0))</f>
        <v/>
      </c>
      <c r="P34" s="33" t="str">
        <f>IF((O34=""),"",VLOOKUP(O34,DST!$B:$C,2,0))</f>
        <v/>
      </c>
      <c r="Q34" s="33" t="str">
        <f>IF((P34=""),"",VLOOKUP(P34,Settings!$M$2:$N$33,2,0))</f>
        <v/>
      </c>
      <c r="R34" s="35"/>
      <c r="S34" s="84" t="str">
        <f>IF((R34=""),"",(R34-VLOOKUP(O34,Cheatsheet!$AM$35:$AU$64,9,0)))</f>
        <v/>
      </c>
      <c r="T34" s="146"/>
      <c r="U34" s="33" t="str">
        <f>IF((T34=""),"",VLOOKUP(T34,DST!$V:$W,2,0))</f>
        <v/>
      </c>
      <c r="V34" s="33" t="str">
        <f>IF((U34=""),"",VLOOKUP(U34,DST!$B:$C,2,0))</f>
        <v/>
      </c>
      <c r="W34" s="33" t="str">
        <f>IF((V34=""),"",VLOOKUP(V34,Settings!$M$2:$N$33,2,0))</f>
        <v/>
      </c>
      <c r="X34" s="35"/>
      <c r="Y34" s="84" t="str">
        <f>IF((X34=""),"",(X34-VLOOKUP(U34,Cheatsheet!$AM$35:$AU$64,9,0)))</f>
        <v/>
      </c>
      <c r="Z34" s="146"/>
      <c r="AA34" s="33" t="str">
        <f>IF((Z34=""),"",VLOOKUP(Z34,DST!$V:$W,2,0))</f>
        <v/>
      </c>
      <c r="AB34" s="33" t="str">
        <f>IF((AA34=""),"",VLOOKUP(AA34,DST!$B:$C,2,0))</f>
        <v/>
      </c>
      <c r="AC34" s="33" t="str">
        <f>IF((AB34=""),"",VLOOKUP(AB34,Settings!$M$2:$N$33,2,0))</f>
        <v/>
      </c>
      <c r="AD34" s="35"/>
      <c r="AE34" s="84" t="str">
        <f>IF((AD34=""),"",(AD34-VLOOKUP(AA34,Cheatsheet!$AM$35:$AU$64,9,0)))</f>
        <v/>
      </c>
      <c r="AF34" s="146"/>
      <c r="AG34" s="33" t="str">
        <f>IF((AF34=""),"",VLOOKUP(AF34,DST!$V:$W,2,0))</f>
        <v/>
      </c>
      <c r="AH34" s="33" t="str">
        <f>IF((AG34=""),"",VLOOKUP(AG34,DST!$B:$C,2,0))</f>
        <v/>
      </c>
      <c r="AI34" s="33" t="str">
        <f>IF((AH34=""),"",VLOOKUP(AH34,Settings!$M$2:$N$33,2,0))</f>
        <v/>
      </c>
      <c r="AJ34" s="35"/>
      <c r="AK34" s="84" t="str">
        <f>IF((AJ34=""),"",(AJ34-VLOOKUP(AG34,Cheatsheet!$AM$35:$AU$64,9,0)))</f>
        <v/>
      </c>
      <c r="AL34" s="146"/>
      <c r="AM34" s="33" t="str">
        <f>IF((AL34=""),"",VLOOKUP(AL34,DST!$V:$W,2,0))</f>
        <v/>
      </c>
      <c r="AN34" s="33" t="str">
        <f>IF((AM34=""),"",VLOOKUP(AM34,DST!$B:$C,2,0))</f>
        <v/>
      </c>
      <c r="AO34" s="33" t="str">
        <f>IF((AN34=""),"",VLOOKUP(AN34,Settings!$M$2:$N$33,2,0))</f>
        <v/>
      </c>
      <c r="AP34" s="35"/>
      <c r="AQ34" s="84" t="str">
        <f>IF((AP34=""),"",(AP34-VLOOKUP(AM34,Cheatsheet!$AM$35:$AU$64,9,0)))</f>
        <v/>
      </c>
      <c r="AR34" s="146"/>
      <c r="AS34" s="33" t="str">
        <f>IF((AR34=""),"",VLOOKUP(AR34,DST!$V:$W,2,0))</f>
        <v/>
      </c>
      <c r="AT34" s="33" t="str">
        <f>IF((AS34=""),"",VLOOKUP(AS34,DST!$B:$C,2,0))</f>
        <v/>
      </c>
      <c r="AU34" s="33" t="str">
        <f>IF((AT34=""),"",VLOOKUP(AT34,Settings!$M$2:$N$33,2,0))</f>
        <v/>
      </c>
      <c r="AV34" s="35"/>
      <c r="AW34" s="84" t="str">
        <f>IF((AV34=""),"",(AV34-VLOOKUP(AS34,Cheatsheet!$AM$35:$AU$64,9,0)))</f>
        <v/>
      </c>
      <c r="AX34" s="146"/>
      <c r="AY34" s="33" t="str">
        <f>IF((AX34=""),"",VLOOKUP(AX34,DST!$V:$W,2,0))</f>
        <v/>
      </c>
      <c r="AZ34" s="33" t="str">
        <f>IF((AY34=""),"",VLOOKUP(AY34,DST!$B:$C,2,0))</f>
        <v/>
      </c>
      <c r="BA34" s="33" t="str">
        <f>IF((AZ34=""),"",VLOOKUP(AZ34,Settings!$M$2:$N$33,2,0))</f>
        <v/>
      </c>
      <c r="BB34" s="35"/>
      <c r="BC34" s="84" t="str">
        <f>IF((BB34=""),"",(BB34-VLOOKUP(AY34,Cheatsheet!$AM$35:$AU$64,9,0)))</f>
        <v/>
      </c>
      <c r="BD34" s="146"/>
      <c r="BE34" s="33" t="str">
        <f>IF((BD34=""),"",VLOOKUP(BD34,DST!$V:$W,2,0))</f>
        <v/>
      </c>
      <c r="BF34" s="33" t="str">
        <f>IF((BE34=""),"",VLOOKUP(BE34,DST!$B:$C,2,0))</f>
        <v/>
      </c>
      <c r="BG34" s="33" t="str">
        <f>IF((BF34=""),"",VLOOKUP(BF34,Settings!$M$2:$N$33,2,0))</f>
        <v/>
      </c>
      <c r="BH34" s="35"/>
      <c r="BI34" s="84" t="str">
        <f>IF((BH34=""),"",(BH34-VLOOKUP(BE34,Cheatsheet!$AM$35:$AU$64,9,0)))</f>
        <v/>
      </c>
      <c r="BJ34" s="146"/>
      <c r="BK34" s="33" t="str">
        <f>IF((BJ34=""),"",VLOOKUP(BJ34,DST!$V:$W,2,0))</f>
        <v/>
      </c>
      <c r="BL34" s="33" t="str">
        <f>IF((BK34=""),"",VLOOKUP(BK34,DST!$B:$C,2,0))</f>
        <v/>
      </c>
      <c r="BM34" s="33" t="str">
        <f>IF((BL34=""),"",VLOOKUP(BL34,Settings!$M$2:$N$33,2,0))</f>
        <v/>
      </c>
      <c r="BN34" s="35"/>
      <c r="BO34" s="84" t="str">
        <f>IF((BN34=""),"",(BN34-VLOOKUP(BK34,Cheatsheet!$AM$35:$AU$64,9,0)))</f>
        <v/>
      </c>
    </row>
    <row r="35" spans="1:67" ht="12.75" customHeight="1">
      <c r="A35" s="47">
        <v>2</v>
      </c>
      <c r="B35" s="146"/>
      <c r="C35" s="33" t="str">
        <f>IF((B35=""),"",VLOOKUP(B35,DST!$V:$W,2,0))</f>
        <v/>
      </c>
      <c r="D35" s="33" t="str">
        <f>IF((C35=""),"",VLOOKUP(C35,DST!$B:$C,2,0))</f>
        <v/>
      </c>
      <c r="E35" s="33" t="str">
        <f>IF((D35=""),"",VLOOKUP(D35,Settings!$M$2:$N$33,2,0))</f>
        <v/>
      </c>
      <c r="F35" s="35"/>
      <c r="G35" s="84" t="str">
        <f>IF((F35=""),"",(F35-VLOOKUP(C35,Cheatsheet!$AM$35:$AU$64,9,0)))</f>
        <v/>
      </c>
      <c r="H35" s="146"/>
      <c r="I35" s="33" t="str">
        <f>IF((H35=""),"",VLOOKUP(H35,DST!$V:$W,2,0))</f>
        <v/>
      </c>
      <c r="J35" s="33" t="str">
        <f>IF((I35=""),"",VLOOKUP(I35,DST!$B:$C,2,0))</f>
        <v/>
      </c>
      <c r="K35" s="33" t="str">
        <f>IF((J35=""),"",VLOOKUP(J35,Settings!$M$2:$N$33,2,0))</f>
        <v/>
      </c>
      <c r="L35" s="35"/>
      <c r="M35" s="84" t="str">
        <f>IF((L35=""),"",(L35-VLOOKUP(I35,Cheatsheet!$AM$35:$AU$64,9,0)))</f>
        <v/>
      </c>
      <c r="N35" s="146"/>
      <c r="O35" s="33" t="str">
        <f>IF((N35=""),"",VLOOKUP(N35,DST!$V:$W,2,0))</f>
        <v/>
      </c>
      <c r="P35" s="33" t="str">
        <f>IF((O35=""),"",VLOOKUP(O35,DST!$B:$C,2,0))</f>
        <v/>
      </c>
      <c r="Q35" s="33" t="str">
        <f>IF((P35=""),"",VLOOKUP(P35,Settings!$M$2:$N$33,2,0))</f>
        <v/>
      </c>
      <c r="R35" s="35"/>
      <c r="S35" s="84" t="str">
        <f>IF((R35=""),"",(R35-VLOOKUP(O35,Cheatsheet!$AM$35:$AU$64,9,0)))</f>
        <v/>
      </c>
      <c r="T35" s="146"/>
      <c r="U35" s="33" t="str">
        <f>IF((T35=""),"",VLOOKUP(T35,DST!$V:$W,2,0))</f>
        <v/>
      </c>
      <c r="V35" s="33" t="str">
        <f>IF((U35=""),"",VLOOKUP(U35,DST!$B:$C,2,0))</f>
        <v/>
      </c>
      <c r="W35" s="33" t="str">
        <f>IF((V35=""),"",VLOOKUP(V35,Settings!$M$2:$N$33,2,0))</f>
        <v/>
      </c>
      <c r="X35" s="35"/>
      <c r="Y35" s="84" t="str">
        <f>IF((X35=""),"",(X35-VLOOKUP(U35,Cheatsheet!$AM$35:$AU$64,9,0)))</f>
        <v/>
      </c>
      <c r="Z35" s="146"/>
      <c r="AA35" s="33" t="str">
        <f>IF((Z35=""),"",VLOOKUP(Z35,DST!$V:$W,2,0))</f>
        <v/>
      </c>
      <c r="AB35" s="33" t="str">
        <f>IF((AA35=""),"",VLOOKUP(AA35,DST!$B:$C,2,0))</f>
        <v/>
      </c>
      <c r="AC35" s="33" t="str">
        <f>IF((AB35=""),"",VLOOKUP(AB35,Settings!$M$2:$N$33,2,0))</f>
        <v/>
      </c>
      <c r="AD35" s="35"/>
      <c r="AE35" s="84" t="str">
        <f>IF((AD35=""),"",(AD35-VLOOKUP(AA35,Cheatsheet!$AM$35:$AU$64,9,0)))</f>
        <v/>
      </c>
      <c r="AF35" s="146"/>
      <c r="AG35" s="33" t="str">
        <f>IF((AF35=""),"",VLOOKUP(AF35,DST!$V:$W,2,0))</f>
        <v/>
      </c>
      <c r="AH35" s="33" t="str">
        <f>IF((AG35=""),"",VLOOKUP(AG35,DST!$B:$C,2,0))</f>
        <v/>
      </c>
      <c r="AI35" s="33" t="str">
        <f>IF((AH35=""),"",VLOOKUP(AH35,Settings!$M$2:$N$33,2,0))</f>
        <v/>
      </c>
      <c r="AJ35" s="35"/>
      <c r="AK35" s="84" t="str">
        <f>IF((AJ35=""),"",(AJ35-VLOOKUP(AG35,Cheatsheet!$AM$35:$AU$64,9,0)))</f>
        <v/>
      </c>
      <c r="AL35" s="146"/>
      <c r="AM35" s="33" t="str">
        <f>IF((AL35=""),"",VLOOKUP(AL35,DST!$V:$W,2,0))</f>
        <v/>
      </c>
      <c r="AN35" s="33" t="str">
        <f>IF((AM35=""),"",VLOOKUP(AM35,DST!$B:$C,2,0))</f>
        <v/>
      </c>
      <c r="AO35" s="33" t="str">
        <f>IF((AN35=""),"",VLOOKUP(AN35,Settings!$M$2:$N$33,2,0))</f>
        <v/>
      </c>
      <c r="AP35" s="35"/>
      <c r="AQ35" s="84" t="str">
        <f>IF((AP35=""),"",(AP35-VLOOKUP(AM35,Cheatsheet!$AM$35:$AU$64,9,0)))</f>
        <v/>
      </c>
      <c r="AR35" s="146"/>
      <c r="AS35" s="33" t="str">
        <f>IF((AR35=""),"",VLOOKUP(AR35,DST!$V:$W,2,0))</f>
        <v/>
      </c>
      <c r="AT35" s="33" t="str">
        <f>IF((AS35=""),"",VLOOKUP(AS35,DST!$B:$C,2,0))</f>
        <v/>
      </c>
      <c r="AU35" s="33" t="str">
        <f>IF((AT35=""),"",VLOOKUP(AT35,Settings!$M$2:$N$33,2,0))</f>
        <v/>
      </c>
      <c r="AV35" s="35"/>
      <c r="AW35" s="84" t="str">
        <f>IF((AV35=""),"",(AV35-VLOOKUP(AS35,Cheatsheet!$AM$35:$AU$64,9,0)))</f>
        <v/>
      </c>
      <c r="AX35" s="146"/>
      <c r="AY35" s="33" t="str">
        <f>IF((AX35=""),"",VLOOKUP(AX35,DST!$V:$W,2,0))</f>
        <v/>
      </c>
      <c r="AZ35" s="33" t="str">
        <f>IF((AY35=""),"",VLOOKUP(AY35,DST!$B:$C,2,0))</f>
        <v/>
      </c>
      <c r="BA35" s="33" t="str">
        <f>IF((AZ35=""),"",VLOOKUP(AZ35,Settings!$M$2:$N$33,2,0))</f>
        <v/>
      </c>
      <c r="BB35" s="35"/>
      <c r="BC35" s="84" t="str">
        <f>IF((BB35=""),"",(BB35-VLOOKUP(AY35,Cheatsheet!$AM$35:$AU$64,9,0)))</f>
        <v/>
      </c>
      <c r="BD35" s="146"/>
      <c r="BE35" s="33" t="str">
        <f>IF((BD35=""),"",VLOOKUP(BD35,DST!$V:$W,2,0))</f>
        <v/>
      </c>
      <c r="BF35" s="33" t="str">
        <f>IF((BE35=""),"",VLOOKUP(BE35,DST!$B:$C,2,0))</f>
        <v/>
      </c>
      <c r="BG35" s="33" t="str">
        <f>IF((BF35=""),"",VLOOKUP(BF35,Settings!$M$2:$N$33,2,0))</f>
        <v/>
      </c>
      <c r="BH35" s="35"/>
      <c r="BI35" s="84" t="str">
        <f>IF((BH35=""),"",(BH35-VLOOKUP(BE35,Cheatsheet!$AM$35:$AU$64,9,0)))</f>
        <v/>
      </c>
      <c r="BJ35" s="146"/>
      <c r="BK35" s="33" t="str">
        <f>IF((BJ35=""),"",VLOOKUP(BJ35,DST!$V:$W,2,0))</f>
        <v/>
      </c>
      <c r="BL35" s="33" t="str">
        <f>IF((BK35=""),"",VLOOKUP(BK35,DST!$B:$C,2,0))</f>
        <v/>
      </c>
      <c r="BM35" s="33" t="str">
        <f>IF((BL35=""),"",VLOOKUP(BL35,Settings!$M$2:$N$33,2,0))</f>
        <v/>
      </c>
      <c r="BN35" s="35"/>
      <c r="BO35" s="84" t="str">
        <f>IF((BN35=""),"",(BN35-VLOOKUP(BK35,Cheatsheet!$AM$35:$AU$64,9,0)))</f>
        <v/>
      </c>
    </row>
    <row r="36" spans="1:67" ht="12.75" customHeight="1">
      <c r="A36" s="47">
        <v>3</v>
      </c>
      <c r="B36" s="176"/>
      <c r="C36" s="121" t="str">
        <f>IF((B36=""),"",VLOOKUP(B36,DST!$V:$W,2,0))</f>
        <v/>
      </c>
      <c r="D36" s="121" t="str">
        <f>IF((C36=""),"",VLOOKUP(C36,DST!$B:$C,2,0))</f>
        <v/>
      </c>
      <c r="E36" s="121" t="str">
        <f>IF((D36=""),"",VLOOKUP(D36,Settings!$M$2:$N$33,2,0))</f>
        <v/>
      </c>
      <c r="F36" s="26"/>
      <c r="G36" s="78" t="str">
        <f>IF((F36=""),"",(F36-VLOOKUP(C36,Cheatsheet!$AM$35:$AU$64,9,0)))</f>
        <v/>
      </c>
      <c r="H36" s="176"/>
      <c r="I36" s="121" t="str">
        <f>IF((H36=""),"",VLOOKUP(H36,DST!$V:$W,2,0))</f>
        <v/>
      </c>
      <c r="J36" s="121" t="str">
        <f>IF((I36=""),"",VLOOKUP(I36,DST!$B:$C,2,0))</f>
        <v/>
      </c>
      <c r="K36" s="121" t="str">
        <f>IF((J36=""),"",VLOOKUP(J36,Settings!$M$2:$N$33,2,0))</f>
        <v/>
      </c>
      <c r="L36" s="26"/>
      <c r="M36" s="78" t="str">
        <f>IF((L36=""),"",(L36-VLOOKUP(I36,Cheatsheet!$AM$35:$AU$64,9,0)))</f>
        <v/>
      </c>
      <c r="N36" s="176"/>
      <c r="O36" s="121" t="str">
        <f>IF((N36=""),"",VLOOKUP(N36,DST!$V:$W,2,0))</f>
        <v/>
      </c>
      <c r="P36" s="121" t="str">
        <f>IF((O36=""),"",VLOOKUP(O36,DST!$B:$C,2,0))</f>
        <v/>
      </c>
      <c r="Q36" s="121" t="str">
        <f>IF((P36=""),"",VLOOKUP(P36,Settings!$M$2:$N$33,2,0))</f>
        <v/>
      </c>
      <c r="R36" s="26"/>
      <c r="S36" s="78" t="str">
        <f>IF((R36=""),"",(R36-VLOOKUP(O36,Cheatsheet!$AM$35:$AU$64,9,0)))</f>
        <v/>
      </c>
      <c r="T36" s="176"/>
      <c r="U36" s="121" t="str">
        <f>IF((T36=""),"",VLOOKUP(T36,DST!$V:$W,2,0))</f>
        <v/>
      </c>
      <c r="V36" s="121" t="str">
        <f>IF((U36=""),"",VLOOKUP(U36,DST!$B:$C,2,0))</f>
        <v/>
      </c>
      <c r="W36" s="121" t="str">
        <f>IF((V36=""),"",VLOOKUP(V36,Settings!$M$2:$N$33,2,0))</f>
        <v/>
      </c>
      <c r="X36" s="26"/>
      <c r="Y36" s="78" t="str">
        <f>IF((X36=""),"",(X36-VLOOKUP(U36,Cheatsheet!$AM$35:$AU$64,9,0)))</f>
        <v/>
      </c>
      <c r="Z36" s="176"/>
      <c r="AA36" s="121" t="str">
        <f>IF((Z36=""),"",VLOOKUP(Z36,DST!$V:$W,2,0))</f>
        <v/>
      </c>
      <c r="AB36" s="121" t="str">
        <f>IF((AA36=""),"",VLOOKUP(AA36,DST!$B:$C,2,0))</f>
        <v/>
      </c>
      <c r="AC36" s="121" t="str">
        <f>IF((AB36=""),"",VLOOKUP(AB36,Settings!$M$2:$N$33,2,0))</f>
        <v/>
      </c>
      <c r="AD36" s="26"/>
      <c r="AE36" s="78" t="str">
        <f>IF((AD36=""),"",(AD36-VLOOKUP(AA36,Cheatsheet!$AM$35:$AU$64,9,0)))</f>
        <v/>
      </c>
      <c r="AF36" s="176"/>
      <c r="AG36" s="121" t="str">
        <f>IF((AF36=""),"",VLOOKUP(AF36,DST!$V:$W,2,0))</f>
        <v/>
      </c>
      <c r="AH36" s="121" t="str">
        <f>IF((AG36=""),"",VLOOKUP(AG36,DST!$B:$C,2,0))</f>
        <v/>
      </c>
      <c r="AI36" s="121" t="str">
        <f>IF((AH36=""),"",VLOOKUP(AH36,Settings!$M$2:$N$33,2,0))</f>
        <v/>
      </c>
      <c r="AJ36" s="26"/>
      <c r="AK36" s="78" t="str">
        <f>IF((AJ36=""),"",(AJ36-VLOOKUP(AG36,Cheatsheet!$AM$35:$AU$64,9,0)))</f>
        <v/>
      </c>
      <c r="AL36" s="176"/>
      <c r="AM36" s="121" t="str">
        <f>IF((AL36=""),"",VLOOKUP(AL36,DST!$V:$W,2,0))</f>
        <v/>
      </c>
      <c r="AN36" s="121" t="str">
        <f>IF((AM36=""),"",VLOOKUP(AM36,DST!$B:$C,2,0))</f>
        <v/>
      </c>
      <c r="AO36" s="121" t="str">
        <f>IF((AN36=""),"",VLOOKUP(AN36,Settings!$M$2:$N$33,2,0))</f>
        <v/>
      </c>
      <c r="AP36" s="26"/>
      <c r="AQ36" s="78" t="str">
        <f>IF((AP36=""),"",(AP36-VLOOKUP(AM36,Cheatsheet!$AM$35:$AU$64,9,0)))</f>
        <v/>
      </c>
      <c r="AR36" s="176"/>
      <c r="AS36" s="121" t="str">
        <f>IF((AR36=""),"",VLOOKUP(AR36,DST!$V:$W,2,0))</f>
        <v/>
      </c>
      <c r="AT36" s="121" t="str">
        <f>IF((AS36=""),"",VLOOKUP(AS36,DST!$B:$C,2,0))</f>
        <v/>
      </c>
      <c r="AU36" s="121" t="str">
        <f>IF((AT36=""),"",VLOOKUP(AT36,Settings!$M$2:$N$33,2,0))</f>
        <v/>
      </c>
      <c r="AV36" s="26"/>
      <c r="AW36" s="78" t="str">
        <f>IF((AV36=""),"",(AV36-VLOOKUP(AS36,Cheatsheet!$AM$35:$AU$64,9,0)))</f>
        <v/>
      </c>
      <c r="AX36" s="176"/>
      <c r="AY36" s="121" t="str">
        <f>IF((AX36=""),"",VLOOKUP(AX36,DST!$V:$W,2,0))</f>
        <v/>
      </c>
      <c r="AZ36" s="121" t="str">
        <f>IF((AY36=""),"",VLOOKUP(AY36,DST!$B:$C,2,0))</f>
        <v/>
      </c>
      <c r="BA36" s="121" t="str">
        <f>IF((AZ36=""),"",VLOOKUP(AZ36,Settings!$M$2:$N$33,2,0))</f>
        <v/>
      </c>
      <c r="BB36" s="26"/>
      <c r="BC36" s="78" t="str">
        <f>IF((BB36=""),"",(BB36-VLOOKUP(AY36,Cheatsheet!$AM$35:$AU$64,9,0)))</f>
        <v/>
      </c>
      <c r="BD36" s="176"/>
      <c r="BE36" s="121" t="str">
        <f>IF((BD36=""),"",VLOOKUP(BD36,DST!$V:$W,2,0))</f>
        <v/>
      </c>
      <c r="BF36" s="121" t="str">
        <f>IF((BE36=""),"",VLOOKUP(BE36,DST!$B:$C,2,0))</f>
        <v/>
      </c>
      <c r="BG36" s="121" t="str">
        <f>IF((BF36=""),"",VLOOKUP(BF36,Settings!$M$2:$N$33,2,0))</f>
        <v/>
      </c>
      <c r="BH36" s="26"/>
      <c r="BI36" s="78" t="str">
        <f>IF((BH36=""),"",(BH36-VLOOKUP(BE36,Cheatsheet!$AM$35:$AU$64,9,0)))</f>
        <v/>
      </c>
      <c r="BJ36" s="176"/>
      <c r="BK36" s="121" t="str">
        <f>IF((BJ36=""),"",VLOOKUP(BJ36,DST!$V:$W,2,0))</f>
        <v/>
      </c>
      <c r="BL36" s="121" t="str">
        <f>IF((BK36=""),"",VLOOKUP(BK36,DST!$B:$C,2,0))</f>
        <v/>
      </c>
      <c r="BM36" s="121" t="str">
        <f>IF((BL36=""),"",VLOOKUP(BL36,Settings!$M$2:$N$33,2,0))</f>
        <v/>
      </c>
      <c r="BN36" s="26"/>
      <c r="BO36" s="78" t="str">
        <f>IF((BN36=""),"",(BN36-VLOOKUP(BK36,Cheatsheet!$AM$35:$AU$64,9,0)))</f>
        <v/>
      </c>
    </row>
    <row r="37" spans="1:67" ht="12.75" customHeight="1">
      <c r="A37" s="133"/>
      <c r="B37" s="53"/>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row>
    <row r="38" spans="1:67" ht="12.75" customHeight="1">
      <c r="A38" s="133"/>
      <c r="B38" s="181"/>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row>
    <row r="39" spans="1:67" ht="12.75" customHeight="1">
      <c r="A39" s="133"/>
      <c r="B39" s="46" t="s">
        <v>35</v>
      </c>
      <c r="C39" s="33"/>
      <c r="D39" s="109" t="s">
        <v>36</v>
      </c>
      <c r="E39" s="109" t="s">
        <v>37</v>
      </c>
      <c r="F39" s="109" t="s">
        <v>38</v>
      </c>
      <c r="G39" s="109" t="s">
        <v>13</v>
      </c>
      <c r="H39" s="111" t="s">
        <v>35</v>
      </c>
      <c r="I39" s="33"/>
      <c r="J39" s="109" t="s">
        <v>36</v>
      </c>
      <c r="K39" s="109" t="s">
        <v>37</v>
      </c>
      <c r="L39" s="109" t="s">
        <v>38</v>
      </c>
      <c r="M39" s="109" t="s">
        <v>13</v>
      </c>
      <c r="N39" s="111" t="s">
        <v>35</v>
      </c>
      <c r="O39" s="33"/>
      <c r="P39" s="109" t="s">
        <v>36</v>
      </c>
      <c r="Q39" s="109" t="s">
        <v>37</v>
      </c>
      <c r="R39" s="109" t="s">
        <v>38</v>
      </c>
      <c r="S39" s="109" t="s">
        <v>13</v>
      </c>
      <c r="T39" s="111" t="s">
        <v>35</v>
      </c>
      <c r="U39" s="33"/>
      <c r="V39" s="109" t="s">
        <v>36</v>
      </c>
      <c r="W39" s="109" t="s">
        <v>37</v>
      </c>
      <c r="X39" s="109" t="s">
        <v>38</v>
      </c>
      <c r="Y39" s="109" t="s">
        <v>13</v>
      </c>
      <c r="Z39" s="111" t="s">
        <v>35</v>
      </c>
      <c r="AA39" s="33"/>
      <c r="AB39" s="109" t="s">
        <v>36</v>
      </c>
      <c r="AC39" s="109" t="s">
        <v>37</v>
      </c>
      <c r="AD39" s="109" t="s">
        <v>38</v>
      </c>
      <c r="AE39" s="109" t="s">
        <v>13</v>
      </c>
      <c r="AF39" s="111" t="s">
        <v>35</v>
      </c>
      <c r="AG39" s="33"/>
      <c r="AH39" s="109" t="s">
        <v>36</v>
      </c>
      <c r="AI39" s="109" t="s">
        <v>37</v>
      </c>
      <c r="AJ39" s="109" t="s">
        <v>38</v>
      </c>
      <c r="AK39" s="109" t="s">
        <v>13</v>
      </c>
      <c r="AL39" s="111" t="s">
        <v>35</v>
      </c>
      <c r="AM39" s="33"/>
      <c r="AN39" s="109" t="s">
        <v>36</v>
      </c>
      <c r="AO39" s="109" t="s">
        <v>37</v>
      </c>
      <c r="AP39" s="109" t="s">
        <v>38</v>
      </c>
      <c r="AQ39" s="109" t="s">
        <v>13</v>
      </c>
      <c r="AR39" s="111" t="s">
        <v>35</v>
      </c>
      <c r="AS39" s="33"/>
      <c r="AT39" s="109" t="s">
        <v>36</v>
      </c>
      <c r="AU39" s="109" t="s">
        <v>37</v>
      </c>
      <c r="AV39" s="109" t="s">
        <v>38</v>
      </c>
      <c r="AW39" s="109" t="s">
        <v>13</v>
      </c>
      <c r="AX39" s="111" t="s">
        <v>35</v>
      </c>
      <c r="AY39" s="33"/>
      <c r="AZ39" s="109" t="s">
        <v>36</v>
      </c>
      <c r="BA39" s="109" t="s">
        <v>37</v>
      </c>
      <c r="BB39" s="109" t="s">
        <v>38</v>
      </c>
      <c r="BC39" s="109" t="s">
        <v>13</v>
      </c>
      <c r="BD39" s="111" t="s">
        <v>35</v>
      </c>
      <c r="BE39" s="33"/>
      <c r="BF39" s="109" t="s">
        <v>36</v>
      </c>
      <c r="BG39" s="109" t="s">
        <v>37</v>
      </c>
      <c r="BH39" s="109" t="s">
        <v>38</v>
      </c>
      <c r="BI39" s="109" t="s">
        <v>13</v>
      </c>
      <c r="BJ39" s="111" t="s">
        <v>35</v>
      </c>
      <c r="BK39" s="33"/>
      <c r="BL39" s="109" t="s">
        <v>36</v>
      </c>
      <c r="BM39" s="109" t="s">
        <v>37</v>
      </c>
      <c r="BN39" s="109" t="s">
        <v>38</v>
      </c>
      <c r="BO39" s="109" t="s">
        <v>13</v>
      </c>
    </row>
    <row r="40" spans="1:67" ht="12.75" customHeight="1">
      <c r="A40" s="133" t="s">
        <v>0</v>
      </c>
      <c r="B40" s="181">
        <f>COUNT(B4:B7)</f>
        <v>0</v>
      </c>
      <c r="C40" s="33"/>
      <c r="D40" s="90">
        <f>MAX(F4:F7)</f>
        <v>0</v>
      </c>
      <c r="E40" s="90">
        <f>MIN(F4:F7)</f>
        <v>0</v>
      </c>
      <c r="F40" s="90">
        <f>SUM(F4:F7)</f>
        <v>0</v>
      </c>
      <c r="G40" s="10">
        <f>SUM(G4:G7)</f>
        <v>0</v>
      </c>
      <c r="H40" s="33">
        <f>COUNT(H4:H7)</f>
        <v>0</v>
      </c>
      <c r="I40" s="33"/>
      <c r="J40" s="90">
        <f>MAX(L4:L7)</f>
        <v>0</v>
      </c>
      <c r="K40" s="90">
        <f>MIN(L4:L7)</f>
        <v>0</v>
      </c>
      <c r="L40" s="90">
        <f>SUM(L4:L7)</f>
        <v>0</v>
      </c>
      <c r="M40" s="10">
        <f>SUM(M4:M7)</f>
        <v>0</v>
      </c>
      <c r="N40" s="33">
        <f>COUNT(N4:N7)</f>
        <v>0</v>
      </c>
      <c r="O40" s="33"/>
      <c r="P40" s="90">
        <f>MAX(R4:R7)</f>
        <v>0</v>
      </c>
      <c r="Q40" s="90">
        <f>MIN(R4:R7)</f>
        <v>0</v>
      </c>
      <c r="R40" s="90">
        <f>SUM(R4:R7)</f>
        <v>0</v>
      </c>
      <c r="S40" s="10">
        <f>SUM(S4:S7)</f>
        <v>0</v>
      </c>
      <c r="T40" s="33">
        <f>COUNT(T4:T7)</f>
        <v>0</v>
      </c>
      <c r="U40" s="33"/>
      <c r="V40" s="90">
        <f>MAX(X4:X7)</f>
        <v>0</v>
      </c>
      <c r="W40" s="90">
        <f>MIN(X4:X7)</f>
        <v>0</v>
      </c>
      <c r="X40" s="90">
        <f>SUM(X4:X7)</f>
        <v>0</v>
      </c>
      <c r="Y40" s="10">
        <f>SUM(Y4:Y7)</f>
        <v>0</v>
      </c>
      <c r="Z40" s="33">
        <f>COUNT(Z4:Z7)</f>
        <v>0</v>
      </c>
      <c r="AA40" s="33"/>
      <c r="AB40" s="90">
        <f>MAX(AD4:AD7)</f>
        <v>0</v>
      </c>
      <c r="AC40" s="90">
        <f>MIN(AD4:AD7)</f>
        <v>0</v>
      </c>
      <c r="AD40" s="90">
        <f>SUM(AD4:AD7)</f>
        <v>0</v>
      </c>
      <c r="AE40" s="10">
        <f>SUM(AE4:AE7)</f>
        <v>0</v>
      </c>
      <c r="AF40" s="33">
        <f>COUNT(AF4:AF7)</f>
        <v>0</v>
      </c>
      <c r="AG40" s="33"/>
      <c r="AH40" s="90">
        <f>MAX(AJ4:AJ7)</f>
        <v>0</v>
      </c>
      <c r="AI40" s="90">
        <f>MIN(AJ4:AJ7)</f>
        <v>0</v>
      </c>
      <c r="AJ40" s="90">
        <f>SUM(AJ4:AJ7)</f>
        <v>0</v>
      </c>
      <c r="AK40" s="10">
        <f>SUM(AK4:AK7)</f>
        <v>0</v>
      </c>
      <c r="AL40" s="33">
        <f>COUNT(AL4:AL7)</f>
        <v>0</v>
      </c>
      <c r="AM40" s="33"/>
      <c r="AN40" s="90">
        <f>MAX(AP4:AP7)</f>
        <v>0</v>
      </c>
      <c r="AO40" s="90">
        <f>MIN(AP4:AP7)</f>
        <v>0</v>
      </c>
      <c r="AP40" s="90">
        <f>SUM(AP4:AP7)</f>
        <v>0</v>
      </c>
      <c r="AQ40" s="10">
        <f>SUM(AQ4:AQ7)</f>
        <v>0</v>
      </c>
      <c r="AR40" s="33">
        <f>COUNT(AR4:AR7)</f>
        <v>0</v>
      </c>
      <c r="AS40" s="33"/>
      <c r="AT40" s="90">
        <f>MAX(AV4:AV7)</f>
        <v>0</v>
      </c>
      <c r="AU40" s="90">
        <f>MIN(AV4:AV7)</f>
        <v>0</v>
      </c>
      <c r="AV40" s="90">
        <f>SUM(AV4:AV7)</f>
        <v>0</v>
      </c>
      <c r="AW40" s="10">
        <f>SUM(AW4:AW7)</f>
        <v>0</v>
      </c>
      <c r="AX40" s="33">
        <f>COUNT(AX4:AX7)</f>
        <v>0</v>
      </c>
      <c r="AY40" s="33"/>
      <c r="AZ40" s="90">
        <f>MAX(BB4:BB7)</f>
        <v>0</v>
      </c>
      <c r="BA40" s="90">
        <f>MIN(BB4:BB7)</f>
        <v>0</v>
      </c>
      <c r="BB40" s="90">
        <f>SUM(BB4:BB7)</f>
        <v>0</v>
      </c>
      <c r="BC40" s="10">
        <f>SUM(BC4:BC7)</f>
        <v>0</v>
      </c>
      <c r="BD40" s="33">
        <f>COUNT(BD4:BD7)</f>
        <v>0</v>
      </c>
      <c r="BE40" s="33"/>
      <c r="BF40" s="90">
        <f>MAX(BH4:BH7)</f>
        <v>0</v>
      </c>
      <c r="BG40" s="90">
        <f>MIN(BH4:BH7)</f>
        <v>0</v>
      </c>
      <c r="BH40" s="90">
        <f>SUM(BH4:BH7)</f>
        <v>0</v>
      </c>
      <c r="BI40" s="10">
        <f>SUM(BI4:BI7)</f>
        <v>0</v>
      </c>
      <c r="BJ40" s="33">
        <f>COUNT(BJ4:BJ7)</f>
        <v>0</v>
      </c>
      <c r="BK40" s="33"/>
      <c r="BL40" s="90">
        <f>MAX(BN4:BN7)</f>
        <v>0</v>
      </c>
      <c r="BM40" s="90">
        <f>MIN(BN4:BN7)</f>
        <v>0</v>
      </c>
      <c r="BN40" s="90">
        <f>SUM(BN4:BN7)</f>
        <v>0</v>
      </c>
      <c r="BO40" s="10">
        <f>SUM(BO4:BO7)</f>
        <v>0</v>
      </c>
    </row>
    <row r="41" spans="1:67" ht="12.75" customHeight="1">
      <c r="A41" s="133" t="s">
        <v>2</v>
      </c>
      <c r="B41" s="181">
        <f>COUNT(B9:B16)</f>
        <v>0</v>
      </c>
      <c r="C41" s="33"/>
      <c r="D41" s="90">
        <f>MAX(F9:F16)</f>
        <v>0</v>
      </c>
      <c r="E41" s="90">
        <f>MIN(F9:F16)</f>
        <v>0</v>
      </c>
      <c r="F41" s="90">
        <f>SUM(F9:F16)</f>
        <v>0</v>
      </c>
      <c r="G41" s="10">
        <f>SUM(G9:G16)</f>
        <v>0</v>
      </c>
      <c r="H41" s="33">
        <f>COUNT(H9:H16)</f>
        <v>0</v>
      </c>
      <c r="I41" s="33"/>
      <c r="J41" s="90">
        <f>MAX(L9:L16)</f>
        <v>0</v>
      </c>
      <c r="K41" s="90">
        <f>MIN(L9:L16)</f>
        <v>0</v>
      </c>
      <c r="L41" s="90">
        <f>SUM(L9:L16)</f>
        <v>0</v>
      </c>
      <c r="M41" s="10">
        <f>SUM(M9:M16)</f>
        <v>0</v>
      </c>
      <c r="N41" s="33">
        <f>COUNT(N9:N16)</f>
        <v>0</v>
      </c>
      <c r="O41" s="33"/>
      <c r="P41" s="90">
        <f>MAX(R9:R16)</f>
        <v>0</v>
      </c>
      <c r="Q41" s="90">
        <f>MIN(R9:R16)</f>
        <v>0</v>
      </c>
      <c r="R41" s="90">
        <f>SUM(R9:R16)</f>
        <v>0</v>
      </c>
      <c r="S41" s="10">
        <f>SUM(S9:S16)</f>
        <v>0</v>
      </c>
      <c r="T41" s="33">
        <f>COUNT(T9:T16)</f>
        <v>0</v>
      </c>
      <c r="U41" s="33"/>
      <c r="V41" s="90">
        <f>MAX(X9:X16)</f>
        <v>0</v>
      </c>
      <c r="W41" s="90">
        <f>MIN(X9:X16)</f>
        <v>0</v>
      </c>
      <c r="X41" s="90">
        <f>SUM(X9:X16)</f>
        <v>0</v>
      </c>
      <c r="Y41" s="10">
        <f>SUM(Y9:Y16)</f>
        <v>0</v>
      </c>
      <c r="Z41" s="33">
        <f>COUNT(Z9:Z16)</f>
        <v>0</v>
      </c>
      <c r="AA41" s="33"/>
      <c r="AB41" s="90">
        <f>MAX(AD9:AD16)</f>
        <v>0</v>
      </c>
      <c r="AC41" s="90">
        <f>MIN(AD9:AD16)</f>
        <v>0</v>
      </c>
      <c r="AD41" s="90">
        <f>SUM(AD9:AD16)</f>
        <v>0</v>
      </c>
      <c r="AE41" s="10">
        <f>SUM(AE9:AE16)</f>
        <v>0</v>
      </c>
      <c r="AF41" s="33">
        <f>COUNT(AF9:AF16)</f>
        <v>0</v>
      </c>
      <c r="AG41" s="33"/>
      <c r="AH41" s="90">
        <f>MAX(AJ9:AJ16)</f>
        <v>0</v>
      </c>
      <c r="AI41" s="90">
        <f>MIN(AJ9:AJ16)</f>
        <v>0</v>
      </c>
      <c r="AJ41" s="90">
        <f>SUM(AJ9:AJ16)</f>
        <v>0</v>
      </c>
      <c r="AK41" s="10">
        <f>SUM(AK9:AK16)</f>
        <v>0</v>
      </c>
      <c r="AL41" s="33">
        <f>COUNT(AL9:AL16)</f>
        <v>0</v>
      </c>
      <c r="AM41" s="33"/>
      <c r="AN41" s="90">
        <f>MAX(AP9:AP16)</f>
        <v>0</v>
      </c>
      <c r="AO41" s="90">
        <f>MIN(AP9:AP16)</f>
        <v>0</v>
      </c>
      <c r="AP41" s="90">
        <f>SUM(AP9:AP16)</f>
        <v>0</v>
      </c>
      <c r="AQ41" s="10">
        <f>SUM(AQ9:AQ16)</f>
        <v>0</v>
      </c>
      <c r="AR41" s="33">
        <f>COUNT(AR9:AR16)</f>
        <v>0</v>
      </c>
      <c r="AS41" s="33"/>
      <c r="AT41" s="90">
        <f>MAX(AV9:AV16)</f>
        <v>0</v>
      </c>
      <c r="AU41" s="90">
        <f>MIN(AV9:AV16)</f>
        <v>0</v>
      </c>
      <c r="AV41" s="90">
        <f>SUM(AV9:AV16)</f>
        <v>0</v>
      </c>
      <c r="AW41" s="10">
        <f>SUM(AW9:AW16)</f>
        <v>0</v>
      </c>
      <c r="AX41" s="33">
        <f>COUNT(AX9:AX16)</f>
        <v>0</v>
      </c>
      <c r="AY41" s="33"/>
      <c r="AZ41" s="90">
        <f>MAX(BB9:BB16)</f>
        <v>0</v>
      </c>
      <c r="BA41" s="90">
        <f>MIN(BB9:BB16)</f>
        <v>0</v>
      </c>
      <c r="BB41" s="90">
        <f>SUM(BB9:BB16)</f>
        <v>0</v>
      </c>
      <c r="BC41" s="10">
        <f>SUM(BC9:BC16)</f>
        <v>0</v>
      </c>
      <c r="BD41" s="33">
        <f>COUNT(BD9:BD16)</f>
        <v>0</v>
      </c>
      <c r="BE41" s="33"/>
      <c r="BF41" s="90">
        <f>MAX(BH9:BH16)</f>
        <v>0</v>
      </c>
      <c r="BG41" s="90">
        <f>MIN(BH9:BH16)</f>
        <v>0</v>
      </c>
      <c r="BH41" s="90">
        <f>SUM(BH9:BH16)</f>
        <v>0</v>
      </c>
      <c r="BI41" s="10">
        <f>SUM(BI9:BI16)</f>
        <v>0</v>
      </c>
      <c r="BJ41" s="33">
        <f>COUNT(BJ9:BJ16)</f>
        <v>0</v>
      </c>
      <c r="BK41" s="33"/>
      <c r="BL41" s="90">
        <f>MAX(BN9:BN16)</f>
        <v>0</v>
      </c>
      <c r="BM41" s="90">
        <f>MIN(BN9:BN16)</f>
        <v>0</v>
      </c>
      <c r="BN41" s="90">
        <f>SUM(BN9:BN16)</f>
        <v>0</v>
      </c>
      <c r="BO41" s="10">
        <f>SUM(BO9:BO16)</f>
        <v>0</v>
      </c>
    </row>
    <row r="42" spans="1:67" ht="12.75" customHeight="1">
      <c r="A42" s="133" t="s">
        <v>3</v>
      </c>
      <c r="B42" s="181">
        <f>COUNT(B18:B25)</f>
        <v>0</v>
      </c>
      <c r="C42" s="33"/>
      <c r="D42" s="90">
        <f>MAX(F18:F25)</f>
        <v>0</v>
      </c>
      <c r="E42" s="90">
        <f>MIN(F18:F25)</f>
        <v>0</v>
      </c>
      <c r="F42" s="90">
        <f>SUM(F18:F25)</f>
        <v>0</v>
      </c>
      <c r="G42" s="10">
        <f>SUM(G18:G25)</f>
        <v>0</v>
      </c>
      <c r="H42" s="33">
        <f>COUNT(H18:H25)</f>
        <v>0</v>
      </c>
      <c r="I42" s="33"/>
      <c r="J42" s="90">
        <f>MAX(L18:L25)</f>
        <v>0</v>
      </c>
      <c r="K42" s="90">
        <f>MIN(L18:L25)</f>
        <v>0</v>
      </c>
      <c r="L42" s="90">
        <f>SUM(L18:L25)</f>
        <v>0</v>
      </c>
      <c r="M42" s="10">
        <f>SUM(M18:M25)</f>
        <v>0</v>
      </c>
      <c r="N42" s="33">
        <f>COUNT(N18:N25)</f>
        <v>0</v>
      </c>
      <c r="O42" s="33"/>
      <c r="P42" s="90">
        <f>MAX(R18:R25)</f>
        <v>0</v>
      </c>
      <c r="Q42" s="90">
        <f>MIN(R18:R25)</f>
        <v>0</v>
      </c>
      <c r="R42" s="90">
        <f>SUM(R18:R25)</f>
        <v>0</v>
      </c>
      <c r="S42" s="10">
        <f>SUM(S18:S25)</f>
        <v>0</v>
      </c>
      <c r="T42" s="33">
        <f>COUNT(T18:T25)</f>
        <v>0</v>
      </c>
      <c r="U42" s="33"/>
      <c r="V42" s="90">
        <f>MAX(X18:X25)</f>
        <v>0</v>
      </c>
      <c r="W42" s="90">
        <f>MIN(X18:X25)</f>
        <v>0</v>
      </c>
      <c r="X42" s="90">
        <f>SUM(X18:X25)</f>
        <v>0</v>
      </c>
      <c r="Y42" s="10">
        <f>SUM(Y18:Y25)</f>
        <v>0</v>
      </c>
      <c r="Z42" s="33">
        <f>COUNT(Z18:Z25)</f>
        <v>0</v>
      </c>
      <c r="AA42" s="33"/>
      <c r="AB42" s="90">
        <f>MAX(AD18:AD25)</f>
        <v>0</v>
      </c>
      <c r="AC42" s="90">
        <f>MIN(AD18:AD25)</f>
        <v>0</v>
      </c>
      <c r="AD42" s="90">
        <f>SUM(AD18:AD25)</f>
        <v>0</v>
      </c>
      <c r="AE42" s="10">
        <f>SUM(AE18:AE25)</f>
        <v>0</v>
      </c>
      <c r="AF42" s="33">
        <f>COUNT(AF18:AF25)</f>
        <v>0</v>
      </c>
      <c r="AG42" s="33"/>
      <c r="AH42" s="90">
        <f>MAX(AJ18:AJ25)</f>
        <v>0</v>
      </c>
      <c r="AI42" s="90">
        <f>MIN(AJ18:AJ25)</f>
        <v>0</v>
      </c>
      <c r="AJ42" s="90">
        <f>SUM(AJ18:AJ25)</f>
        <v>0</v>
      </c>
      <c r="AK42" s="10">
        <f>SUM(AK18:AK25)</f>
        <v>0</v>
      </c>
      <c r="AL42" s="33">
        <f>COUNT(AL18:AL25)</f>
        <v>0</v>
      </c>
      <c r="AM42" s="33"/>
      <c r="AN42" s="90">
        <f>MAX(AP18:AP25)</f>
        <v>0</v>
      </c>
      <c r="AO42" s="90">
        <f>MIN(AP18:AP25)</f>
        <v>0</v>
      </c>
      <c r="AP42" s="90">
        <f>SUM(AP18:AP25)</f>
        <v>0</v>
      </c>
      <c r="AQ42" s="10">
        <f>SUM(AQ18:AQ25)</f>
        <v>0</v>
      </c>
      <c r="AR42" s="33">
        <f>COUNT(AR18:AR25)</f>
        <v>0</v>
      </c>
      <c r="AS42" s="33"/>
      <c r="AT42" s="90">
        <f>MAX(AV18:AV25)</f>
        <v>0</v>
      </c>
      <c r="AU42" s="90">
        <f>MIN(AV18:AV25)</f>
        <v>0</v>
      </c>
      <c r="AV42" s="90">
        <f>SUM(AV18:AV25)</f>
        <v>0</v>
      </c>
      <c r="AW42" s="10">
        <f>SUM(AW18:AW25)</f>
        <v>0</v>
      </c>
      <c r="AX42" s="33">
        <f>COUNT(AX18:AX25)</f>
        <v>0</v>
      </c>
      <c r="AY42" s="33"/>
      <c r="AZ42" s="90">
        <f>MAX(BB18:BB25)</f>
        <v>0</v>
      </c>
      <c r="BA42" s="90">
        <f>MIN(BB18:BB25)</f>
        <v>0</v>
      </c>
      <c r="BB42" s="90">
        <f>SUM(BB18:BB25)</f>
        <v>0</v>
      </c>
      <c r="BC42" s="10">
        <f>SUM(BC18:BC25)</f>
        <v>0</v>
      </c>
      <c r="BD42" s="33">
        <f>COUNT(BD18:BD25)</f>
        <v>0</v>
      </c>
      <c r="BE42" s="33"/>
      <c r="BF42" s="90">
        <f>MAX(BH18:BH25)</f>
        <v>0</v>
      </c>
      <c r="BG42" s="90">
        <f>MIN(BH18:BH25)</f>
        <v>0</v>
      </c>
      <c r="BH42" s="90">
        <f>SUM(BH18:BH25)</f>
        <v>0</v>
      </c>
      <c r="BI42" s="10">
        <f>SUM(BI18:BI25)</f>
        <v>0</v>
      </c>
      <c r="BJ42" s="33">
        <f>COUNT(BJ18:BJ25)</f>
        <v>0</v>
      </c>
      <c r="BK42" s="33"/>
      <c r="BL42" s="90">
        <f>MAX(BN18:BN25)</f>
        <v>0</v>
      </c>
      <c r="BM42" s="90">
        <f>MIN(BN18:BN25)</f>
        <v>0</v>
      </c>
      <c r="BN42" s="90">
        <f>SUM(BN18:BN25)</f>
        <v>0</v>
      </c>
      <c r="BO42" s="10">
        <f>SUM(BO18:BO25)</f>
        <v>0</v>
      </c>
    </row>
    <row r="43" spans="1:67" ht="12.75" customHeight="1">
      <c r="A43" s="133" t="s">
        <v>16</v>
      </c>
      <c r="B43" s="181">
        <f>COUNT(B27:B29)</f>
        <v>0</v>
      </c>
      <c r="C43" s="33"/>
      <c r="D43" s="90">
        <f>MAX(F27:F29)</f>
        <v>0</v>
      </c>
      <c r="E43" s="90">
        <f>MIN(F27:F29)</f>
        <v>0</v>
      </c>
      <c r="F43" s="90">
        <f>SUM(F27:F29)</f>
        <v>0</v>
      </c>
      <c r="G43" s="10">
        <f>SUM(G27:G29)</f>
        <v>0</v>
      </c>
      <c r="H43" s="33">
        <f>COUNT(H27:H29)</f>
        <v>0</v>
      </c>
      <c r="I43" s="33"/>
      <c r="J43" s="90">
        <f>MAX(L27:L29)</f>
        <v>0</v>
      </c>
      <c r="K43" s="90">
        <f>MIN(L27:L29)</f>
        <v>0</v>
      </c>
      <c r="L43" s="90">
        <f>SUM(L27:L29)</f>
        <v>0</v>
      </c>
      <c r="M43" s="10">
        <f>SUM(M27:M29)</f>
        <v>0</v>
      </c>
      <c r="N43" s="33">
        <f>COUNT(N27:N29)</f>
        <v>0</v>
      </c>
      <c r="O43" s="33"/>
      <c r="P43" s="90">
        <f>MAX(R27:R29)</f>
        <v>0</v>
      </c>
      <c r="Q43" s="90">
        <f>MIN(R27:R29)</f>
        <v>0</v>
      </c>
      <c r="R43" s="90">
        <f>SUM(R27:R29)</f>
        <v>0</v>
      </c>
      <c r="S43" s="10">
        <f>SUM(S27:S29)</f>
        <v>0</v>
      </c>
      <c r="T43" s="33">
        <f>COUNT(T27:T29)</f>
        <v>0</v>
      </c>
      <c r="U43" s="33"/>
      <c r="V43" s="90">
        <f>MAX(X27:X29)</f>
        <v>0</v>
      </c>
      <c r="W43" s="90">
        <f>MIN(X27:X29)</f>
        <v>0</v>
      </c>
      <c r="X43" s="90">
        <f>SUM(X27:X29)</f>
        <v>0</v>
      </c>
      <c r="Y43" s="10">
        <f>SUM(Y27:Y29)</f>
        <v>0</v>
      </c>
      <c r="Z43" s="33">
        <f>COUNT(Z27:Z29)</f>
        <v>0</v>
      </c>
      <c r="AA43" s="33"/>
      <c r="AB43" s="90">
        <f>MAX(AD27:AD29)</f>
        <v>0</v>
      </c>
      <c r="AC43" s="90">
        <f>MIN(AD27:AD29)</f>
        <v>0</v>
      </c>
      <c r="AD43" s="90">
        <f>SUM(AD27:AD29)</f>
        <v>0</v>
      </c>
      <c r="AE43" s="10">
        <f>SUM(AE27:AE29)</f>
        <v>0</v>
      </c>
      <c r="AF43" s="33">
        <f>COUNT(AF27:AF29)</f>
        <v>0</v>
      </c>
      <c r="AG43" s="33"/>
      <c r="AH43" s="90">
        <f>MAX(AJ27:AJ29)</f>
        <v>0</v>
      </c>
      <c r="AI43" s="90">
        <f>MIN(AJ27:AJ29)</f>
        <v>0</v>
      </c>
      <c r="AJ43" s="90">
        <f>SUM(AJ27:AJ29)</f>
        <v>0</v>
      </c>
      <c r="AK43" s="10">
        <f>SUM(AK27:AK29)</f>
        <v>0</v>
      </c>
      <c r="AL43" s="33">
        <f>COUNT(AL27:AL29)</f>
        <v>0</v>
      </c>
      <c r="AM43" s="33"/>
      <c r="AN43" s="90">
        <f>MAX(AP27:AP29)</f>
        <v>0</v>
      </c>
      <c r="AO43" s="90">
        <f>MIN(AP27:AP29)</f>
        <v>0</v>
      </c>
      <c r="AP43" s="90">
        <f>SUM(AP27:AP29)</f>
        <v>0</v>
      </c>
      <c r="AQ43" s="10">
        <f>SUM(AQ27:AQ29)</f>
        <v>0</v>
      </c>
      <c r="AR43" s="33">
        <f>COUNT(AR27:AR29)</f>
        <v>0</v>
      </c>
      <c r="AS43" s="33"/>
      <c r="AT43" s="90">
        <f>MAX(AV27:AV29)</f>
        <v>0</v>
      </c>
      <c r="AU43" s="90">
        <f>MIN(AV27:AV29)</f>
        <v>0</v>
      </c>
      <c r="AV43" s="90">
        <f>SUM(AV27:AV29)</f>
        <v>0</v>
      </c>
      <c r="AW43" s="10">
        <f>SUM(AW27:AW29)</f>
        <v>0</v>
      </c>
      <c r="AX43" s="33">
        <f>COUNT(AX27:AX29)</f>
        <v>0</v>
      </c>
      <c r="AY43" s="33"/>
      <c r="AZ43" s="90">
        <f>MAX(BB27:BB29)</f>
        <v>0</v>
      </c>
      <c r="BA43" s="90">
        <f>MIN(BB27:BB29)</f>
        <v>0</v>
      </c>
      <c r="BB43" s="90">
        <f>SUM(BB27:BB29)</f>
        <v>0</v>
      </c>
      <c r="BC43" s="10">
        <f>SUM(BC27:BC29)</f>
        <v>0</v>
      </c>
      <c r="BD43" s="33">
        <f>COUNT(BD27:BD29)</f>
        <v>0</v>
      </c>
      <c r="BE43" s="33"/>
      <c r="BF43" s="90">
        <f>MAX(BH27:BH29)</f>
        <v>0</v>
      </c>
      <c r="BG43" s="90">
        <f>MIN(BH27:BH29)</f>
        <v>0</v>
      </c>
      <c r="BH43" s="90">
        <f>SUM(BH27:BH29)</f>
        <v>0</v>
      </c>
      <c r="BI43" s="10">
        <f>SUM(BI27:BI29)</f>
        <v>0</v>
      </c>
      <c r="BJ43" s="33">
        <f>COUNT(BJ27:BJ29)</f>
        <v>0</v>
      </c>
      <c r="BK43" s="33"/>
      <c r="BL43" s="90">
        <f>MAX(BN27:BN29)</f>
        <v>0</v>
      </c>
      <c r="BM43" s="90">
        <f>MIN(BN27:BN29)</f>
        <v>0</v>
      </c>
      <c r="BN43" s="90">
        <f>SUM(BN27:BN29)</f>
        <v>0</v>
      </c>
      <c r="BO43" s="10">
        <f>SUM(BO27:BO29)</f>
        <v>0</v>
      </c>
    </row>
    <row r="44" spans="1:67" ht="12.75" customHeight="1">
      <c r="A44" s="133" t="s">
        <v>4</v>
      </c>
      <c r="B44" s="181">
        <f>COUNT(B31:B32)</f>
        <v>0</v>
      </c>
      <c r="C44" s="33"/>
      <c r="D44" s="90">
        <f>MAX(F31:F32)</f>
        <v>0</v>
      </c>
      <c r="E44" s="90">
        <f>MIN(F31:F32)</f>
        <v>0</v>
      </c>
      <c r="F44" s="90">
        <f>SUM(F31:F32)</f>
        <v>0</v>
      </c>
      <c r="G44" s="10">
        <f>SUM(G31:G32)</f>
        <v>0</v>
      </c>
      <c r="H44" s="33">
        <f>COUNT(H31:H32)</f>
        <v>0</v>
      </c>
      <c r="I44" s="33"/>
      <c r="J44" s="90">
        <f>MAX(L31:L32)</f>
        <v>0</v>
      </c>
      <c r="K44" s="90">
        <f>MIN(L31:L32)</f>
        <v>0</v>
      </c>
      <c r="L44" s="90">
        <f>SUM(L31:L32)</f>
        <v>0</v>
      </c>
      <c r="M44" s="10">
        <f>SUM(M31:M32)</f>
        <v>0</v>
      </c>
      <c r="N44" s="33">
        <f>COUNT(N31:N32)</f>
        <v>0</v>
      </c>
      <c r="O44" s="33"/>
      <c r="P44" s="90">
        <f>MAX(R31:R32)</f>
        <v>0</v>
      </c>
      <c r="Q44" s="90">
        <f>MIN(R31:R32)</f>
        <v>0</v>
      </c>
      <c r="R44" s="90">
        <f>SUM(R31:R32)</f>
        <v>0</v>
      </c>
      <c r="S44" s="10">
        <f>SUM(S31:S32)</f>
        <v>0</v>
      </c>
      <c r="T44" s="33">
        <f>COUNT(T31:T32)</f>
        <v>0</v>
      </c>
      <c r="U44" s="33"/>
      <c r="V44" s="90">
        <f>MAX(X31:X32)</f>
        <v>0</v>
      </c>
      <c r="W44" s="90">
        <f>MIN(X31:X32)</f>
        <v>0</v>
      </c>
      <c r="X44" s="90">
        <f>SUM(X31:X32)</f>
        <v>0</v>
      </c>
      <c r="Y44" s="10">
        <f>SUM(Y31:Y32)</f>
        <v>0</v>
      </c>
      <c r="Z44" s="33">
        <f>COUNT(Z31:Z32)</f>
        <v>0</v>
      </c>
      <c r="AA44" s="33"/>
      <c r="AB44" s="90">
        <f>MAX(AD31:AD32)</f>
        <v>0</v>
      </c>
      <c r="AC44" s="90">
        <f>MIN(AD31:AD32)</f>
        <v>0</v>
      </c>
      <c r="AD44" s="90">
        <f>SUM(AD31:AD32)</f>
        <v>0</v>
      </c>
      <c r="AE44" s="10">
        <f>SUM(AE31:AE32)</f>
        <v>0</v>
      </c>
      <c r="AF44" s="33">
        <f>COUNT(AF31:AF32)</f>
        <v>0</v>
      </c>
      <c r="AG44" s="33"/>
      <c r="AH44" s="90">
        <f>MAX(AJ31:AJ32)</f>
        <v>0</v>
      </c>
      <c r="AI44" s="90">
        <f>MIN(AJ31:AJ32)</f>
        <v>0</v>
      </c>
      <c r="AJ44" s="90">
        <f>SUM(AJ31:AJ32)</f>
        <v>0</v>
      </c>
      <c r="AK44" s="10">
        <f>SUM(AK31:AK32)</f>
        <v>0</v>
      </c>
      <c r="AL44" s="33">
        <f>COUNT(AL31:AL32)</f>
        <v>0</v>
      </c>
      <c r="AM44" s="33"/>
      <c r="AN44" s="90">
        <f>MAX(AP31:AP32)</f>
        <v>0</v>
      </c>
      <c r="AO44" s="90">
        <f>MIN(AP31:AP32)</f>
        <v>0</v>
      </c>
      <c r="AP44" s="90">
        <f>SUM(AP31:AP32)</f>
        <v>0</v>
      </c>
      <c r="AQ44" s="10">
        <f>SUM(AQ31:AQ32)</f>
        <v>0</v>
      </c>
      <c r="AR44" s="33">
        <f>COUNT(AR31:AR32)</f>
        <v>0</v>
      </c>
      <c r="AS44" s="33"/>
      <c r="AT44" s="90">
        <f>MAX(AV31:AV32)</f>
        <v>0</v>
      </c>
      <c r="AU44" s="90">
        <f>MIN(AV31:AV32)</f>
        <v>0</v>
      </c>
      <c r="AV44" s="90">
        <f>SUM(AV31:AV32)</f>
        <v>0</v>
      </c>
      <c r="AW44" s="10">
        <f>SUM(AW31:AW32)</f>
        <v>0</v>
      </c>
      <c r="AX44" s="33">
        <f>COUNT(AX31:AX32)</f>
        <v>0</v>
      </c>
      <c r="AY44" s="33"/>
      <c r="AZ44" s="90">
        <f>MAX(BB31:BB32)</f>
        <v>0</v>
      </c>
      <c r="BA44" s="90">
        <f>MIN(BB31:BB32)</f>
        <v>0</v>
      </c>
      <c r="BB44" s="90">
        <f>SUM(BB31:BB32)</f>
        <v>0</v>
      </c>
      <c r="BC44" s="10">
        <f>SUM(BC31:BC32)</f>
        <v>0</v>
      </c>
      <c r="BD44" s="33">
        <f>COUNT(BD31:BD32)</f>
        <v>0</v>
      </c>
      <c r="BE44" s="33"/>
      <c r="BF44" s="90">
        <f>MAX(BH31:BH32)</f>
        <v>0</v>
      </c>
      <c r="BG44" s="90">
        <f>MIN(BH31:BH32)</f>
        <v>0</v>
      </c>
      <c r="BH44" s="90">
        <f>SUM(BH31:BH32)</f>
        <v>0</v>
      </c>
      <c r="BI44" s="10">
        <f>SUM(BI31:BI32)</f>
        <v>0</v>
      </c>
      <c r="BJ44" s="33">
        <f>COUNT(BJ31:BJ32)</f>
        <v>0</v>
      </c>
      <c r="BK44" s="33"/>
      <c r="BL44" s="90">
        <f>MAX(BN31:BN32)</f>
        <v>0</v>
      </c>
      <c r="BM44" s="90">
        <f>MIN(BN31:BN32)</f>
        <v>0</v>
      </c>
      <c r="BN44" s="90">
        <f>SUM(BN31:BN32)</f>
        <v>0</v>
      </c>
      <c r="BO44" s="10">
        <f>SUM(BO31:BO32)</f>
        <v>0</v>
      </c>
    </row>
    <row r="45" spans="1:67" ht="12.75" customHeight="1">
      <c r="A45" s="133" t="s">
        <v>15</v>
      </c>
      <c r="B45" s="181">
        <f>COUNT(B34:B36)</f>
        <v>0</v>
      </c>
      <c r="C45" s="33"/>
      <c r="D45" s="90">
        <f>MAX(F34:F36)</f>
        <v>0</v>
      </c>
      <c r="E45" s="90">
        <f>MIN(F34:F36)</f>
        <v>0</v>
      </c>
      <c r="F45" s="90">
        <f>SUM(F34:F36)</f>
        <v>0</v>
      </c>
      <c r="G45" s="10">
        <f>SUM(G34:G36)</f>
        <v>0</v>
      </c>
      <c r="H45" s="33">
        <f>COUNT(H34:H36)</f>
        <v>0</v>
      </c>
      <c r="I45" s="33"/>
      <c r="J45" s="90">
        <f>MAX(L34:L36)</f>
        <v>0</v>
      </c>
      <c r="K45" s="90">
        <f>MIN(L34:L36)</f>
        <v>0</v>
      </c>
      <c r="L45" s="90">
        <f>SUM(L34:L36)</f>
        <v>0</v>
      </c>
      <c r="M45" s="10">
        <f>SUM(M34:M36)</f>
        <v>0</v>
      </c>
      <c r="N45" s="33">
        <f>COUNT(N34:N36)</f>
        <v>0</v>
      </c>
      <c r="O45" s="33"/>
      <c r="P45" s="90">
        <f>MAX(R34:R36)</f>
        <v>0</v>
      </c>
      <c r="Q45" s="90">
        <f>MIN(R34:R36)</f>
        <v>0</v>
      </c>
      <c r="R45" s="90">
        <f>SUM(R34:R36)</f>
        <v>0</v>
      </c>
      <c r="S45" s="10">
        <f>SUM(S34:S36)</f>
        <v>0</v>
      </c>
      <c r="T45" s="33">
        <f>COUNT(T34:T36)</f>
        <v>0</v>
      </c>
      <c r="U45" s="33"/>
      <c r="V45" s="90">
        <f>MAX(X34:X36)</f>
        <v>0</v>
      </c>
      <c r="W45" s="90">
        <f>MIN(X34:X36)</f>
        <v>0</v>
      </c>
      <c r="X45" s="90">
        <f>SUM(X34:X36)</f>
        <v>0</v>
      </c>
      <c r="Y45" s="10">
        <f>SUM(Y34:Y36)</f>
        <v>0</v>
      </c>
      <c r="Z45" s="33">
        <f>COUNT(Z34:Z36)</f>
        <v>0</v>
      </c>
      <c r="AA45" s="33"/>
      <c r="AB45" s="90">
        <f>MAX(AD34:AD36)</f>
        <v>0</v>
      </c>
      <c r="AC45" s="90">
        <f>MIN(AD34:AD36)</f>
        <v>0</v>
      </c>
      <c r="AD45" s="90">
        <f>SUM(AD34:AD36)</f>
        <v>0</v>
      </c>
      <c r="AE45" s="10">
        <f>SUM(AE34:AE36)</f>
        <v>0</v>
      </c>
      <c r="AF45" s="33">
        <f>COUNT(AF34:AF36)</f>
        <v>0</v>
      </c>
      <c r="AG45" s="33"/>
      <c r="AH45" s="90">
        <f>MAX(AJ34:AJ36)</f>
        <v>0</v>
      </c>
      <c r="AI45" s="90">
        <f>MIN(AJ34:AJ36)</f>
        <v>0</v>
      </c>
      <c r="AJ45" s="90">
        <f>SUM(AJ34:AJ36)</f>
        <v>0</v>
      </c>
      <c r="AK45" s="10">
        <f>SUM(AK34:AK36)</f>
        <v>0</v>
      </c>
      <c r="AL45" s="33">
        <f>COUNT(AL34:AL36)</f>
        <v>0</v>
      </c>
      <c r="AM45" s="33"/>
      <c r="AN45" s="90">
        <f>MAX(AP34:AP36)</f>
        <v>0</v>
      </c>
      <c r="AO45" s="90">
        <f>MIN(AP34:AP36)</f>
        <v>0</v>
      </c>
      <c r="AP45" s="90">
        <f>SUM(AP34:AP36)</f>
        <v>0</v>
      </c>
      <c r="AQ45" s="10">
        <f>SUM(AQ34:AQ36)</f>
        <v>0</v>
      </c>
      <c r="AR45" s="33">
        <f>COUNT(AR34:AR36)</f>
        <v>0</v>
      </c>
      <c r="AS45" s="33"/>
      <c r="AT45" s="90">
        <f>MAX(AV34:AV36)</f>
        <v>0</v>
      </c>
      <c r="AU45" s="90">
        <f>MIN(AV34:AV36)</f>
        <v>0</v>
      </c>
      <c r="AV45" s="90">
        <f>SUM(AV34:AV36)</f>
        <v>0</v>
      </c>
      <c r="AW45" s="10">
        <f>SUM(AW34:AW36)</f>
        <v>0</v>
      </c>
      <c r="AX45" s="33">
        <f>COUNT(AX34:AX36)</f>
        <v>0</v>
      </c>
      <c r="AY45" s="33"/>
      <c r="AZ45" s="90">
        <f>MAX(BB34:BB36)</f>
        <v>0</v>
      </c>
      <c r="BA45" s="90">
        <f>MIN(BB34:BB36)</f>
        <v>0</v>
      </c>
      <c r="BB45" s="90">
        <f>SUM(BB34:BB36)</f>
        <v>0</v>
      </c>
      <c r="BC45" s="10">
        <f>SUM(BC34:BC36)</f>
        <v>0</v>
      </c>
      <c r="BD45" s="33">
        <f>COUNT(BD34:BD36)</f>
        <v>0</v>
      </c>
      <c r="BE45" s="33"/>
      <c r="BF45" s="90">
        <f>MAX(BH34:BH36)</f>
        <v>0</v>
      </c>
      <c r="BG45" s="90">
        <f>MIN(BH34:BH36)</f>
        <v>0</v>
      </c>
      <c r="BH45" s="90">
        <f>SUM(BH34:BH36)</f>
        <v>0</v>
      </c>
      <c r="BI45" s="10">
        <f>SUM(BI34:BI36)</f>
        <v>0</v>
      </c>
      <c r="BJ45" s="33">
        <f>COUNT(BJ34:BJ36)</f>
        <v>0</v>
      </c>
      <c r="BK45" s="33"/>
      <c r="BL45" s="90">
        <f>MAX(BN34:BN36)</f>
        <v>0</v>
      </c>
      <c r="BM45" s="90">
        <f>MIN(BN34:BN36)</f>
        <v>0</v>
      </c>
      <c r="BN45" s="90">
        <f>SUM(BN34:BN36)</f>
        <v>0</v>
      </c>
      <c r="BO45" s="10">
        <f>SUM(BO34:BO36)</f>
        <v>0</v>
      </c>
    </row>
    <row r="46" spans="1:67" ht="12.75" customHeight="1">
      <c r="A46" s="133"/>
      <c r="B46" s="181"/>
      <c r="C46" s="33"/>
      <c r="D46" s="33"/>
      <c r="E46" s="33"/>
      <c r="F46" s="90"/>
      <c r="G46" s="10"/>
      <c r="H46" s="33"/>
      <c r="I46" s="33"/>
      <c r="J46" s="33"/>
      <c r="K46" s="33"/>
      <c r="L46" s="90"/>
      <c r="M46" s="10"/>
      <c r="N46" s="33"/>
      <c r="O46" s="33"/>
      <c r="P46" s="33"/>
      <c r="Q46" s="33"/>
      <c r="R46" s="90"/>
      <c r="S46" s="10"/>
      <c r="T46" s="33"/>
      <c r="U46" s="33"/>
      <c r="V46" s="33"/>
      <c r="W46" s="33"/>
      <c r="X46" s="90"/>
      <c r="Y46" s="10"/>
      <c r="Z46" s="33"/>
      <c r="AA46" s="33"/>
      <c r="AB46" s="33"/>
      <c r="AC46" s="33"/>
      <c r="AD46" s="90"/>
      <c r="AE46" s="10"/>
      <c r="AF46" s="33"/>
      <c r="AG46" s="33"/>
      <c r="AH46" s="33"/>
      <c r="AI46" s="33"/>
      <c r="AJ46" s="90"/>
      <c r="AK46" s="10"/>
      <c r="AL46" s="33"/>
      <c r="AM46" s="33"/>
      <c r="AN46" s="33"/>
      <c r="AO46" s="33"/>
      <c r="AP46" s="90"/>
      <c r="AQ46" s="10"/>
      <c r="AR46" s="33"/>
      <c r="AS46" s="33"/>
      <c r="AT46" s="33"/>
      <c r="AU46" s="33"/>
      <c r="AV46" s="90"/>
      <c r="AW46" s="10"/>
      <c r="AX46" s="33"/>
      <c r="AY46" s="33"/>
      <c r="AZ46" s="33"/>
      <c r="BA46" s="33"/>
      <c r="BB46" s="90"/>
      <c r="BC46" s="10"/>
      <c r="BD46" s="33"/>
      <c r="BE46" s="33"/>
      <c r="BF46" s="33"/>
      <c r="BG46" s="33"/>
      <c r="BH46" s="90"/>
      <c r="BI46" s="10"/>
      <c r="BJ46" s="33"/>
      <c r="BK46" s="33"/>
      <c r="BL46" s="33"/>
      <c r="BM46" s="33"/>
      <c r="BN46" s="90"/>
      <c r="BO46" s="10"/>
    </row>
    <row r="47" spans="1:67" ht="12.75" customHeight="1">
      <c r="A47" s="133" t="s">
        <v>20</v>
      </c>
      <c r="B47" s="181">
        <f>SUM(B40:B45)</f>
        <v>0</v>
      </c>
      <c r="C47" s="33"/>
      <c r="D47" s="90">
        <f>MAX(D40:D45)</f>
        <v>0</v>
      </c>
      <c r="E47" s="33"/>
      <c r="F47" s="90">
        <f>SUM(F40:F45)</f>
        <v>0</v>
      </c>
      <c r="G47" s="10">
        <f>SUM(G40:G45)</f>
        <v>0</v>
      </c>
      <c r="H47" s="33">
        <f>SUM(H40:H45)</f>
        <v>0</v>
      </c>
      <c r="I47" s="33"/>
      <c r="J47" s="90">
        <f>MAX(J40:J45)</f>
        <v>0</v>
      </c>
      <c r="K47" s="33"/>
      <c r="L47" s="90">
        <f>SUM(L40:L45)</f>
        <v>0</v>
      </c>
      <c r="M47" s="10">
        <f>SUM(M40:M45)</f>
        <v>0</v>
      </c>
      <c r="N47" s="33">
        <f>SUM(N40:N45)</f>
        <v>0</v>
      </c>
      <c r="O47" s="33"/>
      <c r="P47" s="90">
        <f>MAX(P40:P45)</f>
        <v>0</v>
      </c>
      <c r="Q47" s="33"/>
      <c r="R47" s="90">
        <f>SUM(R40:R45)</f>
        <v>0</v>
      </c>
      <c r="S47" s="10">
        <f>SUM(S40:S45)</f>
        <v>0</v>
      </c>
      <c r="T47" s="33">
        <f>SUM(T40:T45)</f>
        <v>0</v>
      </c>
      <c r="U47" s="33"/>
      <c r="V47" s="90">
        <f>MAX(V40:V45)</f>
        <v>0</v>
      </c>
      <c r="W47" s="33"/>
      <c r="X47" s="90">
        <f>SUM(X40:X45)</f>
        <v>0</v>
      </c>
      <c r="Y47" s="10">
        <f>SUM(Y40:Y45)</f>
        <v>0</v>
      </c>
      <c r="Z47" s="33">
        <f>SUM(Z40:Z45)</f>
        <v>0</v>
      </c>
      <c r="AA47" s="33"/>
      <c r="AB47" s="90">
        <f>MAX(AB40:AB45)</f>
        <v>0</v>
      </c>
      <c r="AC47" s="33"/>
      <c r="AD47" s="90">
        <f>SUM(AD40:AD45)</f>
        <v>0</v>
      </c>
      <c r="AE47" s="10">
        <f>SUM(AE40:AE45)</f>
        <v>0</v>
      </c>
      <c r="AF47" s="33">
        <f>SUM(AF40:AF45)</f>
        <v>0</v>
      </c>
      <c r="AG47" s="33"/>
      <c r="AH47" s="90">
        <f>MAX(AH40:AH45)</f>
        <v>0</v>
      </c>
      <c r="AI47" s="33"/>
      <c r="AJ47" s="90">
        <f>SUM(AJ40:AJ45)</f>
        <v>0</v>
      </c>
      <c r="AK47" s="10">
        <f>SUM(AK40:AK45)</f>
        <v>0</v>
      </c>
      <c r="AL47" s="33">
        <f>SUM(AL40:AL45)</f>
        <v>0</v>
      </c>
      <c r="AM47" s="33"/>
      <c r="AN47" s="90">
        <f>MAX(AN40:AN45)</f>
        <v>0</v>
      </c>
      <c r="AO47" s="33"/>
      <c r="AP47" s="90">
        <f>SUM(AP40:AP45)</f>
        <v>0</v>
      </c>
      <c r="AQ47" s="10">
        <f>SUM(AQ40:AQ45)</f>
        <v>0</v>
      </c>
      <c r="AR47" s="33">
        <f>SUM(AR40:AR45)</f>
        <v>0</v>
      </c>
      <c r="AS47" s="33"/>
      <c r="AT47" s="90">
        <f>MAX(AT40:AT45)</f>
        <v>0</v>
      </c>
      <c r="AU47" s="33"/>
      <c r="AV47" s="90">
        <f>SUM(AV40:AV45)</f>
        <v>0</v>
      </c>
      <c r="AW47" s="10">
        <f>SUM(AW40:AW45)</f>
        <v>0</v>
      </c>
      <c r="AX47" s="33">
        <f>SUM(AX40:AX45)</f>
        <v>0</v>
      </c>
      <c r="AY47" s="33"/>
      <c r="AZ47" s="90">
        <f>MAX(AZ40:AZ45)</f>
        <v>0</v>
      </c>
      <c r="BA47" s="33"/>
      <c r="BB47" s="90">
        <f>SUM(BB40:BB45)</f>
        <v>0</v>
      </c>
      <c r="BC47" s="10">
        <f>SUM(BC40:BC45)</f>
        <v>0</v>
      </c>
      <c r="BD47" s="33">
        <f>SUM(BD40:BD45)</f>
        <v>0</v>
      </c>
      <c r="BE47" s="33"/>
      <c r="BF47" s="90">
        <f>MAX(BF40:BF45)</f>
        <v>0</v>
      </c>
      <c r="BG47" s="33"/>
      <c r="BH47" s="90">
        <f>SUM(BH40:BH45)</f>
        <v>0</v>
      </c>
      <c r="BI47" s="10">
        <f>SUM(BI40:BI45)</f>
        <v>0</v>
      </c>
      <c r="BJ47" s="33">
        <f>SUM(BJ40:BJ45)</f>
        <v>0</v>
      </c>
      <c r="BK47" s="33"/>
      <c r="BL47" s="90">
        <f>MAX(BL40:BL45)</f>
        <v>0</v>
      </c>
      <c r="BM47" s="33"/>
      <c r="BN47" s="90">
        <f>SUM(BN40:BN45)</f>
        <v>0</v>
      </c>
      <c r="BO47" s="10">
        <f>SUM(BO40:BO45)</f>
        <v>0</v>
      </c>
    </row>
    <row r="48" spans="1:67" ht="12.75" customHeight="1">
      <c r="A48" s="133"/>
      <c r="B48" s="181"/>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row>
    <row r="49" spans="1:67" ht="12.75" customHeight="1">
      <c r="A49" s="133" t="s">
        <v>39</v>
      </c>
      <c r="B49" s="181">
        <f>Settings!$B$18-B47</f>
        <v>18</v>
      </c>
      <c r="C49" s="33"/>
      <c r="D49" s="33"/>
      <c r="E49" s="33"/>
      <c r="F49" s="33">
        <f>Settings!$F$30-F47</f>
        <v>200</v>
      </c>
      <c r="G49" s="33"/>
      <c r="H49" s="33">
        <f>Settings!$B$18-H47</f>
        <v>18</v>
      </c>
      <c r="I49" s="33"/>
      <c r="J49" s="33"/>
      <c r="K49" s="33"/>
      <c r="L49" s="33">
        <f>Settings!$F$30-L47</f>
        <v>200</v>
      </c>
      <c r="M49" s="33"/>
      <c r="N49" s="33">
        <f>Settings!$B$18-N47</f>
        <v>18</v>
      </c>
      <c r="O49" s="33"/>
      <c r="P49" s="33"/>
      <c r="Q49" s="33"/>
      <c r="R49" s="33">
        <f>Settings!$F$30-R47</f>
        <v>200</v>
      </c>
      <c r="S49" s="33"/>
      <c r="T49" s="33">
        <f>Settings!$B$18-T47</f>
        <v>18</v>
      </c>
      <c r="U49" s="33"/>
      <c r="V49" s="33"/>
      <c r="W49" s="33"/>
      <c r="X49" s="33">
        <f>Settings!$F$30-X47</f>
        <v>200</v>
      </c>
      <c r="Y49" s="33"/>
      <c r="Z49" s="33">
        <f>Settings!$B$18-Z47</f>
        <v>18</v>
      </c>
      <c r="AA49" s="33"/>
      <c r="AB49" s="33"/>
      <c r="AC49" s="33"/>
      <c r="AD49" s="33">
        <f>Settings!$F$30-AD47</f>
        <v>200</v>
      </c>
      <c r="AE49" s="33"/>
      <c r="AF49" s="33">
        <f>Settings!$B$18-AF47</f>
        <v>18</v>
      </c>
      <c r="AG49" s="33"/>
      <c r="AH49" s="33"/>
      <c r="AI49" s="33"/>
      <c r="AJ49" s="33">
        <f>Settings!$F$30-AJ47</f>
        <v>200</v>
      </c>
      <c r="AK49" s="33"/>
      <c r="AL49" s="33">
        <f>Settings!$B$18-AL47</f>
        <v>18</v>
      </c>
      <c r="AM49" s="33"/>
      <c r="AN49" s="33"/>
      <c r="AO49" s="33"/>
      <c r="AP49" s="33">
        <f>Settings!$F$30-AP47</f>
        <v>200</v>
      </c>
      <c r="AQ49" s="33"/>
      <c r="AR49" s="33">
        <f>Settings!$B$18-AR47</f>
        <v>18</v>
      </c>
      <c r="AS49" s="33"/>
      <c r="AT49" s="33"/>
      <c r="AU49" s="33"/>
      <c r="AV49" s="33">
        <f>Settings!$F$30-AV47</f>
        <v>200</v>
      </c>
      <c r="AW49" s="33"/>
      <c r="AX49" s="33">
        <f>Settings!$B$18-AX47</f>
        <v>18</v>
      </c>
      <c r="AY49" s="33"/>
      <c r="AZ49" s="33"/>
      <c r="BA49" s="33"/>
      <c r="BB49" s="33">
        <f>Settings!$F$30-BB47</f>
        <v>200</v>
      </c>
      <c r="BC49" s="33"/>
      <c r="BD49" s="33">
        <f>Settings!$B$18-BD47</f>
        <v>18</v>
      </c>
      <c r="BE49" s="33"/>
      <c r="BF49" s="33"/>
      <c r="BG49" s="33"/>
      <c r="BH49" s="33">
        <f>Settings!$F$30-BH47</f>
        <v>200</v>
      </c>
      <c r="BI49" s="33"/>
      <c r="BJ49" s="33">
        <f>Settings!$B$18-BJ47</f>
        <v>18</v>
      </c>
      <c r="BK49" s="33"/>
      <c r="BL49" s="33"/>
      <c r="BM49" s="33"/>
      <c r="BN49" s="33">
        <f>Settings!$F$30-BN47</f>
        <v>200</v>
      </c>
      <c r="BO49" s="33"/>
    </row>
    <row r="50" spans="1:67" ht="12.75" customHeight="1">
      <c r="A50" s="133"/>
      <c r="B50" s="181"/>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row>
    <row r="51" spans="1:67" ht="12.75" customHeight="1">
      <c r="A51" s="133" t="s">
        <v>40</v>
      </c>
      <c r="B51" s="181"/>
      <c r="C51" s="33"/>
      <c r="D51" s="33"/>
      <c r="E51" s="33"/>
      <c r="F51" s="33">
        <f>(Settings!$F$30-F47)-(B49-1)</f>
        <v>183</v>
      </c>
      <c r="G51" s="33"/>
      <c r="H51" s="33"/>
      <c r="I51" s="33"/>
      <c r="J51" s="33"/>
      <c r="K51" s="33"/>
      <c r="L51" s="33">
        <f>(Settings!$F$30-L47)-(H49-1)</f>
        <v>183</v>
      </c>
      <c r="M51" s="33"/>
      <c r="N51" s="33"/>
      <c r="O51" s="33"/>
      <c r="P51" s="33"/>
      <c r="Q51" s="33"/>
      <c r="R51" s="33">
        <f>(Settings!$F$30-R47)-(N49-1)</f>
        <v>183</v>
      </c>
      <c r="S51" s="33"/>
      <c r="T51" s="33"/>
      <c r="U51" s="33"/>
      <c r="V51" s="33"/>
      <c r="W51" s="33"/>
      <c r="X51" s="33">
        <f>(Settings!$F$30-X47)-(T49-1)</f>
        <v>183</v>
      </c>
      <c r="Y51" s="33"/>
      <c r="Z51" s="33"/>
      <c r="AA51" s="33"/>
      <c r="AB51" s="33"/>
      <c r="AC51" s="33"/>
      <c r="AD51" s="33">
        <f>(Settings!$F$30-AD47)-(Z49-1)</f>
        <v>183</v>
      </c>
      <c r="AE51" s="33"/>
      <c r="AF51" s="33"/>
      <c r="AG51" s="33"/>
      <c r="AH51" s="33"/>
      <c r="AI51" s="33"/>
      <c r="AJ51" s="33">
        <f>(Settings!$F$30-AJ47)-(AF49-1)</f>
        <v>183</v>
      </c>
      <c r="AK51" s="33"/>
      <c r="AL51" s="33"/>
      <c r="AM51" s="33"/>
      <c r="AN51" s="33"/>
      <c r="AO51" s="33"/>
      <c r="AP51" s="33">
        <f>(Settings!$F$30-AP47)-(AL49-1)</f>
        <v>183</v>
      </c>
      <c r="AQ51" s="33"/>
      <c r="AR51" s="33"/>
      <c r="AS51" s="33"/>
      <c r="AT51" s="33"/>
      <c r="AU51" s="33"/>
      <c r="AV51" s="33">
        <f>(Settings!$F$30-AV47)-(AR49-1)</f>
        <v>183</v>
      </c>
      <c r="AW51" s="33"/>
      <c r="AX51" s="33"/>
      <c r="AY51" s="33"/>
      <c r="AZ51" s="33"/>
      <c r="BA51" s="33"/>
      <c r="BB51" s="33">
        <f>(Settings!$F$30-BB47)-(AX49-1)</f>
        <v>183</v>
      </c>
      <c r="BC51" s="33"/>
      <c r="BD51" s="33"/>
      <c r="BE51" s="33"/>
      <c r="BF51" s="33"/>
      <c r="BG51" s="33"/>
      <c r="BH51" s="33">
        <f>(Settings!$F$30-BH47)-(BD49-1)</f>
        <v>183</v>
      </c>
      <c r="BI51" s="33"/>
      <c r="BJ51" s="33"/>
      <c r="BK51" s="33"/>
      <c r="BL51" s="33"/>
      <c r="BM51" s="33"/>
      <c r="BN51" s="33">
        <f>(Settings!$F$30-BN47)-(BJ49-1)</f>
        <v>183</v>
      </c>
      <c r="BO51" s="33"/>
    </row>
    <row r="52" spans="1:67" ht="12.75" customHeight="1">
      <c r="A52" s="133"/>
      <c r="B52" s="181"/>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row>
    <row r="53" spans="1:67" ht="12.75" customHeight="1">
      <c r="A53" s="133"/>
      <c r="B53" s="181"/>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row>
    <row r="54" spans="1:67" ht="12.75" customHeight="1">
      <c r="A54" s="133"/>
      <c r="B54" s="181"/>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row>
    <row r="55" spans="1:67" ht="12.75" customHeight="1">
      <c r="A55" s="133"/>
      <c r="B55" s="181"/>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row>
    <row r="56" spans="1:67" ht="12.75" customHeight="1">
      <c r="A56" s="133"/>
      <c r="B56" s="181"/>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row>
    <row r="57" spans="1:67" ht="12.75" customHeight="1">
      <c r="A57" s="133"/>
      <c r="B57" s="181"/>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row>
    <row r="58" spans="1:67" ht="12.75" customHeight="1">
      <c r="A58" s="133"/>
      <c r="B58" s="181"/>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row>
    <row r="59" spans="1:67" ht="12.75" customHeight="1">
      <c r="A59" s="133"/>
      <c r="B59" s="181"/>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row>
    <row r="60" spans="1:67" ht="12.75" customHeight="1">
      <c r="A60" s="133"/>
      <c r="B60" s="181"/>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row>
    <row r="61" spans="1:67" ht="12.75" customHeight="1">
      <c r="A61" s="133"/>
      <c r="B61" s="181"/>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row>
    <row r="62" spans="1:67" ht="12.75" customHeight="1">
      <c r="A62" s="133"/>
      <c r="B62" s="181"/>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row>
    <row r="63" spans="1:67" ht="12.75" customHeight="1">
      <c r="A63" s="133"/>
      <c r="B63" s="181"/>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row>
    <row r="64" spans="1:67" ht="12.75" customHeight="1">
      <c r="A64" s="133"/>
      <c r="B64" s="181"/>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row>
    <row r="65" spans="1:67" ht="12.75" customHeight="1">
      <c r="A65" s="133"/>
      <c r="B65" s="181"/>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row>
    <row r="66" spans="1:67" ht="12.75" customHeight="1">
      <c r="A66" s="133"/>
      <c r="B66" s="181"/>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row>
    <row r="67" spans="1:67" ht="12.75" customHeight="1">
      <c r="A67" s="133"/>
      <c r="B67" s="181"/>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row>
    <row r="68" spans="1:67" ht="12.75" customHeight="1">
      <c r="A68" s="133"/>
      <c r="B68" s="181"/>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row>
    <row r="69" spans="1:67" ht="12.75" customHeight="1">
      <c r="A69" s="133"/>
      <c r="B69" s="181"/>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row>
    <row r="70" spans="1:67" ht="12.75" customHeight="1">
      <c r="A70" s="133"/>
      <c r="B70" s="181"/>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row>
    <row r="71" spans="1:67" ht="12.75" customHeight="1">
      <c r="A71" s="133"/>
      <c r="B71" s="181"/>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row>
    <row r="72" spans="1:67" ht="12.75" customHeight="1">
      <c r="A72" s="133"/>
      <c r="B72" s="181"/>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row>
    <row r="73" spans="1:67" ht="12.75" customHeight="1">
      <c r="A73" s="133"/>
      <c r="B73" s="181"/>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row>
    <row r="74" spans="1:67" ht="12.75" customHeight="1">
      <c r="A74" s="133"/>
      <c r="B74" s="181"/>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row>
    <row r="75" spans="1:67" ht="12.75" customHeight="1">
      <c r="A75" s="133"/>
      <c r="B75" s="181"/>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row>
    <row r="76" spans="1:67" ht="12.75" customHeight="1">
      <c r="A76" s="133"/>
      <c r="B76" s="181"/>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row>
    <row r="77" spans="1:67" ht="12.75" customHeight="1">
      <c r="A77" s="133"/>
      <c r="B77" s="181"/>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row>
    <row r="78" spans="1:67" ht="12.75" customHeight="1">
      <c r="A78" s="133"/>
      <c r="B78" s="181"/>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row>
    <row r="79" spans="1:67" ht="12.75" customHeight="1">
      <c r="A79" s="133"/>
      <c r="B79" s="181"/>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row>
    <row r="80" spans="1:67" ht="12.75" customHeight="1">
      <c r="A80" s="133"/>
      <c r="B80" s="181"/>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row>
    <row r="81" spans="1:67" ht="12.75" customHeight="1">
      <c r="A81" s="133"/>
      <c r="B81" s="181"/>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row>
    <row r="82" spans="1:67" ht="12.75" customHeight="1">
      <c r="A82" s="133"/>
      <c r="B82" s="181"/>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row>
    <row r="83" spans="1:67" ht="12.75" customHeight="1">
      <c r="A83" s="133"/>
      <c r="B83" s="181"/>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row>
    <row r="84" spans="1:67" ht="12.75" customHeight="1">
      <c r="A84" s="133"/>
      <c r="B84" s="181"/>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row>
    <row r="85" spans="1:67" ht="12.75" customHeight="1">
      <c r="A85" s="133"/>
      <c r="B85" s="181"/>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row>
    <row r="86" spans="1:67" ht="12.75" customHeight="1">
      <c r="A86" s="133"/>
      <c r="B86" s="181"/>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row>
    <row r="87" spans="1:67" ht="12.75" customHeight="1">
      <c r="A87" s="133"/>
      <c r="B87" s="181"/>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row>
    <row r="88" spans="1:67" ht="12.75" customHeight="1">
      <c r="A88" s="133"/>
      <c r="B88" s="181"/>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row>
    <row r="89" spans="1:67" ht="12.75" customHeight="1">
      <c r="A89" s="133"/>
      <c r="B89" s="181"/>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row>
    <row r="90" spans="1:67" ht="12.75" customHeight="1">
      <c r="A90" s="133"/>
      <c r="B90" s="181"/>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row>
    <row r="91" spans="1:67" ht="12.75" customHeight="1">
      <c r="A91" s="133"/>
      <c r="B91" s="181"/>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row>
    <row r="92" spans="1:67" ht="12.75" customHeight="1">
      <c r="A92" s="133"/>
      <c r="B92" s="181"/>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row>
    <row r="93" spans="1:67" ht="12.75" customHeight="1">
      <c r="A93" s="133"/>
      <c r="B93" s="181"/>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row>
    <row r="94" spans="1:67" ht="12.75" customHeight="1">
      <c r="A94" s="133"/>
      <c r="B94" s="181"/>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row>
    <row r="95" spans="1:67" ht="12.75" customHeight="1">
      <c r="A95" s="133"/>
      <c r="B95" s="181"/>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row>
    <row r="96" spans="1:67" ht="12.75" customHeight="1">
      <c r="A96" s="133"/>
      <c r="B96" s="181"/>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row>
    <row r="97" spans="1:67" ht="12.75" customHeight="1">
      <c r="A97" s="133"/>
      <c r="B97" s="181"/>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row>
    <row r="98" spans="1:67" ht="12.75" customHeight="1">
      <c r="A98" s="133"/>
      <c r="B98" s="181"/>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row>
    <row r="99" spans="1:67" ht="12.75" customHeight="1">
      <c r="A99" s="133"/>
      <c r="B99" s="181"/>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row>
    <row r="100" spans="1:67" ht="12.75" customHeight="1">
      <c r="A100" s="133"/>
      <c r="B100" s="181"/>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row>
  </sheetData>
  <mergeCells count="11">
    <mergeCell ref="BJ1:BO1"/>
    <mergeCell ref="AF1:AK1"/>
    <mergeCell ref="AL1:AQ1"/>
    <mergeCell ref="AR1:AW1"/>
    <mergeCell ref="AX1:BC1"/>
    <mergeCell ref="BD1:BI1"/>
    <mergeCell ref="B1:G1"/>
    <mergeCell ref="H1:M1"/>
    <mergeCell ref="N1:S1"/>
    <mergeCell ref="T1:Y1"/>
    <mergeCell ref="Z1:AE1"/>
  </mergeCells>
  <conditionalFormatting sqref="G4 M4 S4 Y4 AE4 AK4 AQ4 AW4 BC4 BI4 BO4 G5 M5 S5 Y5 AE5 AK5 AQ5 AW5 BC5 BI5 BO5 G6 M6 S6 Y6 AE6 AK6 AQ6 AW6 BC6 BI6 BO6 G7 M7 S7 Y7 AE7 AK7 AQ7 AW7 BC7 BI7 BO7 G9 M9 S9 Y9 AE9 AK9 AQ9 AW9 BC9 BI9 BO9 G10 M10 S10 Y10 AE10 AK10 AQ10 AW10 BC10 BI10 BO10 G11 M11 S11 Y11 AE11 AK11 AQ11 AW11 BC11 BI11 BO11 G12 M12 S12 Y12 AE12 AK12 AQ12 AW12 BC12 BI12 BO12 G13 M13 S13 Y13 AE13 AK13 AQ13 AW13 BC13 BI13 BO13 G14 M14 S14 Y14 AE14 AK14 AQ14 AW14 BC14 BI14 BO14 G15 M15 S15 Y15 AE15 AK15 AQ15 AW15 BC15 BI15 BO15 G16 M16 S16 Y16 AE16 AK16 AQ16 AW16 BC16 BI16 BO16 G18 M18 S18 Y18 AE18 AK18 AQ18 AW18 BC18 BI18 BO18 G19 M19 S19 Y19 AE19 AK19 AQ19 AW19 BC19 BI19 BO19 G20 M20 S20 Y20 AE20 AK20 AQ20 AW20 BC20 BI20 BO20 G21 M21 S21 Y21 AE21 AK21 AQ21 AW21 BC21 BI21 BO21 G22 M22 S22 Y22 AE22 AK22 AQ22 AW22 BC22 BI22 BO22 G23 M23 S23 Y23 AE23 AK23 AQ23 AW23 BC23 BI23 BO23 G24 M24 S24 Y24 AE24 AK24 AQ24 AW24 BC24 BI24 BO24 G25 M25 S25 Y25 AE25 AK25 AQ25 AW25 BC25 BI25 BO25 G27 M27 S27 Y27 AE27 AK27 AQ27 AW27 BC27 BI27 BO27 G28 M28 S28 Y28 AE28 AK28 AQ28 AW28 BC28 BI28 BO28 G29 M29 S29 Y29 AE29 AK29 AQ29 AW29 BC29 BI29 BO29 G31 M31 S31 Y31 AE31 AK31 AQ31 AW31 BC31 BI31 BO31 G32 M32 S32 Y32 AE32 AK32 AQ32 AW32 BC32 BI32 BO32 G34 M34 S34 Y34 AE34 AK34 AQ34 AW34 BC34 BI34 BO34 G35 M35 S35 Y35 AE35 AK35 AQ35 AW35 BC35 BI35 BO35 G36 M36 S36 Y36 AE36 AK36 AQ36 AW36 BC36 BI36 BO36 G40 M40 S40 Y40 AE40 AK40 AQ40 AW40 BC40 BI40 BO40 G41 M41 S41 Y41 AE41 AK41 AQ41 AW41 BC41 BI41 BO41 G42 M42 S42 Y42 AE42 AK42 AQ42 AW42 BC42 BI42 BO42 G43 M43 S43 Y43 AE43 AK43 AQ43 AW43 BC43 BI43 BO43 G44 M44 S44 Y44 AE44 AK44 AQ44 AW44 BC44 BI44 BO44 G45 M45 S45 Y45 AE45 AK45 AQ45 AW45 BC45 BI45 BO45 G46 M46 S46 Y46 AE46 AK46 AQ46 AW46 BC46 BI46 BO46 G47 M47 S47 Y47 AE47 AK47 AQ47 AW47 BC47 BI47 BO47">
    <cfRule type="cellIs" dxfId="23" priority="1" stopIfTrue="1" operator="greaterThan">
      <formula>0</formula>
    </cfRule>
    <cfRule type="cellIs" dxfId="22" priority="2" stopIfTrue="1" operator="equal">
      <formula>0</formula>
    </cfRule>
    <cfRule type="cellIs" dxfId="21" priority="3" stopIfTrue="1" operator="lessThan">
      <formula>0</formula>
    </cfRule>
  </conditionalFormatting>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showGridLines="0" zoomScale="125" zoomScaleNormal="125" zoomScalePageLayoutView="125" workbookViewId="0">
      <pane xSplit="1" ySplit="1" topLeftCell="B2" activePane="bottomRight" state="frozen"/>
      <selection pane="topRight" activeCell="B1" sqref="B1"/>
      <selection pane="bottomLeft" activeCell="A2" sqref="A2"/>
      <selection pane="bottomRight" activeCell="B31" sqref="B31"/>
    </sheetView>
  </sheetViews>
  <sheetFormatPr baseColWidth="10" defaultColWidth="17.1640625" defaultRowHeight="12.75" customHeight="1" x14ac:dyDescent="0"/>
  <cols>
    <col min="1" max="1" width="12.1640625" customWidth="1"/>
    <col min="2" max="12" width="8.5" customWidth="1"/>
    <col min="13" max="13" width="2" customWidth="1"/>
    <col min="14" max="14" width="7" customWidth="1"/>
    <col min="15" max="15" width="2.5" customWidth="1"/>
    <col min="16" max="16" width="6.83203125" customWidth="1"/>
    <col min="17" max="17" width="5.1640625" customWidth="1"/>
    <col min="18" max="18" width="7.5" customWidth="1"/>
    <col min="19" max="19" width="4.1640625" customWidth="1"/>
    <col min="20" max="20" width="1.1640625" customWidth="1"/>
    <col min="21" max="21" width="3.5" customWidth="1"/>
    <col min="22" max="22" width="6.6640625" customWidth="1"/>
    <col min="23" max="23" width="4.1640625" customWidth="1"/>
    <col min="24" max="24" width="1.33203125" customWidth="1"/>
    <col min="25" max="25" width="4.33203125" customWidth="1"/>
  </cols>
  <sheetData>
    <row r="1" spans="1:25" ht="12.75" customHeight="1">
      <c r="A1" s="133"/>
      <c r="B1" s="207" t="s">
        <v>41</v>
      </c>
      <c r="C1" s="207" t="s">
        <v>42</v>
      </c>
      <c r="D1" s="207" t="s">
        <v>43</v>
      </c>
      <c r="E1" s="207" t="s">
        <v>44</v>
      </c>
      <c r="F1" s="207" t="s">
        <v>45</v>
      </c>
      <c r="G1" s="207" t="s">
        <v>46</v>
      </c>
      <c r="H1" s="207" t="s">
        <v>47</v>
      </c>
      <c r="I1" s="207" t="s">
        <v>48</v>
      </c>
      <c r="J1" s="207" t="s">
        <v>49</v>
      </c>
      <c r="K1" s="207" t="s">
        <v>50</v>
      </c>
      <c r="L1" s="207" t="s">
        <v>51</v>
      </c>
      <c r="M1" s="133"/>
      <c r="N1" s="207" t="s">
        <v>52</v>
      </c>
      <c r="O1" s="133"/>
      <c r="P1" s="88" t="s">
        <v>53</v>
      </c>
      <c r="Q1" s="207" t="s">
        <v>54</v>
      </c>
      <c r="R1" s="88" t="s">
        <v>55</v>
      </c>
      <c r="S1" s="207" t="s">
        <v>54</v>
      </c>
      <c r="T1" s="88" t="s">
        <v>35</v>
      </c>
      <c r="U1" s="207" t="s">
        <v>56</v>
      </c>
      <c r="V1" s="88" t="s">
        <v>57</v>
      </c>
      <c r="W1" s="207" t="s">
        <v>54</v>
      </c>
      <c r="X1" s="88" t="s">
        <v>35</v>
      </c>
      <c r="Y1" s="207" t="s">
        <v>56</v>
      </c>
    </row>
    <row r="2" spans="1:25" ht="12.75" customHeight="1">
      <c r="A2" s="147" t="s">
        <v>58</v>
      </c>
      <c r="B2" s="33"/>
      <c r="C2" s="33"/>
      <c r="D2" s="33"/>
      <c r="E2" s="33"/>
      <c r="F2" s="33"/>
      <c r="G2" s="33"/>
      <c r="H2" s="33"/>
      <c r="I2" s="33"/>
      <c r="J2" s="33"/>
      <c r="K2" s="33"/>
      <c r="L2" s="33"/>
      <c r="M2" s="33"/>
      <c r="N2" s="181"/>
      <c r="O2" s="33"/>
      <c r="P2" s="121"/>
      <c r="Q2" s="33"/>
      <c r="R2" s="121"/>
      <c r="S2" s="33"/>
      <c r="T2" s="33"/>
      <c r="U2" s="33"/>
      <c r="V2" s="121"/>
      <c r="W2" s="33"/>
      <c r="X2" s="33"/>
    </row>
    <row r="3" spans="1:25" ht="12.75" customHeight="1">
      <c r="A3" s="181" t="s">
        <v>0</v>
      </c>
      <c r="B3" s="33">
        <f>'Draft Board'!F40</f>
        <v>0</v>
      </c>
      <c r="C3" s="33">
        <f>'Draft Board'!L40</f>
        <v>0</v>
      </c>
      <c r="D3" s="33">
        <f>'Draft Board'!R40</f>
        <v>0</v>
      </c>
      <c r="E3" s="33">
        <f>'Draft Board'!X40</f>
        <v>0</v>
      </c>
      <c r="F3" s="33">
        <f>'Draft Board'!AD40</f>
        <v>0</v>
      </c>
      <c r="G3" s="33">
        <f>'Draft Board'!AJ40</f>
        <v>0</v>
      </c>
      <c r="H3" s="33">
        <f>'Draft Board'!AP40</f>
        <v>0</v>
      </c>
      <c r="I3" s="33">
        <f>'Draft Board'!AV40</f>
        <v>0</v>
      </c>
      <c r="J3" s="33">
        <f>'Draft Board'!BB40</f>
        <v>0</v>
      </c>
      <c r="K3" s="33">
        <f>'Draft Board'!BH40</f>
        <v>0</v>
      </c>
      <c r="L3" s="33">
        <f>'Draft Board'!BN40</f>
        <v>0</v>
      </c>
      <c r="M3" s="33"/>
      <c r="N3" s="181">
        <f t="shared" ref="N3:N9" si="0">SUM(B3:L3)</f>
        <v>0</v>
      </c>
      <c r="O3" s="64"/>
      <c r="P3" s="212">
        <v>60</v>
      </c>
      <c r="Q3" s="127">
        <f t="shared" ref="Q3:Q8" si="1">I3-P3</f>
        <v>-60</v>
      </c>
      <c r="R3" s="212">
        <v>57</v>
      </c>
      <c r="S3" s="114">
        <f>'Draft Board'!AV4-R3</f>
        <v>-57</v>
      </c>
      <c r="T3" s="190">
        <v>2</v>
      </c>
      <c r="U3" s="71">
        <f t="shared" ref="U3:U8" si="2">ROUNDDOWN((R3/T3),0)</f>
        <v>28</v>
      </c>
      <c r="V3" s="148">
        <f t="shared" ref="V3:V8" si="3">P3-R3</f>
        <v>3</v>
      </c>
      <c r="W3" s="114">
        <f>SUM('Draft Board'!AV5:AV7)-V3</f>
        <v>-3</v>
      </c>
      <c r="X3" s="190">
        <v>1</v>
      </c>
      <c r="Y3" s="79">
        <f>ROUNDDOWN((V3/X3),0)</f>
        <v>3</v>
      </c>
    </row>
    <row r="4" spans="1:25" ht="12.75" customHeight="1">
      <c r="A4" s="181" t="s">
        <v>2</v>
      </c>
      <c r="B4" s="33">
        <f>'Draft Board'!F41</f>
        <v>0</v>
      </c>
      <c r="C4" s="33">
        <f>'Draft Board'!L41</f>
        <v>0</v>
      </c>
      <c r="D4" s="33">
        <f>'Draft Board'!R41</f>
        <v>0</v>
      </c>
      <c r="E4" s="33">
        <f>'Draft Board'!X41</f>
        <v>0</v>
      </c>
      <c r="F4" s="33">
        <f>'Draft Board'!AD41</f>
        <v>0</v>
      </c>
      <c r="G4" s="33">
        <f>'Draft Board'!AJ41</f>
        <v>0</v>
      </c>
      <c r="H4" s="33">
        <f>'Draft Board'!AP41</f>
        <v>0</v>
      </c>
      <c r="I4" s="33">
        <f>'Draft Board'!AV41</f>
        <v>0</v>
      </c>
      <c r="J4" s="33">
        <f>'Draft Board'!BB41</f>
        <v>0</v>
      </c>
      <c r="K4" s="33">
        <f>'Draft Board'!BH41</f>
        <v>0</v>
      </c>
      <c r="L4" s="33">
        <f>'Draft Board'!BN41</f>
        <v>0</v>
      </c>
      <c r="M4" s="33"/>
      <c r="N4" s="181">
        <f t="shared" si="0"/>
        <v>0</v>
      </c>
      <c r="O4" s="64"/>
      <c r="P4" s="161">
        <v>50</v>
      </c>
      <c r="Q4" s="127">
        <f t="shared" si="1"/>
        <v>-50</v>
      </c>
      <c r="R4" s="161">
        <v>45</v>
      </c>
      <c r="S4" s="114">
        <f>SUM('Draft Board'!AV9:AV11)-R4</f>
        <v>-45</v>
      </c>
      <c r="T4" s="190">
        <v>2</v>
      </c>
      <c r="U4" s="71">
        <f t="shared" si="2"/>
        <v>22</v>
      </c>
      <c r="V4" s="87">
        <f t="shared" si="3"/>
        <v>5</v>
      </c>
      <c r="W4" s="114">
        <f>SUM('Draft Board'!AV12:AV16)-V4</f>
        <v>-5</v>
      </c>
      <c r="X4" s="190">
        <v>3</v>
      </c>
      <c r="Y4" s="79">
        <f>ROUNDDOWN((V4/X4),0)</f>
        <v>1</v>
      </c>
    </row>
    <row r="5" spans="1:25" ht="12.75" customHeight="1">
      <c r="A5" s="181" t="s">
        <v>3</v>
      </c>
      <c r="B5" s="33">
        <f>'Draft Board'!F42</f>
        <v>0</v>
      </c>
      <c r="C5" s="33">
        <f>'Draft Board'!L42</f>
        <v>0</v>
      </c>
      <c r="D5" s="33">
        <f>'Draft Board'!R42</f>
        <v>0</v>
      </c>
      <c r="E5" s="33">
        <f>'Draft Board'!X42</f>
        <v>0</v>
      </c>
      <c r="F5" s="33">
        <f>'Draft Board'!AD42</f>
        <v>0</v>
      </c>
      <c r="G5" s="33">
        <f>'Draft Board'!AJ42</f>
        <v>0</v>
      </c>
      <c r="H5" s="33">
        <f>'Draft Board'!AP42</f>
        <v>0</v>
      </c>
      <c r="I5" s="33">
        <f>'Draft Board'!AV42</f>
        <v>0</v>
      </c>
      <c r="J5" s="33">
        <f>'Draft Board'!BB42</f>
        <v>0</v>
      </c>
      <c r="K5" s="33">
        <f>'Draft Board'!BH42</f>
        <v>0</v>
      </c>
      <c r="L5" s="33">
        <f>'Draft Board'!BN42</f>
        <v>0</v>
      </c>
      <c r="M5" s="33"/>
      <c r="N5" s="181">
        <f t="shared" si="0"/>
        <v>0</v>
      </c>
      <c r="O5" s="64"/>
      <c r="P5" s="161">
        <v>93</v>
      </c>
      <c r="Q5" s="127">
        <f t="shared" si="1"/>
        <v>-93</v>
      </c>
      <c r="R5" s="161">
        <v>83</v>
      </c>
      <c r="S5" s="114">
        <f>SUM('Draft Board'!AV18:AV20)-R5</f>
        <v>-83</v>
      </c>
      <c r="T5" s="190">
        <v>4</v>
      </c>
      <c r="U5" s="71">
        <f t="shared" si="2"/>
        <v>20</v>
      </c>
      <c r="V5" s="87">
        <f t="shared" si="3"/>
        <v>10</v>
      </c>
      <c r="W5" s="114">
        <f>SUM('Draft Board'!AV21:AV25)-V5</f>
        <v>-10</v>
      </c>
      <c r="X5" s="190">
        <v>3</v>
      </c>
      <c r="Y5" s="79">
        <f>ROUNDDOWN((V5/X5),0)</f>
        <v>3</v>
      </c>
    </row>
    <row r="6" spans="1:25" ht="12.75" customHeight="1">
      <c r="A6" s="181" t="s">
        <v>16</v>
      </c>
      <c r="B6" s="33">
        <f>'Draft Board'!F43</f>
        <v>0</v>
      </c>
      <c r="C6" s="33">
        <f>'Draft Board'!L43</f>
        <v>0</v>
      </c>
      <c r="D6" s="33">
        <f>'Draft Board'!R43</f>
        <v>0</v>
      </c>
      <c r="E6" s="33">
        <f>'Draft Board'!X43</f>
        <v>0</v>
      </c>
      <c r="F6" s="33">
        <f>'Draft Board'!AD43</f>
        <v>0</v>
      </c>
      <c r="G6" s="33">
        <f>'Draft Board'!AJ43</f>
        <v>0</v>
      </c>
      <c r="H6" s="33">
        <f>'Draft Board'!AP43</f>
        <v>0</v>
      </c>
      <c r="I6" s="33">
        <f>'Draft Board'!AV43</f>
        <v>0</v>
      </c>
      <c r="J6" s="33">
        <f>'Draft Board'!BB43</f>
        <v>0</v>
      </c>
      <c r="K6" s="33">
        <f>'Draft Board'!BH43</f>
        <v>0</v>
      </c>
      <c r="L6" s="33">
        <f>'Draft Board'!BN43</f>
        <v>0</v>
      </c>
      <c r="M6" s="33"/>
      <c r="N6" s="181">
        <f t="shared" si="0"/>
        <v>0</v>
      </c>
      <c r="O6" s="64"/>
      <c r="P6" s="161">
        <v>5</v>
      </c>
      <c r="Q6" s="127">
        <f t="shared" si="1"/>
        <v>-5</v>
      </c>
      <c r="R6" s="161">
        <v>5</v>
      </c>
      <c r="S6" s="114">
        <f>'Draft Board'!AV27-R6</f>
        <v>-5</v>
      </c>
      <c r="T6" s="190">
        <v>1</v>
      </c>
      <c r="U6" s="71">
        <f t="shared" si="2"/>
        <v>5</v>
      </c>
      <c r="V6" s="87">
        <f t="shared" si="3"/>
        <v>0</v>
      </c>
      <c r="W6" s="114">
        <f>SUM('Draft Board'!AV28:AV29)-V6</f>
        <v>0</v>
      </c>
      <c r="X6" s="181"/>
      <c r="Y6" s="79"/>
    </row>
    <row r="7" spans="1:25" ht="12.75" customHeight="1">
      <c r="A7" s="181" t="s">
        <v>4</v>
      </c>
      <c r="B7" s="33">
        <f>'Draft Board'!F44</f>
        <v>0</v>
      </c>
      <c r="C7" s="33">
        <f>'Draft Board'!L44</f>
        <v>0</v>
      </c>
      <c r="D7" s="33">
        <f>'Draft Board'!R44</f>
        <v>0</v>
      </c>
      <c r="E7" s="33">
        <f>'Draft Board'!X44</f>
        <v>0</v>
      </c>
      <c r="F7" s="33">
        <f>'Draft Board'!AD44</f>
        <v>0</v>
      </c>
      <c r="G7" s="33">
        <f>'Draft Board'!AJ44</f>
        <v>0</v>
      </c>
      <c r="H7" s="33">
        <f>'Draft Board'!AP44</f>
        <v>0</v>
      </c>
      <c r="I7" s="33">
        <f>'Draft Board'!AV44</f>
        <v>0</v>
      </c>
      <c r="J7" s="33">
        <f>'Draft Board'!BB44</f>
        <v>0</v>
      </c>
      <c r="K7" s="33">
        <f>'Draft Board'!BH44</f>
        <v>0</v>
      </c>
      <c r="L7" s="33">
        <f>'Draft Board'!BN44</f>
        <v>0</v>
      </c>
      <c r="M7" s="33"/>
      <c r="N7" s="181">
        <f t="shared" si="0"/>
        <v>0</v>
      </c>
      <c r="O7" s="64"/>
      <c r="P7" s="161">
        <v>1</v>
      </c>
      <c r="Q7" s="127">
        <f t="shared" si="1"/>
        <v>-1</v>
      </c>
      <c r="R7" s="161">
        <v>1</v>
      </c>
      <c r="S7" s="114">
        <f>'Draft Board'!AV31-R7</f>
        <v>-1</v>
      </c>
      <c r="T7" s="190">
        <v>1</v>
      </c>
      <c r="U7" s="71">
        <f t="shared" si="2"/>
        <v>1</v>
      </c>
      <c r="V7" s="87">
        <f t="shared" si="3"/>
        <v>0</v>
      </c>
      <c r="W7" s="114">
        <f>'Draft Board'!AV32-V7</f>
        <v>0</v>
      </c>
      <c r="X7" s="181"/>
      <c r="Y7" s="79"/>
    </row>
    <row r="8" spans="1:25" ht="12.75" customHeight="1">
      <c r="A8" s="57" t="s">
        <v>15</v>
      </c>
      <c r="B8" s="121">
        <f>'Draft Board'!F45</f>
        <v>0</v>
      </c>
      <c r="C8" s="121">
        <f>'Draft Board'!L45</f>
        <v>0</v>
      </c>
      <c r="D8" s="121">
        <f>'Draft Board'!R45</f>
        <v>0</v>
      </c>
      <c r="E8" s="121">
        <f>'Draft Board'!X45</f>
        <v>0</v>
      </c>
      <c r="F8" s="121">
        <f>'Draft Board'!AD45</f>
        <v>0</v>
      </c>
      <c r="G8" s="121">
        <f>'Draft Board'!AJ45</f>
        <v>0</v>
      </c>
      <c r="H8" s="121">
        <f>'Draft Board'!AP45</f>
        <v>0</v>
      </c>
      <c r="I8" s="121">
        <f>'Draft Board'!AV45</f>
        <v>0</v>
      </c>
      <c r="J8" s="121">
        <f>'Draft Board'!BB45</f>
        <v>0</v>
      </c>
      <c r="K8" s="121">
        <f>'Draft Board'!BH45</f>
        <v>0</v>
      </c>
      <c r="L8" s="121">
        <f>'Draft Board'!BN45</f>
        <v>0</v>
      </c>
      <c r="M8" s="33"/>
      <c r="N8" s="181">
        <f t="shared" si="0"/>
        <v>0</v>
      </c>
      <c r="O8" s="64"/>
      <c r="P8" s="161">
        <v>1</v>
      </c>
      <c r="Q8" s="127">
        <f t="shared" si="1"/>
        <v>-1</v>
      </c>
      <c r="R8" s="161">
        <v>1</v>
      </c>
      <c r="S8" s="114">
        <f>'Draft Board'!AV34-R8</f>
        <v>-1</v>
      </c>
      <c r="T8" s="190">
        <v>1</v>
      </c>
      <c r="U8" s="71">
        <f t="shared" si="2"/>
        <v>1</v>
      </c>
      <c r="V8" s="87">
        <f t="shared" si="3"/>
        <v>0</v>
      </c>
      <c r="W8" s="114">
        <f>SUM('Draft Board'!AV35:AV36)-V8</f>
        <v>0</v>
      </c>
      <c r="X8" s="181"/>
      <c r="Y8" s="79"/>
    </row>
    <row r="9" spans="1:25" ht="12.75" customHeight="1">
      <c r="A9" s="124" t="s">
        <v>59</v>
      </c>
      <c r="B9" s="54">
        <f>177-SUM(B3:B8)</f>
        <v>177</v>
      </c>
      <c r="C9" s="54">
        <f>171-SUM(C3:C8)</f>
        <v>171</v>
      </c>
      <c r="D9" s="54">
        <f>224-SUM(D3:D8)</f>
        <v>224</v>
      </c>
      <c r="E9" s="54">
        <f>Settings!$F$30-SUM(E3:E8)</f>
        <v>200</v>
      </c>
      <c r="F9" s="54">
        <f>213-SUM(F3:F8)</f>
        <v>213</v>
      </c>
      <c r="G9" s="54">
        <f>Settings!$F$30-SUM(G3:G8)</f>
        <v>200</v>
      </c>
      <c r="H9" s="54">
        <f>190-SUM(H3:H8)</f>
        <v>190</v>
      </c>
      <c r="I9" s="54">
        <f>210-SUM(I3:I8)</f>
        <v>210</v>
      </c>
      <c r="J9" s="54">
        <f>215-SUM(J3:J8)</f>
        <v>215</v>
      </c>
      <c r="K9" s="54">
        <f>Settings!$F$30-SUM(K3:K8)</f>
        <v>200</v>
      </c>
      <c r="L9" s="80">
        <f>Settings!$F$30-SUM(L3:L8)</f>
        <v>200</v>
      </c>
      <c r="M9" s="117"/>
      <c r="N9" s="181">
        <f t="shared" si="0"/>
        <v>2200</v>
      </c>
      <c r="O9" s="64"/>
      <c r="P9" s="105">
        <f>SUM(P3:P8)</f>
        <v>210</v>
      </c>
      <c r="Q9" s="205"/>
      <c r="R9" s="105">
        <f>SUM(R3:R8)</f>
        <v>192</v>
      </c>
      <c r="S9" s="62"/>
      <c r="T9" s="140"/>
      <c r="U9" s="3"/>
      <c r="V9" s="105">
        <f>SUM(V3:V8)</f>
        <v>18</v>
      </c>
      <c r="W9" s="155"/>
      <c r="X9" s="181"/>
      <c r="Y9" s="145"/>
    </row>
    <row r="10" spans="1:25" ht="12.75" customHeight="1">
      <c r="A10" s="100" t="s">
        <v>60</v>
      </c>
      <c r="B10" s="159">
        <f>B9/Settings!$F$30</f>
        <v>0.88500000000000001</v>
      </c>
      <c r="C10" s="159">
        <f>C9/Settings!$F$30</f>
        <v>0.85499999999999998</v>
      </c>
      <c r="D10" s="159">
        <f>D9/Settings!$F$30</f>
        <v>1.1200000000000001</v>
      </c>
      <c r="E10" s="159">
        <f>E9/Settings!$F$30</f>
        <v>1</v>
      </c>
      <c r="F10" s="159">
        <f>F9/Settings!$F$30</f>
        <v>1.0649999999999999</v>
      </c>
      <c r="G10" s="159">
        <f>G9/Settings!$F$30</f>
        <v>1</v>
      </c>
      <c r="H10" s="159">
        <f>H9/Settings!$F$30</f>
        <v>0.95</v>
      </c>
      <c r="I10" s="159">
        <f>I9/Settings!$F$30</f>
        <v>1.05</v>
      </c>
      <c r="J10" s="159">
        <f>J9/Settings!$F$30</f>
        <v>1.075</v>
      </c>
      <c r="K10" s="159">
        <f>K9/Settings!$F$30</f>
        <v>1</v>
      </c>
      <c r="L10" s="159">
        <f>L9/Settings!$F$30</f>
        <v>1</v>
      </c>
      <c r="M10" s="193"/>
      <c r="N10" s="98">
        <f>N9/(Settings!$F$30*Settings!$B$3)</f>
        <v>1</v>
      </c>
      <c r="O10" s="33"/>
      <c r="P10" s="91"/>
      <c r="Q10" s="33"/>
      <c r="R10" s="21">
        <f>R9/P9</f>
        <v>0.91428571428571426</v>
      </c>
      <c r="S10" s="33"/>
      <c r="T10" s="33"/>
      <c r="U10" s="33"/>
      <c r="V10" s="21">
        <f>V9/P9</f>
        <v>8.5714285714285715E-2</v>
      </c>
      <c r="X10" s="33"/>
    </row>
    <row r="11" spans="1:25" ht="12.75" customHeight="1">
      <c r="A11" s="15" t="s">
        <v>61</v>
      </c>
      <c r="B11" s="172">
        <f>IF((B33=0),"N/A",(B9-((Settings!$B$18-B32)-1)))</f>
        <v>160</v>
      </c>
      <c r="C11" s="7">
        <f>IF((C33=0),"N/A",(C9-((Settings!$B$18-C32)-1)))</f>
        <v>154</v>
      </c>
      <c r="D11" s="7">
        <f>IF((D33=0),"N/A",(D9-((Settings!$B$18-D32)-1)))</f>
        <v>207</v>
      </c>
      <c r="E11" s="7">
        <f>IF((E33=0),"N/A",(E9-((Settings!$B$18-E32)-1)))</f>
        <v>183</v>
      </c>
      <c r="F11" s="7">
        <f>IF((F33=0),"N/A",(F9-((Settings!$B$18-F32)-1)))</f>
        <v>196</v>
      </c>
      <c r="G11" s="7">
        <f>IF((G33=0),"N/A",(G9-((Settings!$B$18-G32)-1)))</f>
        <v>183</v>
      </c>
      <c r="H11" s="7">
        <f>IF((H33=0),"N/A",(H9-((Settings!$B$18-H32)-1)))</f>
        <v>173</v>
      </c>
      <c r="I11" s="7">
        <f>IF((I33=0),"N/A",(I9-((Settings!$B$18-I32)-1)))</f>
        <v>193</v>
      </c>
      <c r="J11" s="7">
        <f>IF((J33=0),"N/A",(J9-((Settings!$B$18-J32)-1)))</f>
        <v>198</v>
      </c>
      <c r="K11" s="7">
        <f>IF((K33=0),"N/A",(K9-((Settings!$B$18-K32)-1)))</f>
        <v>183</v>
      </c>
      <c r="L11" s="177">
        <f>IF((L33=0),"N/A",(L9-((Settings!$B$18-L32)-1)))</f>
        <v>183</v>
      </c>
      <c r="M11" s="117"/>
      <c r="N11" s="79">
        <f>MAX(B11:L11)</f>
        <v>207</v>
      </c>
      <c r="O11" s="33"/>
      <c r="P11" s="33"/>
      <c r="Q11" s="33"/>
      <c r="R11" s="34"/>
      <c r="S11" s="160"/>
      <c r="T11" s="34"/>
      <c r="U11" s="34"/>
      <c r="V11" s="34"/>
      <c r="W11" s="34"/>
      <c r="X11" s="33"/>
    </row>
    <row r="12" spans="1:25" ht="12.75" customHeight="1">
      <c r="A12" s="53"/>
      <c r="B12" s="91"/>
      <c r="C12" s="91"/>
      <c r="D12" s="91"/>
      <c r="E12" s="91"/>
      <c r="F12" s="91"/>
      <c r="G12" s="91"/>
      <c r="H12" s="91"/>
      <c r="I12" s="91"/>
      <c r="J12" s="91"/>
      <c r="K12" s="91"/>
      <c r="L12" s="91"/>
      <c r="N12" s="145"/>
      <c r="Q12" s="51"/>
      <c r="R12" s="96" t="s">
        <v>0</v>
      </c>
      <c r="S12" s="168">
        <v>30</v>
      </c>
      <c r="T12" s="14"/>
      <c r="U12" s="63"/>
      <c r="V12" s="180" t="s">
        <v>0</v>
      </c>
      <c r="W12" s="171">
        <f>V3</f>
        <v>3</v>
      </c>
      <c r="X12" s="117"/>
    </row>
    <row r="13" spans="1:25" ht="12.75" customHeight="1">
      <c r="A13" s="181" t="s">
        <v>55</v>
      </c>
      <c r="B13" s="90">
        <f>SUM('Draft Board'!F4,'Draft Board'!F9:F11,'Draft Board'!F18:F20,'Draft Board'!F27,'Draft Board'!F31,'Draft Board'!F34)</f>
        <v>0</v>
      </c>
      <c r="C13" s="90">
        <f>SUM('Draft Board'!L4,'Draft Board'!L9:L11,'Draft Board'!L18:L20,'Draft Board'!L27,'Draft Board'!L31,'Draft Board'!L34)</f>
        <v>0</v>
      </c>
      <c r="D13" s="90">
        <f>SUM('Draft Board'!R4,'Draft Board'!R9:R11,'Draft Board'!R18:R20,'Draft Board'!R27,'Draft Board'!R31,'Draft Board'!R34)</f>
        <v>0</v>
      </c>
      <c r="E13" s="90">
        <f>SUM('Draft Board'!X4,'Draft Board'!X9:X11,'Draft Board'!X18:X20,'Draft Board'!X27,'Draft Board'!X31,'Draft Board'!X34)</f>
        <v>0</v>
      </c>
      <c r="F13" s="90">
        <f>SUM('Draft Board'!AD4,'Draft Board'!AD9:AD11,'Draft Board'!AD18:AD20,'Draft Board'!AD27,'Draft Board'!AD31,'Draft Board'!AD34)</f>
        <v>0</v>
      </c>
      <c r="G13" s="90">
        <f>SUM('Draft Board'!AJ4,'Draft Board'!AJ9:AJ11,'Draft Board'!AJ18:AJ20,'Draft Board'!AJ27,'Draft Board'!AJ31,'Draft Board'!AJ34)</f>
        <v>0</v>
      </c>
      <c r="H13" s="90">
        <f>SUM('Draft Board'!AP4,'Draft Board'!AP9:AP11,'Draft Board'!AP18:AP20,'Draft Board'!AP27,'Draft Board'!AP31,'Draft Board'!AP34)</f>
        <v>0</v>
      </c>
      <c r="I13" s="90">
        <f>SUM('Draft Board'!AV4,'Draft Board'!AV9:AV11,'Draft Board'!AV18:AV20,'Draft Board'!AV27,'Draft Board'!AV31,'Draft Board'!AV34)</f>
        <v>0</v>
      </c>
      <c r="J13" s="90">
        <f>SUM('Draft Board'!BB4,'Draft Board'!BB9:BB11,'Draft Board'!BB18:BB20,'Draft Board'!BB27,'Draft Board'!BB31,'Draft Board'!BB34)</f>
        <v>0</v>
      </c>
      <c r="K13" s="90">
        <f>SUM('Draft Board'!BH4,'Draft Board'!BH9:BH11,'Draft Board'!BH18:BH20,'Draft Board'!BH27,'Draft Board'!BH31,'Draft Board'!BH34)</f>
        <v>0</v>
      </c>
      <c r="L13" s="90">
        <f>SUM('Draft Board'!BN4,'Draft Board'!BN9:BN11,'Draft Board'!BN18:BN20,'Draft Board'!BN27,'Draft Board'!BN31,'Draft Board'!BN34)</f>
        <v>0</v>
      </c>
      <c r="N13" s="210">
        <f>AVERAGE(B13:L13)</f>
        <v>0</v>
      </c>
      <c r="P13" s="81">
        <v>170</v>
      </c>
      <c r="Q13" s="178">
        <f>I13-P13</f>
        <v>-170</v>
      </c>
      <c r="R13" s="86" t="s">
        <v>0</v>
      </c>
      <c r="S13" s="191">
        <f>R3-S12</f>
        <v>27</v>
      </c>
      <c r="T13" s="76"/>
      <c r="U13" s="11"/>
      <c r="V13" s="136"/>
      <c r="W13" s="32"/>
      <c r="X13" s="166"/>
    </row>
    <row r="14" spans="1:25" ht="12.75" customHeight="1">
      <c r="A14" s="181" t="s">
        <v>57</v>
      </c>
      <c r="B14" s="33">
        <f>(Settings!$F$30-B9)-B13</f>
        <v>23</v>
      </c>
      <c r="C14" s="33">
        <f>(Settings!$F$30-C9)-C13</f>
        <v>29</v>
      </c>
      <c r="D14" s="33">
        <f>(Settings!$F$30-D9)-D13</f>
        <v>-24</v>
      </c>
      <c r="E14" s="33">
        <f>(Settings!$F$30-E9)-E13</f>
        <v>0</v>
      </c>
      <c r="F14" s="33">
        <f>(Settings!$F$30-F9)-F13</f>
        <v>-13</v>
      </c>
      <c r="G14" s="33">
        <f>(Settings!$F$30-G9)-G13</f>
        <v>0</v>
      </c>
      <c r="H14" s="33">
        <f>(Settings!$F$30-H9)-H13</f>
        <v>10</v>
      </c>
      <c r="I14" s="33">
        <f>(Settings!$F$30-I9)-I13</f>
        <v>-10</v>
      </c>
      <c r="J14" s="33">
        <f>(Settings!$F$30-J9)-J13</f>
        <v>-15</v>
      </c>
      <c r="K14" s="33">
        <f>(Settings!$F$30-K9)-K13</f>
        <v>0</v>
      </c>
      <c r="L14" s="33">
        <f>(Settings!$F$30-L9)-L13</f>
        <v>0</v>
      </c>
      <c r="M14" s="33"/>
      <c r="N14" s="210">
        <f>AVERAGE(B14:L14)</f>
        <v>0</v>
      </c>
      <c r="O14" s="33"/>
      <c r="P14" s="140">
        <f>Settings!F30-P13</f>
        <v>30</v>
      </c>
      <c r="Q14" s="178">
        <f>I14-P14</f>
        <v>-40</v>
      </c>
      <c r="R14" s="86" t="s">
        <v>2</v>
      </c>
      <c r="S14" s="197">
        <v>30</v>
      </c>
      <c r="T14" s="76"/>
      <c r="U14" s="11"/>
      <c r="V14" s="136" t="s">
        <v>2</v>
      </c>
      <c r="W14" s="200">
        <v>3</v>
      </c>
      <c r="X14" s="117"/>
    </row>
    <row r="15" spans="1:25" ht="12.75" customHeight="1">
      <c r="A15" s="181"/>
      <c r="B15" s="33"/>
      <c r="C15" s="33"/>
      <c r="D15" s="33"/>
      <c r="E15" s="33"/>
      <c r="F15" s="33"/>
      <c r="G15" s="33"/>
      <c r="H15" s="33"/>
      <c r="I15" s="33"/>
      <c r="J15" s="33"/>
      <c r="K15" s="33"/>
      <c r="L15" s="33"/>
      <c r="M15" s="33"/>
      <c r="N15" s="181"/>
      <c r="O15" s="33"/>
      <c r="P15" s="33"/>
      <c r="Q15" s="194"/>
      <c r="R15" s="86" t="s">
        <v>2</v>
      </c>
      <c r="S15" s="191">
        <f>R4-S14</f>
        <v>15</v>
      </c>
      <c r="T15" s="76"/>
      <c r="U15" s="11"/>
      <c r="V15" s="136" t="s">
        <v>2</v>
      </c>
      <c r="W15" s="200">
        <v>1</v>
      </c>
      <c r="X15" s="117"/>
    </row>
    <row r="16" spans="1:25" ht="12.75" customHeight="1">
      <c r="A16" s="147" t="s">
        <v>62</v>
      </c>
      <c r="B16" s="33"/>
      <c r="C16" s="33"/>
      <c r="D16" s="33"/>
      <c r="E16" s="33"/>
      <c r="F16" s="33"/>
      <c r="G16" s="33"/>
      <c r="H16" s="33"/>
      <c r="I16" s="33"/>
      <c r="J16" s="33"/>
      <c r="K16" s="33"/>
      <c r="L16" s="33"/>
      <c r="M16" s="33"/>
      <c r="N16" s="181"/>
      <c r="O16" s="33"/>
      <c r="P16" s="33"/>
      <c r="Q16" s="194"/>
      <c r="R16" s="86" t="s">
        <v>3</v>
      </c>
      <c r="S16" s="197">
        <v>26</v>
      </c>
      <c r="T16" s="76"/>
      <c r="U16" s="11"/>
      <c r="V16" s="136" t="s">
        <v>2</v>
      </c>
      <c r="W16" s="27">
        <f>(V4-W14)-W15</f>
        <v>1</v>
      </c>
      <c r="X16" s="117"/>
    </row>
    <row r="17" spans="1:24" ht="12.75" customHeight="1">
      <c r="A17" s="181" t="s">
        <v>0</v>
      </c>
      <c r="B17" s="10">
        <f>'Draft Board'!G40</f>
        <v>0</v>
      </c>
      <c r="C17" s="10">
        <f>'Draft Board'!M40</f>
        <v>0</v>
      </c>
      <c r="D17" s="10">
        <f>'Draft Board'!S40</f>
        <v>0</v>
      </c>
      <c r="E17" s="10">
        <f>'Draft Board'!Y40</f>
        <v>0</v>
      </c>
      <c r="F17" s="10">
        <f>'Draft Board'!AE40</f>
        <v>0</v>
      </c>
      <c r="G17" s="10">
        <f>'Draft Board'!AK40</f>
        <v>0</v>
      </c>
      <c r="H17" s="10">
        <f>'Draft Board'!AQ40</f>
        <v>0</v>
      </c>
      <c r="I17" s="10">
        <f>'Draft Board'!AW40</f>
        <v>0</v>
      </c>
      <c r="J17" s="10">
        <f>'Draft Board'!BC40</f>
        <v>0</v>
      </c>
      <c r="K17" s="10">
        <f>'Draft Board'!BI40</f>
        <v>0</v>
      </c>
      <c r="L17" s="10">
        <f>'Draft Board'!BO40</f>
        <v>0</v>
      </c>
      <c r="M17" s="33"/>
      <c r="N17" s="181">
        <f t="shared" ref="N17:N23" si="4">SUM(B17:L17)</f>
        <v>0</v>
      </c>
      <c r="O17" s="33"/>
      <c r="P17" s="33"/>
      <c r="Q17" s="194"/>
      <c r="R17" s="86" t="s">
        <v>3</v>
      </c>
      <c r="S17" s="197">
        <v>23</v>
      </c>
      <c r="T17" s="76"/>
      <c r="U17" s="11"/>
      <c r="V17" s="136" t="s">
        <v>3</v>
      </c>
      <c r="W17" s="200">
        <v>5</v>
      </c>
      <c r="X17" s="20"/>
    </row>
    <row r="18" spans="1:24" ht="12.75" customHeight="1">
      <c r="A18" s="181" t="s">
        <v>2</v>
      </c>
      <c r="B18" s="10">
        <f>'Draft Board'!G41</f>
        <v>0</v>
      </c>
      <c r="C18" s="10">
        <f>'Draft Board'!M41</f>
        <v>0</v>
      </c>
      <c r="D18" s="10">
        <f>'Draft Board'!S41</f>
        <v>0</v>
      </c>
      <c r="E18" s="10">
        <f>'Draft Board'!Y41</f>
        <v>0</v>
      </c>
      <c r="F18" s="10">
        <f>'Draft Board'!AE41</f>
        <v>0</v>
      </c>
      <c r="G18" s="10">
        <f>'Draft Board'!AK41</f>
        <v>0</v>
      </c>
      <c r="H18" s="10">
        <f>'Draft Board'!AQ41</f>
        <v>0</v>
      </c>
      <c r="I18" s="10">
        <f>'Draft Board'!AW41</f>
        <v>0</v>
      </c>
      <c r="J18" s="10">
        <f>'Draft Board'!BC41</f>
        <v>0</v>
      </c>
      <c r="K18" s="10">
        <f>'Draft Board'!BI41</f>
        <v>0</v>
      </c>
      <c r="L18" s="10">
        <f>'Draft Board'!BO41</f>
        <v>0</v>
      </c>
      <c r="M18" s="33"/>
      <c r="N18" s="181">
        <f t="shared" si="4"/>
        <v>0</v>
      </c>
      <c r="O18" s="33"/>
      <c r="P18" s="33"/>
      <c r="Q18" s="194"/>
      <c r="R18" s="86" t="s">
        <v>3</v>
      </c>
      <c r="S18" s="197">
        <v>19</v>
      </c>
      <c r="T18" s="76"/>
      <c r="U18" s="11"/>
      <c r="V18" s="136" t="s">
        <v>3</v>
      </c>
      <c r="W18" s="200">
        <v>3</v>
      </c>
      <c r="X18" s="117"/>
    </row>
    <row r="19" spans="1:24" ht="12.75" customHeight="1">
      <c r="A19" s="181" t="s">
        <v>3</v>
      </c>
      <c r="B19" s="10">
        <f>'Draft Board'!G42</f>
        <v>0</v>
      </c>
      <c r="C19" s="10">
        <f>'Draft Board'!M42</f>
        <v>0</v>
      </c>
      <c r="D19" s="10">
        <f>'Draft Board'!S42</f>
        <v>0</v>
      </c>
      <c r="E19" s="10">
        <f>'Draft Board'!Y42</f>
        <v>0</v>
      </c>
      <c r="F19" s="10">
        <f>'Draft Board'!AE42</f>
        <v>0</v>
      </c>
      <c r="G19" s="10">
        <f>'Draft Board'!AK42</f>
        <v>0</v>
      </c>
      <c r="H19" s="10">
        <f>'Draft Board'!AQ42</f>
        <v>0</v>
      </c>
      <c r="I19" s="10">
        <f>'Draft Board'!AW42</f>
        <v>0</v>
      </c>
      <c r="J19" s="10">
        <f>'Draft Board'!BC42</f>
        <v>0</v>
      </c>
      <c r="K19" s="10">
        <f>'Draft Board'!BI42</f>
        <v>0</v>
      </c>
      <c r="L19" s="10">
        <f>'Draft Board'!BO42</f>
        <v>0</v>
      </c>
      <c r="M19" s="33"/>
      <c r="N19" s="181">
        <f t="shared" si="4"/>
        <v>0</v>
      </c>
      <c r="O19" s="33"/>
      <c r="P19" s="33"/>
      <c r="Q19" s="194"/>
      <c r="R19" s="86" t="s">
        <v>3</v>
      </c>
      <c r="S19" s="11">
        <f>((R5-S17)-S18)-S16</f>
        <v>15</v>
      </c>
      <c r="T19" s="1"/>
      <c r="U19" s="11"/>
      <c r="V19" s="136" t="s">
        <v>3</v>
      </c>
      <c r="W19" s="200">
        <v>1</v>
      </c>
      <c r="X19" s="117"/>
    </row>
    <row r="20" spans="1:24" ht="12.75" customHeight="1">
      <c r="A20" s="181" t="s">
        <v>16</v>
      </c>
      <c r="B20" s="10">
        <f>'Draft Board'!G43</f>
        <v>0</v>
      </c>
      <c r="C20" s="10">
        <f>'Draft Board'!M43</f>
        <v>0</v>
      </c>
      <c r="D20" s="10">
        <f>'Draft Board'!S43</f>
        <v>0</v>
      </c>
      <c r="E20" s="10">
        <f>'Draft Board'!Y43</f>
        <v>0</v>
      </c>
      <c r="F20" s="10">
        <f>'Draft Board'!AE43</f>
        <v>0</v>
      </c>
      <c r="G20" s="10">
        <f>'Draft Board'!AK43</f>
        <v>0</v>
      </c>
      <c r="H20" s="10">
        <f>'Draft Board'!AQ43</f>
        <v>0</v>
      </c>
      <c r="I20" s="10">
        <f>'Draft Board'!AW43</f>
        <v>0</v>
      </c>
      <c r="J20" s="10">
        <f>'Draft Board'!BC43</f>
        <v>0</v>
      </c>
      <c r="K20" s="10">
        <f>'Draft Board'!BI43</f>
        <v>0</v>
      </c>
      <c r="L20" s="10">
        <f>'Draft Board'!BO43</f>
        <v>0</v>
      </c>
      <c r="M20" s="33"/>
      <c r="N20" s="181">
        <f t="shared" si="4"/>
        <v>0</v>
      </c>
      <c r="O20" s="33"/>
      <c r="P20" s="33"/>
      <c r="Q20" s="194"/>
      <c r="R20" s="86" t="s">
        <v>16</v>
      </c>
      <c r="S20" s="11">
        <f>R6</f>
        <v>5</v>
      </c>
      <c r="T20" s="76"/>
      <c r="U20" s="11"/>
      <c r="V20" s="136" t="s">
        <v>3</v>
      </c>
      <c r="W20" s="174">
        <f>V5-SUM(W17:W19)</f>
        <v>1</v>
      </c>
      <c r="X20" s="117"/>
    </row>
    <row r="21" spans="1:24" ht="12.75" customHeight="1">
      <c r="A21" s="181" t="s">
        <v>4</v>
      </c>
      <c r="B21" s="10">
        <f>'Draft Board'!G44</f>
        <v>0</v>
      </c>
      <c r="C21" s="10">
        <f>'Draft Board'!M44</f>
        <v>0</v>
      </c>
      <c r="D21" s="10">
        <f>'Draft Board'!S44</f>
        <v>0</v>
      </c>
      <c r="E21" s="10">
        <f>'Draft Board'!Y44</f>
        <v>0</v>
      </c>
      <c r="F21" s="10">
        <f>'Draft Board'!AE44</f>
        <v>0</v>
      </c>
      <c r="G21" s="10">
        <f>'Draft Board'!AK44</f>
        <v>0</v>
      </c>
      <c r="H21" s="10">
        <f>'Draft Board'!AQ44</f>
        <v>0</v>
      </c>
      <c r="I21" s="10">
        <f>'Draft Board'!AW44</f>
        <v>0</v>
      </c>
      <c r="J21" s="10">
        <f>'Draft Board'!BC44</f>
        <v>0</v>
      </c>
      <c r="K21" s="10">
        <f>'Draft Board'!BI44</f>
        <v>0</v>
      </c>
      <c r="L21" s="10">
        <f>'Draft Board'!BO44</f>
        <v>0</v>
      </c>
      <c r="M21" s="33"/>
      <c r="N21" s="181">
        <f t="shared" si="4"/>
        <v>0</v>
      </c>
      <c r="O21" s="33"/>
      <c r="P21" s="33"/>
      <c r="Q21" s="194"/>
      <c r="R21" s="86" t="s">
        <v>4</v>
      </c>
      <c r="S21" s="11">
        <f>R7</f>
        <v>1</v>
      </c>
      <c r="T21" s="11"/>
      <c r="U21" s="11"/>
      <c r="V21" s="11"/>
      <c r="W21" s="165"/>
      <c r="X21" s="93"/>
    </row>
    <row r="22" spans="1:24" ht="12.75" customHeight="1">
      <c r="A22" s="57" t="s">
        <v>15</v>
      </c>
      <c r="B22" s="206">
        <f>'Draft Board'!G45</f>
        <v>0</v>
      </c>
      <c r="C22" s="206">
        <f>'Draft Board'!M45</f>
        <v>0</v>
      </c>
      <c r="D22" s="206">
        <f>'Draft Board'!S45</f>
        <v>0</v>
      </c>
      <c r="E22" s="206">
        <f>'Draft Board'!Y45</f>
        <v>0</v>
      </c>
      <c r="F22" s="206">
        <f>'Draft Board'!AE45</f>
        <v>0</v>
      </c>
      <c r="G22" s="206">
        <f>'Draft Board'!AK45</f>
        <v>0</v>
      </c>
      <c r="H22" s="206">
        <f>'Draft Board'!AQ45</f>
        <v>0</v>
      </c>
      <c r="I22" s="206">
        <f>'Draft Board'!AW45</f>
        <v>0</v>
      </c>
      <c r="J22" s="206">
        <f>'Draft Board'!BC45</f>
        <v>0</v>
      </c>
      <c r="K22" s="206">
        <f>'Draft Board'!BI45</f>
        <v>0</v>
      </c>
      <c r="L22" s="206">
        <f>'Draft Board'!BO45</f>
        <v>0</v>
      </c>
      <c r="M22" s="33"/>
      <c r="N22" s="181">
        <f t="shared" si="4"/>
        <v>0</v>
      </c>
      <c r="O22" s="33"/>
      <c r="P22" s="33"/>
      <c r="Q22" s="194"/>
      <c r="R22" s="28" t="s">
        <v>15</v>
      </c>
      <c r="S22" s="141">
        <f>R8</f>
        <v>1</v>
      </c>
      <c r="T22" s="135"/>
      <c r="U22" s="135"/>
      <c r="V22" s="135"/>
      <c r="W22" s="6"/>
      <c r="X22" s="117"/>
    </row>
    <row r="23" spans="1:24" ht="12.75" customHeight="1">
      <c r="A23" s="124" t="s">
        <v>20</v>
      </c>
      <c r="B23" s="12">
        <f t="shared" ref="B23:L23" si="5">SUM(B17:B22)</f>
        <v>0</v>
      </c>
      <c r="C23" s="12">
        <f t="shared" si="5"/>
        <v>0</v>
      </c>
      <c r="D23" s="12">
        <f t="shared" si="5"/>
        <v>0</v>
      </c>
      <c r="E23" s="12">
        <f t="shared" si="5"/>
        <v>0</v>
      </c>
      <c r="F23" s="12">
        <f t="shared" si="5"/>
        <v>0</v>
      </c>
      <c r="G23" s="12">
        <f t="shared" si="5"/>
        <v>0</v>
      </c>
      <c r="H23" s="12">
        <f t="shared" si="5"/>
        <v>0</v>
      </c>
      <c r="I23" s="12">
        <f t="shared" si="5"/>
        <v>0</v>
      </c>
      <c r="J23" s="12">
        <f t="shared" si="5"/>
        <v>0</v>
      </c>
      <c r="K23" s="12">
        <f t="shared" si="5"/>
        <v>0</v>
      </c>
      <c r="L23" s="199">
        <f t="shared" si="5"/>
        <v>0</v>
      </c>
      <c r="M23" s="117"/>
      <c r="N23" s="181">
        <f t="shared" si="4"/>
        <v>0</v>
      </c>
      <c r="O23" s="33"/>
      <c r="P23" s="33"/>
      <c r="Q23" s="33"/>
      <c r="R23" s="118"/>
      <c r="S23" s="118"/>
      <c r="T23" s="118"/>
      <c r="U23" s="118"/>
      <c r="V23" s="118"/>
      <c r="W23" s="118"/>
      <c r="X23" s="33"/>
    </row>
    <row r="24" spans="1:24" ht="12.75" customHeight="1">
      <c r="A24" s="53"/>
      <c r="B24" s="91"/>
      <c r="C24" s="91"/>
      <c r="D24" s="91"/>
      <c r="E24" s="91"/>
      <c r="F24" s="91"/>
      <c r="G24" s="91"/>
      <c r="H24" s="91"/>
      <c r="I24" s="91"/>
      <c r="J24" s="91"/>
      <c r="K24" s="91"/>
      <c r="L24" s="91"/>
      <c r="M24" s="33"/>
      <c r="N24" s="181"/>
      <c r="O24" s="33"/>
      <c r="P24" s="33"/>
      <c r="Q24" s="33"/>
      <c r="S24">
        <f>SUM(S12:S22)</f>
        <v>192</v>
      </c>
      <c r="W24">
        <f>SUM(W12:W22)</f>
        <v>18</v>
      </c>
      <c r="X24" s="33"/>
    </row>
    <row r="25" spans="1:24" ht="12.75" customHeight="1">
      <c r="A25" s="147" t="s">
        <v>63</v>
      </c>
      <c r="B25" s="33"/>
      <c r="C25" s="33"/>
      <c r="D25" s="33"/>
      <c r="E25" s="33"/>
      <c r="F25" s="33"/>
      <c r="G25" s="33"/>
      <c r="H25" s="33"/>
      <c r="I25" s="33"/>
      <c r="J25" s="33"/>
      <c r="K25" s="33"/>
      <c r="L25" s="33"/>
      <c r="M25" s="33"/>
      <c r="N25" s="181"/>
      <c r="O25" s="33"/>
      <c r="P25" s="33"/>
      <c r="Q25" s="33"/>
      <c r="X25" s="33"/>
    </row>
    <row r="26" spans="1:24" ht="12.75" customHeight="1">
      <c r="A26" s="181" t="s">
        <v>0</v>
      </c>
      <c r="B26" s="195">
        <f>'Draft Board'!B40</f>
        <v>0</v>
      </c>
      <c r="C26" s="195">
        <f>'Draft Board'!H40</f>
        <v>0</v>
      </c>
      <c r="D26" s="195">
        <f>'Draft Board'!N40</f>
        <v>0</v>
      </c>
      <c r="E26" s="195">
        <f>'Draft Board'!T40</f>
        <v>0</v>
      </c>
      <c r="F26" s="195">
        <f>'Draft Board'!Z40</f>
        <v>0</v>
      </c>
      <c r="G26" s="195">
        <f>'Draft Board'!AF40</f>
        <v>0</v>
      </c>
      <c r="H26" s="195">
        <f>'Draft Board'!AL40</f>
        <v>0</v>
      </c>
      <c r="I26" s="195">
        <f>'Draft Board'!AR40</f>
        <v>0</v>
      </c>
      <c r="J26" s="195">
        <f>'Draft Board'!AX40</f>
        <v>0</v>
      </c>
      <c r="K26" s="195">
        <f>'Draft Board'!BD40</f>
        <v>0</v>
      </c>
      <c r="L26" s="195">
        <f>'Draft Board'!BJ40</f>
        <v>0</v>
      </c>
      <c r="N26" s="145">
        <f t="shared" ref="N26:N33" si="6">SUM(B26:L26)</f>
        <v>0</v>
      </c>
      <c r="R26" s="175">
        <f t="shared" ref="R26:R31" si="7">R3/P3</f>
        <v>0.95</v>
      </c>
      <c r="X26" s="33"/>
    </row>
    <row r="27" spans="1:24" ht="12.75" customHeight="1">
      <c r="A27" s="181" t="s">
        <v>2</v>
      </c>
      <c r="B27" s="195">
        <f>'Draft Board'!B41</f>
        <v>0</v>
      </c>
      <c r="C27" s="195">
        <f>'Draft Board'!H41</f>
        <v>0</v>
      </c>
      <c r="D27" s="195">
        <f>'Draft Board'!N41</f>
        <v>0</v>
      </c>
      <c r="E27" s="195">
        <f>'Draft Board'!T41</f>
        <v>0</v>
      </c>
      <c r="F27" s="195">
        <f>'Draft Board'!Z41</f>
        <v>0</v>
      </c>
      <c r="G27" s="195">
        <f>'Draft Board'!AF41</f>
        <v>0</v>
      </c>
      <c r="H27" s="195">
        <f>'Draft Board'!AL41</f>
        <v>0</v>
      </c>
      <c r="I27" s="195">
        <f>'Draft Board'!AR41</f>
        <v>0</v>
      </c>
      <c r="J27" s="195">
        <f>'Draft Board'!AX41</f>
        <v>0</v>
      </c>
      <c r="K27" s="195">
        <f>'Draft Board'!BD41</f>
        <v>0</v>
      </c>
      <c r="L27" s="195">
        <f>'Draft Board'!BJ41</f>
        <v>0</v>
      </c>
      <c r="N27" s="145">
        <f t="shared" si="6"/>
        <v>0</v>
      </c>
      <c r="R27" s="175">
        <f t="shared" si="7"/>
        <v>0.9</v>
      </c>
      <c r="X27" s="33"/>
    </row>
    <row r="28" spans="1:24" ht="12.75" customHeight="1">
      <c r="A28" s="181" t="s">
        <v>3</v>
      </c>
      <c r="B28" s="195">
        <f>'Draft Board'!B42</f>
        <v>0</v>
      </c>
      <c r="C28" s="195">
        <f>'Draft Board'!H42</f>
        <v>0</v>
      </c>
      <c r="D28" s="195">
        <f>'Draft Board'!N42</f>
        <v>0</v>
      </c>
      <c r="E28" s="195">
        <f>'Draft Board'!T42</f>
        <v>0</v>
      </c>
      <c r="F28" s="195">
        <f>'Draft Board'!Z42</f>
        <v>0</v>
      </c>
      <c r="G28" s="195">
        <f>'Draft Board'!AF42</f>
        <v>0</v>
      </c>
      <c r="H28" s="195">
        <f>'Draft Board'!AL42</f>
        <v>0</v>
      </c>
      <c r="I28" s="195">
        <f>'Draft Board'!AR42</f>
        <v>0</v>
      </c>
      <c r="J28" s="195">
        <f>'Draft Board'!AX42</f>
        <v>0</v>
      </c>
      <c r="K28" s="195">
        <f>'Draft Board'!BD42</f>
        <v>0</v>
      </c>
      <c r="L28" s="195">
        <f>'Draft Board'!BJ42</f>
        <v>0</v>
      </c>
      <c r="N28" s="145">
        <f t="shared" si="6"/>
        <v>0</v>
      </c>
      <c r="R28" s="175">
        <f t="shared" si="7"/>
        <v>0.89247311827956988</v>
      </c>
      <c r="X28" s="33"/>
    </row>
    <row r="29" spans="1:24" ht="12.75" customHeight="1">
      <c r="A29" s="181" t="s">
        <v>16</v>
      </c>
      <c r="B29" s="195">
        <f>'Draft Board'!B43</f>
        <v>0</v>
      </c>
      <c r="C29" s="195">
        <f>'Draft Board'!H43</f>
        <v>0</v>
      </c>
      <c r="D29" s="195">
        <f>'Draft Board'!N43</f>
        <v>0</v>
      </c>
      <c r="E29" s="195">
        <f>'Draft Board'!T43</f>
        <v>0</v>
      </c>
      <c r="F29" s="195">
        <f>'Draft Board'!Z43</f>
        <v>0</v>
      </c>
      <c r="G29" s="195">
        <f>'Draft Board'!AF43</f>
        <v>0</v>
      </c>
      <c r="H29" s="195">
        <f>'Draft Board'!AL43</f>
        <v>0</v>
      </c>
      <c r="I29" s="195">
        <f>'Draft Board'!AR43</f>
        <v>0</v>
      </c>
      <c r="J29" s="195">
        <f>'Draft Board'!AX43</f>
        <v>0</v>
      </c>
      <c r="K29" s="195">
        <f>'Draft Board'!BD43</f>
        <v>0</v>
      </c>
      <c r="L29" s="195">
        <f>'Draft Board'!BJ43</f>
        <v>0</v>
      </c>
      <c r="N29" s="145">
        <f t="shared" si="6"/>
        <v>0</v>
      </c>
      <c r="R29" s="175">
        <f t="shared" si="7"/>
        <v>1</v>
      </c>
      <c r="X29" s="33"/>
    </row>
    <row r="30" spans="1:24" ht="12.75" customHeight="1">
      <c r="A30" s="181" t="s">
        <v>4</v>
      </c>
      <c r="B30" s="195">
        <f>'Draft Board'!B44</f>
        <v>0</v>
      </c>
      <c r="C30" s="195">
        <f>'Draft Board'!H44</f>
        <v>0</v>
      </c>
      <c r="D30" s="195">
        <f>'Draft Board'!N44</f>
        <v>0</v>
      </c>
      <c r="E30" s="195">
        <f>'Draft Board'!T44</f>
        <v>0</v>
      </c>
      <c r="F30" s="195">
        <f>'Draft Board'!Z44</f>
        <v>0</v>
      </c>
      <c r="G30" s="195">
        <f>'Draft Board'!AF44</f>
        <v>0</v>
      </c>
      <c r="H30" s="195">
        <f>'Draft Board'!AL44</f>
        <v>0</v>
      </c>
      <c r="I30" s="195">
        <f>'Draft Board'!AR44</f>
        <v>0</v>
      </c>
      <c r="J30" s="195">
        <f>'Draft Board'!AX44</f>
        <v>0</v>
      </c>
      <c r="K30" s="195">
        <f>'Draft Board'!BD44</f>
        <v>0</v>
      </c>
      <c r="L30" s="195">
        <f>'Draft Board'!BJ44</f>
        <v>0</v>
      </c>
      <c r="N30" s="145">
        <f t="shared" si="6"/>
        <v>0</v>
      </c>
      <c r="R30" s="175">
        <f t="shared" si="7"/>
        <v>1</v>
      </c>
      <c r="X30" s="33"/>
    </row>
    <row r="31" spans="1:24" ht="12.75" customHeight="1">
      <c r="A31" s="57" t="s">
        <v>15</v>
      </c>
      <c r="B31" s="150">
        <f>'Draft Board'!B45</f>
        <v>0</v>
      </c>
      <c r="C31" s="150">
        <f>'Draft Board'!H45</f>
        <v>0</v>
      </c>
      <c r="D31" s="150">
        <f>'Draft Board'!N45</f>
        <v>0</v>
      </c>
      <c r="E31" s="150">
        <f>'Draft Board'!T45</f>
        <v>0</v>
      </c>
      <c r="F31" s="150">
        <f>'Draft Board'!Z45</f>
        <v>0</v>
      </c>
      <c r="G31" s="150">
        <f>'Draft Board'!AF45</f>
        <v>0</v>
      </c>
      <c r="H31" s="150">
        <f>'Draft Board'!AL45</f>
        <v>0</v>
      </c>
      <c r="I31" s="150">
        <f>'Draft Board'!AR45</f>
        <v>0</v>
      </c>
      <c r="J31" s="150">
        <f>'Draft Board'!AX45</f>
        <v>0</v>
      </c>
      <c r="K31" s="150">
        <f>'Draft Board'!BD45</f>
        <v>0</v>
      </c>
      <c r="L31" s="150">
        <f>'Draft Board'!BJ45</f>
        <v>0</v>
      </c>
      <c r="N31" s="145">
        <f t="shared" si="6"/>
        <v>0</v>
      </c>
      <c r="R31" s="175">
        <f t="shared" si="7"/>
        <v>1</v>
      </c>
      <c r="X31" s="33"/>
    </row>
    <row r="32" spans="1:24" ht="12.75" customHeight="1">
      <c r="A32" s="124" t="s">
        <v>20</v>
      </c>
      <c r="B32" s="104">
        <f t="shared" ref="B32:L32" si="8">SUM(B26:B31)</f>
        <v>0</v>
      </c>
      <c r="C32" s="104">
        <f t="shared" si="8"/>
        <v>0</v>
      </c>
      <c r="D32" s="104">
        <f t="shared" si="8"/>
        <v>0</v>
      </c>
      <c r="E32" s="104">
        <f t="shared" si="8"/>
        <v>0</v>
      </c>
      <c r="F32" s="104">
        <f t="shared" si="8"/>
        <v>0</v>
      </c>
      <c r="G32" s="104">
        <f t="shared" si="8"/>
        <v>0</v>
      </c>
      <c r="H32" s="104">
        <f t="shared" si="8"/>
        <v>0</v>
      </c>
      <c r="I32" s="104">
        <f t="shared" si="8"/>
        <v>0</v>
      </c>
      <c r="J32" s="104">
        <f t="shared" si="8"/>
        <v>0</v>
      </c>
      <c r="K32" s="104">
        <f t="shared" si="8"/>
        <v>0</v>
      </c>
      <c r="L32" s="167">
        <f t="shared" si="8"/>
        <v>0</v>
      </c>
      <c r="M32" s="155"/>
      <c r="N32" s="145">
        <f t="shared" si="6"/>
        <v>0</v>
      </c>
      <c r="X32" s="33"/>
    </row>
    <row r="33" spans="1:24" ht="12.75" customHeight="1">
      <c r="A33" s="53" t="s">
        <v>64</v>
      </c>
      <c r="B33" s="91">
        <f>Settings!$B$18-B32</f>
        <v>18</v>
      </c>
      <c r="C33" s="91">
        <f>Settings!$B$18-C32</f>
        <v>18</v>
      </c>
      <c r="D33" s="91">
        <f>Settings!$B$18-D32</f>
        <v>18</v>
      </c>
      <c r="E33" s="91">
        <f>Settings!$B$18-E32</f>
        <v>18</v>
      </c>
      <c r="F33" s="91">
        <f>Settings!$B$18-F32</f>
        <v>18</v>
      </c>
      <c r="G33" s="91">
        <f>Settings!$B$18-G32</f>
        <v>18</v>
      </c>
      <c r="H33" s="91">
        <f>Settings!$B$18-H32</f>
        <v>18</v>
      </c>
      <c r="I33" s="91">
        <f>Settings!$B$18-I32</f>
        <v>18</v>
      </c>
      <c r="J33" s="91">
        <f>Settings!$B$18-J32</f>
        <v>18</v>
      </c>
      <c r="K33" s="91">
        <f>Settings!$B$18-K32</f>
        <v>18</v>
      </c>
      <c r="L33" s="91">
        <f>Settings!$B$18-L32</f>
        <v>18</v>
      </c>
      <c r="M33" s="33"/>
      <c r="N33" s="145">
        <f t="shared" si="6"/>
        <v>198</v>
      </c>
      <c r="O33" s="33"/>
      <c r="P33" s="33"/>
      <c r="Q33" s="33"/>
      <c r="R33" s="33"/>
      <c r="S33" s="33"/>
      <c r="T33" s="33"/>
      <c r="U33" s="33"/>
      <c r="V33" s="33"/>
      <c r="X33" s="33"/>
    </row>
    <row r="34" spans="1:24" ht="12.75" customHeight="1">
      <c r="A34" s="181"/>
      <c r="B34" s="33"/>
      <c r="C34" s="33"/>
      <c r="D34" s="33"/>
      <c r="E34" s="33"/>
      <c r="F34" s="33"/>
      <c r="G34" s="33"/>
      <c r="H34" s="33"/>
      <c r="I34" s="33"/>
      <c r="J34" s="33"/>
      <c r="K34" s="33"/>
      <c r="L34" s="33"/>
      <c r="M34" s="33"/>
      <c r="N34" s="181"/>
      <c r="O34" s="33"/>
      <c r="P34" s="33"/>
      <c r="Q34" s="33"/>
      <c r="R34" s="33"/>
      <c r="S34" s="33"/>
      <c r="T34" s="33"/>
      <c r="U34" s="33"/>
      <c r="V34" s="33"/>
      <c r="X34" s="33"/>
    </row>
    <row r="35" spans="1:24" ht="12.75" customHeight="1">
      <c r="A35" s="147" t="s">
        <v>60</v>
      </c>
      <c r="B35" s="33"/>
      <c r="C35" s="33"/>
      <c r="D35" s="33"/>
      <c r="E35" s="33"/>
      <c r="F35" s="33"/>
      <c r="G35" s="33"/>
      <c r="H35" s="33"/>
      <c r="I35" s="33"/>
      <c r="J35" s="33"/>
      <c r="K35" s="33"/>
      <c r="L35" s="33"/>
      <c r="M35" s="33"/>
      <c r="N35" s="181"/>
      <c r="O35" s="33"/>
      <c r="P35" s="33"/>
      <c r="Q35" s="33"/>
      <c r="R35" s="33"/>
      <c r="S35" s="33"/>
      <c r="T35" s="33"/>
      <c r="U35" s="33"/>
      <c r="V35" s="33"/>
      <c r="X35" s="33"/>
    </row>
    <row r="36" spans="1:24" ht="12.75" customHeight="1">
      <c r="A36" s="181" t="s">
        <v>0</v>
      </c>
      <c r="B36" s="193">
        <f>B3/Settings!$F$30</f>
        <v>0</v>
      </c>
      <c r="C36" s="193">
        <f>C3/Settings!$F$30</f>
        <v>0</v>
      </c>
      <c r="D36" s="193">
        <f>D3/Settings!$F$30</f>
        <v>0</v>
      </c>
      <c r="E36" s="193">
        <f>E3/Settings!$F$30</f>
        <v>0</v>
      </c>
      <c r="F36" s="193">
        <f>F3/Settings!$F$30</f>
        <v>0</v>
      </c>
      <c r="G36" s="193">
        <f>G3/Settings!$F$30</f>
        <v>0</v>
      </c>
      <c r="H36" s="193">
        <f>H3/Settings!$F$30</f>
        <v>0</v>
      </c>
      <c r="I36" s="193">
        <f>I3/Settings!$F$30</f>
        <v>0</v>
      </c>
      <c r="J36" s="193">
        <f>J3/Settings!$F$30</f>
        <v>0</v>
      </c>
      <c r="K36" s="193">
        <f>K3/Settings!$F$30</f>
        <v>0</v>
      </c>
      <c r="L36" s="193">
        <f>L3/Settings!$F$30</f>
        <v>0</v>
      </c>
      <c r="M36" s="33"/>
      <c r="N36" s="98">
        <f>N3/(Settings!$F$30*Settings!$B$3)</f>
        <v>0</v>
      </c>
      <c r="O36" s="33"/>
      <c r="P36" s="101">
        <f t="shared" ref="P36:P41" si="9">P3/$P$9</f>
        <v>0.2857142857142857</v>
      </c>
      <c r="Q36" s="33"/>
      <c r="R36" s="101">
        <f t="shared" ref="R36:R41" si="10">R3/R$9</f>
        <v>0.296875</v>
      </c>
      <c r="S36" s="33"/>
      <c r="T36" s="33"/>
      <c r="U36" s="33"/>
      <c r="V36" s="101">
        <f t="shared" ref="V36:V41" si="11">V3/V$9</f>
        <v>0.16666666666666666</v>
      </c>
      <c r="X36" s="33"/>
    </row>
    <row r="37" spans="1:24" ht="12.75" customHeight="1">
      <c r="A37" s="181" t="s">
        <v>2</v>
      </c>
      <c r="B37" s="193">
        <f>B4/Settings!$F$30</f>
        <v>0</v>
      </c>
      <c r="C37" s="193">
        <f>C4/Settings!$F$30</f>
        <v>0</v>
      </c>
      <c r="D37" s="193">
        <f>D4/Settings!$F$30</f>
        <v>0</v>
      </c>
      <c r="E37" s="193">
        <f>E4/Settings!$F$30</f>
        <v>0</v>
      </c>
      <c r="F37" s="193">
        <f>F4/Settings!$F$30</f>
        <v>0</v>
      </c>
      <c r="G37" s="193">
        <f>G4/Settings!$F$30</f>
        <v>0</v>
      </c>
      <c r="H37" s="193">
        <f>H4/Settings!$F$30</f>
        <v>0</v>
      </c>
      <c r="I37" s="193">
        <f>I4/Settings!$F$30</f>
        <v>0</v>
      </c>
      <c r="J37" s="193">
        <f>J4/Settings!$F$30</f>
        <v>0</v>
      </c>
      <c r="K37" s="193">
        <f>K4/Settings!$F$30</f>
        <v>0</v>
      </c>
      <c r="L37" s="193">
        <f>L4/Settings!$F$30</f>
        <v>0</v>
      </c>
      <c r="M37" s="33"/>
      <c r="N37" s="98">
        <f>N4/(Settings!$F$30*Settings!$B$3)</f>
        <v>0</v>
      </c>
      <c r="O37" s="33"/>
      <c r="P37" s="101">
        <f t="shared" si="9"/>
        <v>0.23809523809523808</v>
      </c>
      <c r="Q37" s="33"/>
      <c r="R37" s="101">
        <f t="shared" si="10"/>
        <v>0.234375</v>
      </c>
      <c r="S37" s="33"/>
      <c r="T37" s="33"/>
      <c r="U37" s="33"/>
      <c r="V37" s="101">
        <f t="shared" si="11"/>
        <v>0.27777777777777779</v>
      </c>
      <c r="X37" s="33"/>
    </row>
    <row r="38" spans="1:24" ht="12.75" customHeight="1">
      <c r="A38" s="181" t="s">
        <v>3</v>
      </c>
      <c r="B38" s="193">
        <f>B5/Settings!$F$30</f>
        <v>0</v>
      </c>
      <c r="C38" s="193">
        <f>C5/Settings!$F$30</f>
        <v>0</v>
      </c>
      <c r="D38" s="193">
        <f>D5/Settings!$F$30</f>
        <v>0</v>
      </c>
      <c r="E38" s="193">
        <f>E5/Settings!$F$30</f>
        <v>0</v>
      </c>
      <c r="F38" s="193">
        <f>F5/Settings!$F$30</f>
        <v>0</v>
      </c>
      <c r="G38" s="193">
        <f>G5/Settings!$F$30</f>
        <v>0</v>
      </c>
      <c r="H38" s="193">
        <f>H5/Settings!$F$30</f>
        <v>0</v>
      </c>
      <c r="I38" s="193">
        <f>I5/Settings!$F$30</f>
        <v>0</v>
      </c>
      <c r="J38" s="193">
        <f>J5/Settings!$F$30</f>
        <v>0</v>
      </c>
      <c r="K38" s="193">
        <f>K5/Settings!$F$30</f>
        <v>0</v>
      </c>
      <c r="L38" s="193">
        <f>L5/Settings!$F$30</f>
        <v>0</v>
      </c>
      <c r="M38" s="33"/>
      <c r="N38" s="98">
        <f>N5/(Settings!$F$30*Settings!$B$3)</f>
        <v>0</v>
      </c>
      <c r="O38" s="33"/>
      <c r="P38" s="101">
        <f t="shared" si="9"/>
        <v>0.44285714285714284</v>
      </c>
      <c r="Q38" s="33"/>
      <c r="R38" s="101">
        <f t="shared" si="10"/>
        <v>0.43229166666666669</v>
      </c>
      <c r="S38" s="33"/>
      <c r="T38" s="33"/>
      <c r="U38" s="33"/>
      <c r="V38" s="101">
        <f t="shared" si="11"/>
        <v>0.55555555555555558</v>
      </c>
      <c r="X38" s="33"/>
    </row>
    <row r="39" spans="1:24" ht="12.75" customHeight="1">
      <c r="A39" s="181" t="s">
        <v>16</v>
      </c>
      <c r="B39" s="193">
        <f>B6/Settings!$F$30</f>
        <v>0</v>
      </c>
      <c r="C39" s="193">
        <f>C6/Settings!$F$30</f>
        <v>0</v>
      </c>
      <c r="D39" s="193">
        <f>D6/Settings!$F$30</f>
        <v>0</v>
      </c>
      <c r="E39" s="193">
        <f>E6/Settings!$F$30</f>
        <v>0</v>
      </c>
      <c r="F39" s="193">
        <f>F6/Settings!$F$30</f>
        <v>0</v>
      </c>
      <c r="G39" s="193">
        <f>G6/Settings!$F$30</f>
        <v>0</v>
      </c>
      <c r="H39" s="193">
        <f>H6/Settings!$F$30</f>
        <v>0</v>
      </c>
      <c r="I39" s="193">
        <f>I6/Settings!$F$30</f>
        <v>0</v>
      </c>
      <c r="J39" s="193">
        <f>J6/Settings!$F$30</f>
        <v>0</v>
      </c>
      <c r="K39" s="193">
        <f>K6/Settings!$F$30</f>
        <v>0</v>
      </c>
      <c r="L39" s="193">
        <f>L6/Settings!$F$30</f>
        <v>0</v>
      </c>
      <c r="M39" s="33"/>
      <c r="N39" s="98">
        <f>N6/(Settings!$F$30*Settings!$B$3)</f>
        <v>0</v>
      </c>
      <c r="O39" s="33"/>
      <c r="P39" s="101">
        <f t="shared" si="9"/>
        <v>2.3809523809523808E-2</v>
      </c>
      <c r="Q39" s="33"/>
      <c r="R39" s="101">
        <f t="shared" si="10"/>
        <v>2.6041666666666668E-2</v>
      </c>
      <c r="S39" s="33"/>
      <c r="T39" s="33"/>
      <c r="U39" s="33"/>
      <c r="V39" s="101">
        <f t="shared" si="11"/>
        <v>0</v>
      </c>
      <c r="X39" s="33"/>
    </row>
    <row r="40" spans="1:24" ht="12.75" customHeight="1">
      <c r="A40" s="181" t="s">
        <v>4</v>
      </c>
      <c r="B40" s="193">
        <f>B7/Settings!$F$30</f>
        <v>0</v>
      </c>
      <c r="C40" s="193">
        <f>C7/Settings!$F$30</f>
        <v>0</v>
      </c>
      <c r="D40" s="193">
        <f>D7/Settings!$F$30</f>
        <v>0</v>
      </c>
      <c r="E40" s="193">
        <f>E7/Settings!$F$30</f>
        <v>0</v>
      </c>
      <c r="F40" s="193">
        <f>F7/Settings!$F$30</f>
        <v>0</v>
      </c>
      <c r="G40" s="193">
        <f>G7/Settings!$F$30</f>
        <v>0</v>
      </c>
      <c r="H40" s="193">
        <f>H7/Settings!$F$30</f>
        <v>0</v>
      </c>
      <c r="I40" s="193">
        <f>I7/Settings!$F$30</f>
        <v>0</v>
      </c>
      <c r="J40" s="193">
        <f>J7/Settings!$F$30</f>
        <v>0</v>
      </c>
      <c r="K40" s="193">
        <f>K7/Settings!$F$30</f>
        <v>0</v>
      </c>
      <c r="L40" s="193">
        <f>L7/Settings!$F$30</f>
        <v>0</v>
      </c>
      <c r="M40" s="33"/>
      <c r="N40" s="98">
        <f>N7/(Settings!$F$30*Settings!$B$3)</f>
        <v>0</v>
      </c>
      <c r="O40" s="33"/>
      <c r="P40" s="101">
        <f t="shared" si="9"/>
        <v>4.7619047619047623E-3</v>
      </c>
      <c r="Q40" s="33"/>
      <c r="R40" s="101">
        <f t="shared" si="10"/>
        <v>5.208333333333333E-3</v>
      </c>
      <c r="S40" s="33"/>
      <c r="T40" s="33"/>
      <c r="U40" s="33"/>
      <c r="V40" s="101">
        <f t="shared" si="11"/>
        <v>0</v>
      </c>
      <c r="X40" s="33"/>
    </row>
    <row r="41" spans="1:24" ht="12.75" customHeight="1">
      <c r="A41" s="181" t="s">
        <v>15</v>
      </c>
      <c r="B41" s="193">
        <f>B8/Settings!$F$30</f>
        <v>0</v>
      </c>
      <c r="C41" s="193">
        <f>C8/Settings!$F$30</f>
        <v>0</v>
      </c>
      <c r="D41" s="193">
        <f>D8/Settings!$F$30</f>
        <v>0</v>
      </c>
      <c r="E41" s="193">
        <f>E8/Settings!$F$30</f>
        <v>0</v>
      </c>
      <c r="F41" s="193">
        <f>F8/Settings!$F$30</f>
        <v>0</v>
      </c>
      <c r="G41" s="193">
        <f>G8/Settings!$F$30</f>
        <v>0</v>
      </c>
      <c r="H41" s="193">
        <f>H8/Settings!$F$30</f>
        <v>0</v>
      </c>
      <c r="I41" s="193">
        <f>I8/Settings!$F$30</f>
        <v>0</v>
      </c>
      <c r="J41" s="193">
        <f>J8/Settings!$F$30</f>
        <v>0</v>
      </c>
      <c r="K41" s="193">
        <f>K8/Settings!$F$30</f>
        <v>0</v>
      </c>
      <c r="L41" s="193">
        <f>L8/Settings!$F$30</f>
        <v>0</v>
      </c>
      <c r="M41" s="33"/>
      <c r="N41" s="98">
        <f>N8/(Settings!$F$30*Settings!$B$3)</f>
        <v>0</v>
      </c>
      <c r="O41" s="33"/>
      <c r="P41" s="101">
        <f t="shared" si="9"/>
        <v>4.7619047619047623E-3</v>
      </c>
      <c r="Q41" s="33"/>
      <c r="R41" s="101">
        <f t="shared" si="10"/>
        <v>5.208333333333333E-3</v>
      </c>
      <c r="S41" s="33"/>
      <c r="T41" s="33"/>
      <c r="U41" s="33"/>
      <c r="V41" s="101">
        <f t="shared" si="11"/>
        <v>0</v>
      </c>
      <c r="X41" s="33"/>
    </row>
    <row r="42" spans="1:24" ht="12.75" customHeight="1">
      <c r="A42" s="181"/>
      <c r="B42" s="33"/>
      <c r="C42" s="33"/>
      <c r="D42" s="33"/>
      <c r="E42" s="33"/>
      <c r="F42" s="33"/>
      <c r="G42" s="33"/>
      <c r="H42" s="33"/>
      <c r="I42" s="33"/>
      <c r="J42" s="33"/>
      <c r="K42" s="33"/>
      <c r="L42" s="33"/>
      <c r="M42" s="33"/>
      <c r="N42" s="181"/>
      <c r="O42" s="33"/>
      <c r="P42" s="33"/>
      <c r="Q42" s="33"/>
      <c r="R42" s="33"/>
      <c r="S42" s="33"/>
      <c r="T42" s="33"/>
      <c r="U42" s="33"/>
      <c r="V42" s="33"/>
      <c r="X42" s="33"/>
    </row>
    <row r="43" spans="1:24" ht="12.75" customHeight="1">
      <c r="A43" s="147" t="s">
        <v>55</v>
      </c>
      <c r="B43" s="89" t="s">
        <v>65</v>
      </c>
      <c r="C43" s="89" t="s">
        <v>66</v>
      </c>
      <c r="D43" s="89" t="s">
        <v>67</v>
      </c>
      <c r="E43" s="89" t="s">
        <v>68</v>
      </c>
      <c r="F43" s="89" t="s">
        <v>69</v>
      </c>
      <c r="G43" s="89" t="s">
        <v>70</v>
      </c>
      <c r="H43" s="89" t="s">
        <v>71</v>
      </c>
      <c r="I43" s="89" t="s">
        <v>72</v>
      </c>
      <c r="J43" s="89" t="s">
        <v>73</v>
      </c>
      <c r="K43" s="89" t="s">
        <v>74</v>
      </c>
      <c r="L43" s="89" t="s">
        <v>75</v>
      </c>
      <c r="M43" s="33"/>
      <c r="N43" s="181"/>
      <c r="O43" s="33"/>
      <c r="P43" s="33"/>
      <c r="Q43" s="33"/>
      <c r="R43" s="33"/>
      <c r="S43" s="33"/>
      <c r="T43" s="33"/>
      <c r="U43" s="33"/>
      <c r="V43" s="33"/>
      <c r="X43" s="33"/>
    </row>
    <row r="44" spans="1:24" ht="12.75" customHeight="1">
      <c r="A44" s="181" t="s">
        <v>0</v>
      </c>
      <c r="B44" s="90">
        <f t="shared" ref="B44:L44" ca="1" si="12">SUM(INDIRECT((("'Draft Board'!"&amp;B$43)&amp;$Q44)))</f>
        <v>0</v>
      </c>
      <c r="C44" s="90">
        <f t="shared" ca="1" si="12"/>
        <v>0</v>
      </c>
      <c r="D44" s="90">
        <f t="shared" ca="1" si="12"/>
        <v>0</v>
      </c>
      <c r="E44" s="90">
        <f t="shared" ca="1" si="12"/>
        <v>0</v>
      </c>
      <c r="F44" s="90">
        <f t="shared" ca="1" si="12"/>
        <v>0</v>
      </c>
      <c r="G44" s="90">
        <f t="shared" ca="1" si="12"/>
        <v>0</v>
      </c>
      <c r="H44" s="90">
        <f t="shared" ca="1" si="12"/>
        <v>0</v>
      </c>
      <c r="I44" s="90">
        <f t="shared" ca="1" si="12"/>
        <v>0</v>
      </c>
      <c r="J44" s="90">
        <f t="shared" ca="1" si="12"/>
        <v>0</v>
      </c>
      <c r="K44" s="90">
        <f t="shared" ca="1" si="12"/>
        <v>0</v>
      </c>
      <c r="L44" s="90">
        <f t="shared" ca="1" si="12"/>
        <v>0</v>
      </c>
      <c r="M44" s="33"/>
      <c r="N44" s="181">
        <f t="shared" ref="N44:N49" ca="1" si="13">SUM(B44:L44)</f>
        <v>0</v>
      </c>
      <c r="O44" s="33"/>
      <c r="P44" s="33"/>
      <c r="Q44" s="89">
        <v>4</v>
      </c>
      <c r="R44" s="89"/>
      <c r="S44" s="33"/>
      <c r="T44" s="33"/>
      <c r="U44" s="33"/>
      <c r="V44" s="33"/>
      <c r="X44" s="33"/>
    </row>
    <row r="45" spans="1:24" ht="12.75" customHeight="1">
      <c r="A45" s="181" t="s">
        <v>2</v>
      </c>
      <c r="B45" s="90">
        <f t="shared" ref="B45:L46" ca="1" si="14">SUM(INDIRECT(((((("'Draft Board'!"&amp;B$43)&amp;$Q45)&amp;":")&amp;B$43)&amp;$R45)))</f>
        <v>0</v>
      </c>
      <c r="C45" s="90">
        <f t="shared" ca="1" si="14"/>
        <v>0</v>
      </c>
      <c r="D45" s="90">
        <f t="shared" ca="1" si="14"/>
        <v>0</v>
      </c>
      <c r="E45" s="90">
        <f t="shared" ca="1" si="14"/>
        <v>0</v>
      </c>
      <c r="F45" s="90">
        <f t="shared" ca="1" si="14"/>
        <v>0</v>
      </c>
      <c r="G45" s="90">
        <f t="shared" ca="1" si="14"/>
        <v>0</v>
      </c>
      <c r="H45" s="90">
        <f t="shared" ca="1" si="14"/>
        <v>0</v>
      </c>
      <c r="I45" s="90">
        <f t="shared" ca="1" si="14"/>
        <v>0</v>
      </c>
      <c r="J45" s="90">
        <f t="shared" ca="1" si="14"/>
        <v>0</v>
      </c>
      <c r="K45" s="90">
        <f t="shared" ca="1" si="14"/>
        <v>0</v>
      </c>
      <c r="L45" s="90">
        <f t="shared" ca="1" si="14"/>
        <v>0</v>
      </c>
      <c r="M45" s="33"/>
      <c r="N45" s="181">
        <f t="shared" ca="1" si="13"/>
        <v>0</v>
      </c>
      <c r="O45" s="33"/>
      <c r="P45" s="33"/>
      <c r="Q45" s="89">
        <v>9</v>
      </c>
      <c r="R45" s="89">
        <v>11</v>
      </c>
      <c r="S45" s="33"/>
      <c r="T45" s="33"/>
      <c r="U45" s="33"/>
      <c r="V45" s="33"/>
      <c r="X45" s="33"/>
    </row>
    <row r="46" spans="1:24" ht="12.75" customHeight="1">
      <c r="A46" s="181" t="s">
        <v>3</v>
      </c>
      <c r="B46" s="90">
        <f t="shared" ca="1" si="14"/>
        <v>0</v>
      </c>
      <c r="C46" s="90">
        <f t="shared" ca="1" si="14"/>
        <v>0</v>
      </c>
      <c r="D46" s="90">
        <f t="shared" ca="1" si="14"/>
        <v>0</v>
      </c>
      <c r="E46" s="90">
        <f t="shared" ca="1" si="14"/>
        <v>0</v>
      </c>
      <c r="F46" s="90">
        <f t="shared" ca="1" si="14"/>
        <v>0</v>
      </c>
      <c r="G46" s="90">
        <f t="shared" ca="1" si="14"/>
        <v>0</v>
      </c>
      <c r="H46" s="90">
        <f t="shared" ca="1" si="14"/>
        <v>0</v>
      </c>
      <c r="I46" s="90">
        <f t="shared" ca="1" si="14"/>
        <v>0</v>
      </c>
      <c r="J46" s="90">
        <f t="shared" ca="1" si="14"/>
        <v>0</v>
      </c>
      <c r="K46" s="90">
        <f t="shared" ca="1" si="14"/>
        <v>0</v>
      </c>
      <c r="L46" s="90">
        <f t="shared" ca="1" si="14"/>
        <v>0</v>
      </c>
      <c r="M46" s="33"/>
      <c r="N46" s="181">
        <f t="shared" ca="1" si="13"/>
        <v>0</v>
      </c>
      <c r="O46" s="33"/>
      <c r="P46" s="33"/>
      <c r="Q46" s="89">
        <v>18</v>
      </c>
      <c r="R46" s="89">
        <v>20</v>
      </c>
      <c r="S46" s="33"/>
      <c r="T46" s="33"/>
      <c r="U46" s="33"/>
      <c r="V46" s="33"/>
      <c r="X46" s="33"/>
    </row>
    <row r="47" spans="1:24" ht="12.75" customHeight="1">
      <c r="A47" s="181" t="s">
        <v>16</v>
      </c>
      <c r="B47" s="90">
        <f t="shared" ref="B47:L49" ca="1" si="15">SUM(INDIRECT((("'Draft Board'!"&amp;B$43)&amp;$Q47)))</f>
        <v>0</v>
      </c>
      <c r="C47" s="90">
        <f t="shared" ca="1" si="15"/>
        <v>0</v>
      </c>
      <c r="D47" s="90">
        <f t="shared" ca="1" si="15"/>
        <v>0</v>
      </c>
      <c r="E47" s="90">
        <f t="shared" ca="1" si="15"/>
        <v>0</v>
      </c>
      <c r="F47" s="90">
        <f t="shared" ca="1" si="15"/>
        <v>0</v>
      </c>
      <c r="G47" s="90">
        <f t="shared" ca="1" si="15"/>
        <v>0</v>
      </c>
      <c r="H47" s="90">
        <f t="shared" ca="1" si="15"/>
        <v>0</v>
      </c>
      <c r="I47" s="90">
        <f t="shared" ca="1" si="15"/>
        <v>0</v>
      </c>
      <c r="J47" s="90">
        <f t="shared" ca="1" si="15"/>
        <v>0</v>
      </c>
      <c r="K47" s="90">
        <f t="shared" ca="1" si="15"/>
        <v>0</v>
      </c>
      <c r="L47" s="90">
        <f t="shared" ca="1" si="15"/>
        <v>0</v>
      </c>
      <c r="M47" s="33"/>
      <c r="N47" s="181">
        <f t="shared" ca="1" si="13"/>
        <v>0</v>
      </c>
      <c r="O47" s="33"/>
      <c r="P47" s="33"/>
      <c r="Q47" s="89">
        <v>27</v>
      </c>
      <c r="R47" s="89"/>
      <c r="S47" s="33"/>
      <c r="T47" s="33"/>
      <c r="U47" s="33"/>
      <c r="V47" s="33"/>
      <c r="X47" s="33"/>
    </row>
    <row r="48" spans="1:24" ht="12.75" customHeight="1">
      <c r="A48" s="181" t="s">
        <v>4</v>
      </c>
      <c r="B48" s="90">
        <f t="shared" ca="1" si="15"/>
        <v>0</v>
      </c>
      <c r="C48" s="90">
        <f t="shared" ca="1" si="15"/>
        <v>0</v>
      </c>
      <c r="D48" s="90">
        <f t="shared" ca="1" si="15"/>
        <v>0</v>
      </c>
      <c r="E48" s="90">
        <f t="shared" ca="1" si="15"/>
        <v>0</v>
      </c>
      <c r="F48" s="90">
        <f t="shared" ca="1" si="15"/>
        <v>0</v>
      </c>
      <c r="G48" s="90">
        <f t="shared" ca="1" si="15"/>
        <v>0</v>
      </c>
      <c r="H48" s="90">
        <f t="shared" ca="1" si="15"/>
        <v>0</v>
      </c>
      <c r="I48" s="90">
        <f t="shared" ca="1" si="15"/>
        <v>0</v>
      </c>
      <c r="J48" s="90">
        <f t="shared" ca="1" si="15"/>
        <v>0</v>
      </c>
      <c r="K48" s="90">
        <f t="shared" ca="1" si="15"/>
        <v>0</v>
      </c>
      <c r="L48" s="90">
        <f t="shared" ca="1" si="15"/>
        <v>0</v>
      </c>
      <c r="M48" s="33"/>
      <c r="N48" s="181">
        <f t="shared" ca="1" si="13"/>
        <v>0</v>
      </c>
      <c r="O48" s="33"/>
      <c r="P48" s="33"/>
      <c r="Q48" s="89">
        <v>31</v>
      </c>
      <c r="R48" s="89"/>
      <c r="S48" s="33"/>
      <c r="T48" s="33"/>
      <c r="U48" s="33"/>
      <c r="V48" s="33"/>
      <c r="X48" s="33"/>
    </row>
    <row r="49" spans="1:24" ht="12.75" customHeight="1">
      <c r="A49" s="181" t="s">
        <v>15</v>
      </c>
      <c r="B49" s="90">
        <f t="shared" ca="1" si="15"/>
        <v>0</v>
      </c>
      <c r="C49" s="90">
        <f t="shared" ca="1" si="15"/>
        <v>0</v>
      </c>
      <c r="D49" s="90">
        <f t="shared" ca="1" si="15"/>
        <v>0</v>
      </c>
      <c r="E49" s="90">
        <f t="shared" ca="1" si="15"/>
        <v>0</v>
      </c>
      <c r="F49" s="90">
        <f t="shared" ca="1" si="15"/>
        <v>0</v>
      </c>
      <c r="G49" s="90">
        <f t="shared" ca="1" si="15"/>
        <v>0</v>
      </c>
      <c r="H49" s="90">
        <f t="shared" ca="1" si="15"/>
        <v>0</v>
      </c>
      <c r="I49" s="90">
        <f t="shared" ca="1" si="15"/>
        <v>0</v>
      </c>
      <c r="J49" s="90">
        <f t="shared" ca="1" si="15"/>
        <v>0</v>
      </c>
      <c r="K49" s="90">
        <f t="shared" ca="1" si="15"/>
        <v>0</v>
      </c>
      <c r="L49" s="90">
        <f t="shared" ca="1" si="15"/>
        <v>0</v>
      </c>
      <c r="M49" s="33"/>
      <c r="N49" s="181">
        <f t="shared" ca="1" si="13"/>
        <v>0</v>
      </c>
      <c r="O49" s="33"/>
      <c r="P49" s="33"/>
      <c r="Q49" s="89">
        <v>34</v>
      </c>
      <c r="R49" s="89"/>
      <c r="S49" s="33"/>
      <c r="T49" s="33"/>
      <c r="U49" s="33"/>
      <c r="V49" s="33"/>
      <c r="X49" s="33"/>
    </row>
    <row r="50" spans="1:24" ht="12.75" customHeight="1">
      <c r="A50" s="181"/>
      <c r="B50" s="33"/>
      <c r="C50" s="33"/>
      <c r="D50" s="33"/>
      <c r="E50" s="33"/>
      <c r="F50" s="33"/>
      <c r="G50" s="33"/>
      <c r="H50" s="33"/>
      <c r="I50" s="33"/>
      <c r="J50" s="33"/>
      <c r="K50" s="33"/>
      <c r="L50" s="33"/>
      <c r="M50" s="33"/>
      <c r="N50" s="181"/>
      <c r="O50" s="33"/>
      <c r="P50" s="33"/>
      <c r="Q50" s="33"/>
      <c r="R50" s="33"/>
      <c r="S50" s="33"/>
      <c r="T50" s="33"/>
      <c r="U50" s="33"/>
      <c r="V50" s="33"/>
      <c r="X50" s="33"/>
    </row>
    <row r="51" spans="1:24" ht="12.75" customHeight="1">
      <c r="A51" s="147" t="s">
        <v>57</v>
      </c>
      <c r="B51" s="33"/>
      <c r="C51" s="33"/>
      <c r="D51" s="33"/>
      <c r="E51" s="33"/>
      <c r="F51" s="33"/>
      <c r="G51" s="33"/>
      <c r="H51" s="33"/>
      <c r="I51" s="33"/>
      <c r="J51" s="33"/>
      <c r="K51" s="33"/>
      <c r="L51" s="33"/>
      <c r="M51" s="33"/>
      <c r="N51" s="181"/>
      <c r="O51" s="33"/>
      <c r="P51" s="33"/>
      <c r="Q51" s="33"/>
      <c r="R51" s="33"/>
      <c r="S51" s="33"/>
      <c r="T51" s="33"/>
      <c r="U51" s="33"/>
      <c r="V51" s="33"/>
      <c r="X51" s="33"/>
    </row>
    <row r="52" spans="1:24" ht="12.75" customHeight="1">
      <c r="A52" s="181" t="s">
        <v>0</v>
      </c>
      <c r="B52" s="90">
        <f t="shared" ref="B52:L55" ca="1" si="16">SUM(INDIRECT(((((("'Draft Board'!"&amp;B$43)&amp;$Q52)&amp;":")&amp;B$43)&amp;$R52)))</f>
        <v>0</v>
      </c>
      <c r="C52" s="90">
        <f t="shared" ca="1" si="16"/>
        <v>0</v>
      </c>
      <c r="D52" s="90">
        <f t="shared" ca="1" si="16"/>
        <v>0</v>
      </c>
      <c r="E52" s="90">
        <f t="shared" ca="1" si="16"/>
        <v>0</v>
      </c>
      <c r="F52" s="90">
        <f t="shared" ca="1" si="16"/>
        <v>0</v>
      </c>
      <c r="G52" s="90">
        <f t="shared" ca="1" si="16"/>
        <v>0</v>
      </c>
      <c r="H52" s="90">
        <f t="shared" ca="1" si="16"/>
        <v>0</v>
      </c>
      <c r="I52" s="90">
        <f t="shared" ca="1" si="16"/>
        <v>0</v>
      </c>
      <c r="J52" s="90">
        <f t="shared" ca="1" si="16"/>
        <v>0</v>
      </c>
      <c r="K52" s="90">
        <f t="shared" ca="1" si="16"/>
        <v>0</v>
      </c>
      <c r="L52" s="90">
        <f t="shared" ca="1" si="16"/>
        <v>0</v>
      </c>
      <c r="M52" s="33"/>
      <c r="N52" s="181">
        <f t="shared" ref="N52:N57" ca="1" si="17">SUM(B52:L52)</f>
        <v>0</v>
      </c>
      <c r="O52" s="33"/>
      <c r="P52" s="33"/>
      <c r="Q52" s="89">
        <v>5</v>
      </c>
      <c r="R52" s="89">
        <v>7</v>
      </c>
      <c r="S52" s="33"/>
      <c r="T52" s="33"/>
      <c r="U52" s="33"/>
      <c r="V52" s="33"/>
      <c r="X52" s="33"/>
    </row>
    <row r="53" spans="1:24" ht="12.75" customHeight="1">
      <c r="A53" s="181" t="s">
        <v>2</v>
      </c>
      <c r="B53" s="90">
        <f t="shared" ca="1" si="16"/>
        <v>0</v>
      </c>
      <c r="C53" s="90">
        <f t="shared" ca="1" si="16"/>
        <v>0</v>
      </c>
      <c r="D53" s="90">
        <f t="shared" ca="1" si="16"/>
        <v>0</v>
      </c>
      <c r="E53" s="90">
        <f t="shared" ca="1" si="16"/>
        <v>0</v>
      </c>
      <c r="F53" s="90">
        <f t="shared" ca="1" si="16"/>
        <v>0</v>
      </c>
      <c r="G53" s="90">
        <f t="shared" ca="1" si="16"/>
        <v>0</v>
      </c>
      <c r="H53" s="90">
        <f t="shared" ca="1" si="16"/>
        <v>0</v>
      </c>
      <c r="I53" s="90">
        <f t="shared" ca="1" si="16"/>
        <v>0</v>
      </c>
      <c r="J53" s="90">
        <f t="shared" ca="1" si="16"/>
        <v>0</v>
      </c>
      <c r="K53" s="90">
        <f t="shared" ca="1" si="16"/>
        <v>0</v>
      </c>
      <c r="L53" s="90">
        <f t="shared" ca="1" si="16"/>
        <v>0</v>
      </c>
      <c r="M53" s="33"/>
      <c r="N53" s="181">
        <f t="shared" ca="1" si="17"/>
        <v>0</v>
      </c>
      <c r="O53" s="33"/>
      <c r="P53" s="33"/>
      <c r="Q53" s="89">
        <v>12</v>
      </c>
      <c r="R53" s="89">
        <v>16</v>
      </c>
      <c r="S53" s="33"/>
      <c r="T53" s="33"/>
      <c r="U53" s="33"/>
      <c r="V53" s="33"/>
      <c r="X53" s="33"/>
    </row>
    <row r="54" spans="1:24" ht="12.75" customHeight="1">
      <c r="A54" s="181" t="s">
        <v>3</v>
      </c>
      <c r="B54" s="90">
        <f t="shared" ca="1" si="16"/>
        <v>0</v>
      </c>
      <c r="C54" s="90">
        <f t="shared" ca="1" si="16"/>
        <v>0</v>
      </c>
      <c r="D54" s="90">
        <f t="shared" ca="1" si="16"/>
        <v>0</v>
      </c>
      <c r="E54" s="90">
        <f t="shared" ca="1" si="16"/>
        <v>0</v>
      </c>
      <c r="F54" s="90">
        <f t="shared" ca="1" si="16"/>
        <v>0</v>
      </c>
      <c r="G54" s="90">
        <f t="shared" ca="1" si="16"/>
        <v>0</v>
      </c>
      <c r="H54" s="90">
        <f t="shared" ca="1" si="16"/>
        <v>0</v>
      </c>
      <c r="I54" s="90">
        <f t="shared" ca="1" si="16"/>
        <v>0</v>
      </c>
      <c r="J54" s="90">
        <f t="shared" ca="1" si="16"/>
        <v>0</v>
      </c>
      <c r="K54" s="90">
        <f t="shared" ca="1" si="16"/>
        <v>0</v>
      </c>
      <c r="L54" s="90">
        <f t="shared" ca="1" si="16"/>
        <v>0</v>
      </c>
      <c r="M54" s="33"/>
      <c r="N54" s="181">
        <f t="shared" ca="1" si="17"/>
        <v>0</v>
      </c>
      <c r="O54" s="33"/>
      <c r="P54" s="33"/>
      <c r="Q54" s="89">
        <v>21</v>
      </c>
      <c r="R54" s="89">
        <v>25</v>
      </c>
      <c r="S54" s="33"/>
      <c r="T54" s="33"/>
      <c r="U54" s="33"/>
      <c r="V54" s="33"/>
      <c r="X54" s="33"/>
    </row>
    <row r="55" spans="1:24" ht="12.75" customHeight="1">
      <c r="A55" s="181" t="s">
        <v>16</v>
      </c>
      <c r="B55" s="90">
        <f t="shared" ca="1" si="16"/>
        <v>0</v>
      </c>
      <c r="C55" s="90">
        <f t="shared" ca="1" si="16"/>
        <v>0</v>
      </c>
      <c r="D55" s="90">
        <f t="shared" ca="1" si="16"/>
        <v>0</v>
      </c>
      <c r="E55" s="90">
        <f t="shared" ca="1" si="16"/>
        <v>0</v>
      </c>
      <c r="F55" s="90">
        <f t="shared" ca="1" si="16"/>
        <v>0</v>
      </c>
      <c r="G55" s="90">
        <f t="shared" ca="1" si="16"/>
        <v>0</v>
      </c>
      <c r="H55" s="90">
        <f t="shared" ca="1" si="16"/>
        <v>0</v>
      </c>
      <c r="I55" s="90">
        <f t="shared" ca="1" si="16"/>
        <v>0</v>
      </c>
      <c r="J55" s="90">
        <f t="shared" ca="1" si="16"/>
        <v>0</v>
      </c>
      <c r="K55" s="90">
        <f t="shared" ca="1" si="16"/>
        <v>0</v>
      </c>
      <c r="L55" s="90">
        <f t="shared" ca="1" si="16"/>
        <v>0</v>
      </c>
      <c r="M55" s="33"/>
      <c r="N55" s="181">
        <f t="shared" ca="1" si="17"/>
        <v>0</v>
      </c>
      <c r="O55" s="33"/>
      <c r="P55" s="33"/>
      <c r="Q55" s="89">
        <v>28</v>
      </c>
      <c r="R55" s="89">
        <v>29</v>
      </c>
      <c r="S55" s="33"/>
      <c r="T55" s="33"/>
      <c r="U55" s="33"/>
      <c r="V55" s="33"/>
      <c r="X55" s="33"/>
    </row>
    <row r="56" spans="1:24" ht="12.75" customHeight="1">
      <c r="A56" s="181" t="s">
        <v>4</v>
      </c>
      <c r="B56" s="90">
        <f t="shared" ref="B56:L56" ca="1" si="18">SUM(INDIRECT((("'Draft Board'!"&amp;B$43)&amp;$Q56)))</f>
        <v>0</v>
      </c>
      <c r="C56" s="90">
        <f t="shared" ca="1" si="18"/>
        <v>0</v>
      </c>
      <c r="D56" s="90">
        <f t="shared" ca="1" si="18"/>
        <v>0</v>
      </c>
      <c r="E56" s="90">
        <f t="shared" ca="1" si="18"/>
        <v>0</v>
      </c>
      <c r="F56" s="90">
        <f t="shared" ca="1" si="18"/>
        <v>0</v>
      </c>
      <c r="G56" s="90">
        <f t="shared" ca="1" si="18"/>
        <v>0</v>
      </c>
      <c r="H56" s="90">
        <f t="shared" ca="1" si="18"/>
        <v>0</v>
      </c>
      <c r="I56" s="90">
        <f t="shared" ca="1" si="18"/>
        <v>0</v>
      </c>
      <c r="J56" s="90">
        <f t="shared" ca="1" si="18"/>
        <v>0</v>
      </c>
      <c r="K56" s="90">
        <f t="shared" ca="1" si="18"/>
        <v>0</v>
      </c>
      <c r="L56" s="90">
        <f t="shared" ca="1" si="18"/>
        <v>0</v>
      </c>
      <c r="M56" s="33"/>
      <c r="N56" s="181">
        <f t="shared" ca="1" si="17"/>
        <v>0</v>
      </c>
      <c r="O56" s="33"/>
      <c r="P56" s="33"/>
      <c r="Q56" s="89">
        <v>32</v>
      </c>
      <c r="R56" s="89"/>
      <c r="S56" s="33"/>
      <c r="T56" s="33"/>
      <c r="U56" s="33"/>
      <c r="V56" s="33"/>
      <c r="X56" s="33"/>
    </row>
    <row r="57" spans="1:24" ht="12.75" customHeight="1">
      <c r="A57" s="181" t="s">
        <v>15</v>
      </c>
      <c r="B57" s="90">
        <f t="shared" ref="B57:L57" ca="1" si="19">SUM(INDIRECT(((((("'Draft Board'!"&amp;B$43)&amp;$Q57)&amp;":")&amp;B$43)&amp;$R57)))</f>
        <v>0</v>
      </c>
      <c r="C57" s="90">
        <f t="shared" ca="1" si="19"/>
        <v>0</v>
      </c>
      <c r="D57" s="90">
        <f t="shared" ca="1" si="19"/>
        <v>0</v>
      </c>
      <c r="E57" s="90">
        <f t="shared" ca="1" si="19"/>
        <v>0</v>
      </c>
      <c r="F57" s="90">
        <f t="shared" ca="1" si="19"/>
        <v>0</v>
      </c>
      <c r="G57" s="90">
        <f t="shared" ca="1" si="19"/>
        <v>0</v>
      </c>
      <c r="H57" s="90">
        <f t="shared" ca="1" si="19"/>
        <v>0</v>
      </c>
      <c r="I57" s="90">
        <f t="shared" ca="1" si="19"/>
        <v>0</v>
      </c>
      <c r="J57" s="90">
        <f t="shared" ca="1" si="19"/>
        <v>0</v>
      </c>
      <c r="K57" s="90">
        <f t="shared" ca="1" si="19"/>
        <v>0</v>
      </c>
      <c r="L57" s="90">
        <f t="shared" ca="1" si="19"/>
        <v>0</v>
      </c>
      <c r="M57" s="33"/>
      <c r="N57" s="181">
        <f t="shared" ca="1" si="17"/>
        <v>0</v>
      </c>
      <c r="O57" s="33"/>
      <c r="P57" s="33"/>
      <c r="Q57" s="89">
        <v>35</v>
      </c>
      <c r="R57" s="89">
        <v>36</v>
      </c>
      <c r="S57" s="33"/>
      <c r="T57" s="33"/>
      <c r="U57" s="33"/>
      <c r="V57" s="33"/>
      <c r="X57" s="33"/>
    </row>
    <row r="58" spans="1:24" ht="12.75" customHeight="1">
      <c r="A58" s="181"/>
      <c r="B58" s="33"/>
      <c r="C58" s="33"/>
      <c r="D58" s="33"/>
      <c r="E58" s="33"/>
      <c r="F58" s="33"/>
      <c r="G58" s="33"/>
      <c r="H58" s="33"/>
      <c r="I58" s="33"/>
      <c r="J58" s="33"/>
      <c r="K58" s="33"/>
      <c r="L58" s="33"/>
      <c r="M58" s="33"/>
      <c r="N58" s="181"/>
      <c r="O58" s="33"/>
      <c r="P58" s="33"/>
      <c r="Q58" s="33"/>
      <c r="R58" s="33"/>
      <c r="S58" s="33"/>
      <c r="T58" s="33"/>
      <c r="U58" s="33"/>
      <c r="V58" s="33"/>
      <c r="X58" s="33"/>
    </row>
    <row r="59" spans="1:24" ht="12.75" customHeight="1">
      <c r="A59" s="181"/>
      <c r="B59" s="33"/>
      <c r="C59" s="33"/>
      <c r="D59" s="33"/>
      <c r="E59" s="33"/>
      <c r="F59" s="33"/>
      <c r="G59" s="33"/>
      <c r="H59" s="33"/>
      <c r="I59" s="33"/>
      <c r="J59" s="33"/>
      <c r="K59" s="33"/>
      <c r="L59" s="33"/>
      <c r="M59" s="33"/>
      <c r="N59" s="181"/>
      <c r="O59" s="33"/>
      <c r="P59" s="33"/>
      <c r="Q59" s="33"/>
      <c r="R59" s="33"/>
      <c r="S59" s="33"/>
      <c r="T59" s="33"/>
      <c r="U59" s="33"/>
      <c r="V59" s="33"/>
      <c r="X59" s="33"/>
    </row>
    <row r="60" spans="1:24" ht="12.75" customHeight="1">
      <c r="A60" s="181"/>
      <c r="B60" s="33"/>
      <c r="C60" s="33"/>
      <c r="D60" s="33"/>
      <c r="E60" s="33"/>
      <c r="F60" s="33"/>
      <c r="G60" s="33"/>
      <c r="H60" s="33"/>
      <c r="I60" s="33"/>
      <c r="J60" s="33"/>
      <c r="K60" s="33"/>
      <c r="L60" s="33"/>
      <c r="M60" s="33"/>
      <c r="N60" s="181"/>
      <c r="O60" s="33"/>
      <c r="P60" s="33"/>
      <c r="Q60" s="33"/>
      <c r="R60" s="33"/>
      <c r="S60" s="33"/>
      <c r="T60" s="33"/>
      <c r="U60" s="33"/>
      <c r="V60" s="33"/>
      <c r="X60" s="33"/>
    </row>
    <row r="61" spans="1:24" ht="12.75" customHeight="1">
      <c r="A61" s="181"/>
      <c r="B61" s="33"/>
      <c r="C61" s="33"/>
      <c r="D61" s="33"/>
      <c r="E61" s="33"/>
      <c r="F61" s="33"/>
      <c r="G61" s="33"/>
      <c r="H61" s="33"/>
      <c r="I61" s="33"/>
      <c r="J61" s="33"/>
      <c r="K61" s="33"/>
      <c r="L61" s="33"/>
      <c r="M61" s="33"/>
      <c r="N61" s="181"/>
      <c r="O61" s="33"/>
      <c r="P61" s="33"/>
      <c r="Q61" s="33"/>
      <c r="R61" s="33"/>
      <c r="S61" s="33"/>
      <c r="T61" s="33"/>
      <c r="U61" s="33"/>
      <c r="V61" s="33"/>
      <c r="X61" s="33"/>
    </row>
    <row r="62" spans="1:24" ht="12.75" customHeight="1">
      <c r="A62" s="181"/>
      <c r="B62" s="33"/>
      <c r="C62" s="33"/>
      <c r="D62" s="33"/>
      <c r="E62" s="33"/>
      <c r="F62" s="33"/>
      <c r="G62" s="33"/>
      <c r="H62" s="33"/>
      <c r="I62" s="33"/>
      <c r="J62" s="33"/>
      <c r="K62" s="33"/>
      <c r="L62" s="33"/>
      <c r="M62" s="33"/>
      <c r="N62" s="181"/>
      <c r="O62" s="33"/>
      <c r="P62" s="33"/>
      <c r="Q62" s="33"/>
      <c r="R62" s="33"/>
      <c r="S62" s="33"/>
      <c r="T62" s="33"/>
      <c r="U62" s="33"/>
      <c r="V62" s="33"/>
      <c r="X62" s="33"/>
    </row>
    <row r="63" spans="1:24" ht="12.75" customHeight="1">
      <c r="A63" s="181"/>
      <c r="B63" s="33"/>
      <c r="C63" s="33"/>
      <c r="D63" s="33"/>
      <c r="E63" s="33"/>
      <c r="F63" s="33"/>
      <c r="G63" s="33"/>
      <c r="H63" s="33"/>
      <c r="I63" s="33"/>
      <c r="J63" s="33"/>
      <c r="K63" s="33"/>
      <c r="L63" s="33"/>
      <c r="M63" s="33"/>
      <c r="N63" s="181"/>
      <c r="O63" s="33"/>
      <c r="P63" s="33"/>
      <c r="Q63" s="33"/>
      <c r="R63" s="33"/>
      <c r="S63" s="33"/>
      <c r="T63" s="33"/>
      <c r="U63" s="33"/>
      <c r="V63" s="33"/>
      <c r="X63" s="33"/>
    </row>
    <row r="64" spans="1:24" ht="12.75" customHeight="1">
      <c r="A64" s="181"/>
      <c r="B64" s="33"/>
      <c r="C64" s="33"/>
      <c r="D64" s="33"/>
      <c r="E64" s="33"/>
      <c r="F64" s="33"/>
      <c r="G64" s="33"/>
      <c r="H64" s="33"/>
      <c r="I64" s="33"/>
      <c r="J64" s="33"/>
      <c r="K64" s="33"/>
      <c r="L64" s="33"/>
      <c r="M64" s="33"/>
      <c r="N64" s="181"/>
      <c r="O64" s="33"/>
      <c r="P64" s="33"/>
      <c r="Q64" s="33"/>
      <c r="R64" s="33"/>
      <c r="S64" s="33"/>
      <c r="T64" s="33"/>
      <c r="U64" s="33"/>
      <c r="V64" s="33"/>
      <c r="X64" s="33"/>
    </row>
    <row r="65" spans="1:24" ht="12.75" customHeight="1">
      <c r="A65" s="181"/>
      <c r="B65" s="33"/>
      <c r="C65" s="33"/>
      <c r="D65" s="33"/>
      <c r="E65" s="33"/>
      <c r="F65" s="33"/>
      <c r="G65" s="33"/>
      <c r="H65" s="33"/>
      <c r="I65" s="33"/>
      <c r="J65" s="33"/>
      <c r="K65" s="33"/>
      <c r="L65" s="33"/>
      <c r="M65" s="33"/>
      <c r="N65" s="181"/>
      <c r="O65" s="33"/>
      <c r="P65" s="33"/>
      <c r="Q65" s="33"/>
      <c r="R65" s="33"/>
      <c r="S65" s="33"/>
      <c r="T65" s="33"/>
      <c r="U65" s="33"/>
      <c r="V65" s="33"/>
      <c r="X65" s="33"/>
    </row>
    <row r="66" spans="1:24" ht="12.75" customHeight="1">
      <c r="A66" s="181"/>
      <c r="B66" s="33"/>
      <c r="C66" s="33"/>
      <c r="D66" s="33"/>
      <c r="E66" s="33"/>
      <c r="F66" s="33"/>
      <c r="G66" s="33"/>
      <c r="H66" s="33"/>
      <c r="I66" s="33"/>
      <c r="J66" s="33"/>
      <c r="K66" s="33"/>
      <c r="L66" s="33"/>
      <c r="M66" s="33"/>
      <c r="N66" s="181"/>
      <c r="O66" s="33"/>
      <c r="P66" s="33"/>
      <c r="Q66" s="33"/>
      <c r="R66" s="33"/>
      <c r="S66" s="33"/>
      <c r="T66" s="33"/>
      <c r="U66" s="33"/>
      <c r="V66" s="33"/>
      <c r="X66" s="33"/>
    </row>
    <row r="67" spans="1:24" ht="12.75" customHeight="1">
      <c r="A67" s="181"/>
      <c r="B67" s="33"/>
      <c r="C67" s="33"/>
      <c r="D67" s="33"/>
      <c r="E67" s="33"/>
      <c r="F67" s="33"/>
      <c r="G67" s="33"/>
      <c r="H67" s="33"/>
      <c r="I67" s="33"/>
      <c r="J67" s="33"/>
      <c r="K67" s="33"/>
      <c r="L67" s="33"/>
      <c r="M67" s="33"/>
      <c r="N67" s="181"/>
      <c r="O67" s="33"/>
      <c r="P67" s="33"/>
      <c r="Q67" s="33"/>
      <c r="R67" s="33"/>
      <c r="S67" s="33"/>
      <c r="T67" s="33"/>
      <c r="U67" s="33"/>
      <c r="V67" s="33"/>
      <c r="X67" s="33"/>
    </row>
    <row r="68" spans="1:24" ht="12.75" customHeight="1">
      <c r="A68" s="181"/>
      <c r="B68" s="33"/>
      <c r="C68" s="33"/>
      <c r="D68" s="33"/>
      <c r="E68" s="33"/>
      <c r="F68" s="33"/>
      <c r="G68" s="33"/>
      <c r="H68" s="33"/>
      <c r="I68" s="33"/>
      <c r="J68" s="33"/>
      <c r="K68" s="33"/>
      <c r="L68" s="33"/>
      <c r="M68" s="33"/>
      <c r="N68" s="181"/>
      <c r="O68" s="33"/>
      <c r="P68" s="33"/>
      <c r="Q68" s="33"/>
      <c r="R68" s="33"/>
      <c r="S68" s="33"/>
      <c r="T68" s="33"/>
      <c r="U68" s="33"/>
      <c r="V68" s="33"/>
      <c r="X68" s="33"/>
    </row>
    <row r="69" spans="1:24" ht="12.75" customHeight="1">
      <c r="A69" s="181"/>
      <c r="B69" s="33"/>
      <c r="C69" s="33"/>
      <c r="D69" s="33"/>
      <c r="E69" s="33"/>
      <c r="F69" s="33"/>
      <c r="G69" s="33"/>
      <c r="H69" s="33"/>
      <c r="I69" s="33"/>
      <c r="J69" s="33"/>
      <c r="K69" s="33"/>
      <c r="L69" s="33"/>
      <c r="M69" s="33"/>
      <c r="N69" s="181"/>
      <c r="O69" s="33"/>
      <c r="P69" s="33"/>
      <c r="Q69" s="33"/>
      <c r="R69" s="33"/>
      <c r="S69" s="33"/>
      <c r="T69" s="33"/>
      <c r="U69" s="33"/>
      <c r="V69" s="33"/>
      <c r="X69" s="33"/>
    </row>
    <row r="70" spans="1:24" ht="12.75" customHeight="1">
      <c r="A70" s="181"/>
      <c r="B70" s="33"/>
      <c r="C70" s="33"/>
      <c r="D70" s="33"/>
      <c r="E70" s="33"/>
      <c r="F70" s="33"/>
      <c r="G70" s="33"/>
      <c r="H70" s="33"/>
      <c r="I70" s="33"/>
      <c r="J70" s="33"/>
      <c r="K70" s="33"/>
      <c r="L70" s="33"/>
      <c r="M70" s="33"/>
      <c r="N70" s="181"/>
      <c r="O70" s="33"/>
      <c r="P70" s="33"/>
      <c r="Q70" s="33"/>
      <c r="R70" s="33"/>
      <c r="S70" s="33"/>
      <c r="T70" s="33"/>
      <c r="U70" s="33"/>
      <c r="V70" s="33"/>
      <c r="X70" s="33"/>
    </row>
    <row r="71" spans="1:24" ht="12.75" customHeight="1">
      <c r="A71" s="181"/>
      <c r="B71" s="33"/>
      <c r="C71" s="33"/>
      <c r="D71" s="33"/>
      <c r="E71" s="33"/>
      <c r="F71" s="33"/>
      <c r="G71" s="33"/>
      <c r="H71" s="33"/>
      <c r="I71" s="33"/>
      <c r="J71" s="33"/>
      <c r="K71" s="33"/>
      <c r="L71" s="33"/>
      <c r="M71" s="33"/>
      <c r="N71" s="181"/>
      <c r="O71" s="33"/>
      <c r="P71" s="33"/>
      <c r="Q71" s="33"/>
      <c r="R71" s="33"/>
      <c r="S71" s="33"/>
      <c r="T71" s="33"/>
      <c r="U71" s="33"/>
      <c r="V71" s="33"/>
      <c r="X71" s="33"/>
    </row>
    <row r="72" spans="1:24" ht="12.75" customHeight="1">
      <c r="A72" s="181"/>
      <c r="B72" s="33"/>
      <c r="C72" s="33"/>
      <c r="D72" s="33"/>
      <c r="E72" s="33"/>
      <c r="F72" s="33"/>
      <c r="G72" s="33"/>
      <c r="H72" s="33"/>
      <c r="I72" s="33"/>
      <c r="J72" s="33"/>
      <c r="K72" s="33"/>
      <c r="L72" s="33"/>
      <c r="M72" s="33"/>
      <c r="N72" s="181"/>
      <c r="O72" s="33"/>
      <c r="P72" s="33"/>
      <c r="Q72" s="33"/>
      <c r="R72" s="33"/>
      <c r="S72" s="33"/>
      <c r="T72" s="33"/>
      <c r="U72" s="33"/>
      <c r="V72" s="33"/>
      <c r="X72" s="33"/>
    </row>
    <row r="73" spans="1:24" ht="12.75" customHeight="1">
      <c r="A73" s="181"/>
      <c r="B73" s="33"/>
      <c r="C73" s="33"/>
      <c r="D73" s="33"/>
      <c r="E73" s="33"/>
      <c r="F73" s="33"/>
      <c r="G73" s="33"/>
      <c r="H73" s="33"/>
      <c r="I73" s="33"/>
      <c r="J73" s="33"/>
      <c r="K73" s="33"/>
      <c r="L73" s="33"/>
      <c r="M73" s="33"/>
      <c r="N73" s="181"/>
      <c r="O73" s="33"/>
      <c r="P73" s="33"/>
      <c r="Q73" s="33"/>
      <c r="R73" s="33"/>
      <c r="S73" s="33"/>
      <c r="T73" s="33"/>
      <c r="U73" s="33"/>
      <c r="V73" s="33"/>
      <c r="X73" s="33"/>
    </row>
    <row r="74" spans="1:24" ht="12.75" customHeight="1">
      <c r="A74" s="181"/>
      <c r="B74" s="33"/>
      <c r="C74" s="33"/>
      <c r="D74" s="33"/>
      <c r="E74" s="33"/>
      <c r="F74" s="33"/>
      <c r="G74" s="33"/>
      <c r="H74" s="33"/>
      <c r="I74" s="33"/>
      <c r="J74" s="33"/>
      <c r="K74" s="33"/>
      <c r="L74" s="33"/>
      <c r="M74" s="33"/>
      <c r="N74" s="181"/>
      <c r="O74" s="33"/>
      <c r="P74" s="33"/>
      <c r="Q74" s="33"/>
      <c r="R74" s="33"/>
      <c r="S74" s="33"/>
      <c r="T74" s="33"/>
      <c r="U74" s="33"/>
      <c r="V74" s="33"/>
      <c r="X74" s="33"/>
    </row>
    <row r="75" spans="1:24" ht="12.75" customHeight="1">
      <c r="A75" s="181"/>
      <c r="B75" s="33"/>
      <c r="C75" s="33"/>
      <c r="D75" s="33"/>
      <c r="E75" s="33"/>
      <c r="F75" s="33"/>
      <c r="G75" s="33"/>
      <c r="H75" s="33"/>
      <c r="I75" s="33"/>
      <c r="J75" s="33"/>
      <c r="K75" s="33"/>
      <c r="L75" s="33"/>
      <c r="M75" s="33"/>
      <c r="N75" s="181"/>
      <c r="O75" s="33"/>
      <c r="P75" s="33"/>
      <c r="Q75" s="33"/>
      <c r="R75" s="33"/>
      <c r="S75" s="33"/>
      <c r="T75" s="33"/>
      <c r="U75" s="33"/>
      <c r="V75" s="33"/>
      <c r="X75" s="33"/>
    </row>
    <row r="76" spans="1:24" ht="12.75" customHeight="1">
      <c r="A76" s="181"/>
      <c r="B76" s="33"/>
      <c r="C76" s="33"/>
      <c r="D76" s="33"/>
      <c r="E76" s="33"/>
      <c r="F76" s="33"/>
      <c r="G76" s="33"/>
      <c r="H76" s="33"/>
      <c r="I76" s="33"/>
      <c r="J76" s="33"/>
      <c r="K76" s="33"/>
      <c r="L76" s="33"/>
      <c r="M76" s="33"/>
      <c r="N76" s="181"/>
      <c r="O76" s="33"/>
      <c r="P76" s="33"/>
      <c r="Q76" s="33"/>
      <c r="R76" s="33"/>
      <c r="S76" s="33"/>
      <c r="T76" s="33"/>
      <c r="U76" s="33"/>
      <c r="V76" s="33"/>
      <c r="X76" s="33"/>
    </row>
    <row r="77" spans="1:24" ht="12.75" customHeight="1">
      <c r="A77" s="181"/>
      <c r="B77" s="33"/>
      <c r="C77" s="33"/>
      <c r="D77" s="33"/>
      <c r="E77" s="33"/>
      <c r="F77" s="33"/>
      <c r="G77" s="33"/>
      <c r="H77" s="33"/>
      <c r="I77" s="33"/>
      <c r="J77" s="33"/>
      <c r="K77" s="33"/>
      <c r="L77" s="33"/>
      <c r="M77" s="33"/>
      <c r="N77" s="181"/>
      <c r="O77" s="33"/>
      <c r="P77" s="33"/>
      <c r="Q77" s="33"/>
      <c r="R77" s="33"/>
      <c r="S77" s="33"/>
      <c r="T77" s="33"/>
      <c r="U77" s="33"/>
      <c r="V77" s="33"/>
      <c r="X77" s="33"/>
    </row>
    <row r="78" spans="1:24" ht="12.75" customHeight="1">
      <c r="A78" s="181"/>
      <c r="B78" s="33"/>
      <c r="C78" s="33"/>
      <c r="D78" s="33"/>
      <c r="E78" s="33"/>
      <c r="F78" s="33"/>
      <c r="G78" s="33"/>
      <c r="H78" s="33"/>
      <c r="I78" s="33"/>
      <c r="J78" s="33"/>
      <c r="K78" s="33"/>
      <c r="L78" s="33"/>
      <c r="M78" s="33"/>
      <c r="N78" s="181"/>
      <c r="O78" s="33"/>
      <c r="P78" s="33"/>
      <c r="Q78" s="33"/>
      <c r="R78" s="33"/>
      <c r="S78" s="33"/>
      <c r="T78" s="33"/>
      <c r="U78" s="33"/>
      <c r="V78" s="33"/>
      <c r="X78" s="33"/>
    </row>
    <row r="79" spans="1:24" ht="12.75" customHeight="1">
      <c r="A79" s="181"/>
      <c r="B79" s="33"/>
      <c r="C79" s="33"/>
      <c r="D79" s="33"/>
      <c r="E79" s="33"/>
      <c r="F79" s="33"/>
      <c r="G79" s="33"/>
      <c r="H79" s="33"/>
      <c r="I79" s="33"/>
      <c r="J79" s="33"/>
      <c r="K79" s="33"/>
      <c r="L79" s="33"/>
      <c r="M79" s="33"/>
      <c r="N79" s="181"/>
      <c r="O79" s="33"/>
      <c r="P79" s="33"/>
      <c r="Q79" s="33"/>
      <c r="R79" s="33"/>
      <c r="S79" s="33"/>
      <c r="T79" s="33"/>
      <c r="U79" s="33"/>
      <c r="V79" s="33"/>
      <c r="X79" s="33"/>
    </row>
    <row r="80" spans="1:24" ht="12.75" customHeight="1">
      <c r="A80" s="181"/>
      <c r="B80" s="33"/>
      <c r="C80" s="33"/>
      <c r="D80" s="33"/>
      <c r="E80" s="33"/>
      <c r="F80" s="33"/>
      <c r="G80" s="33"/>
      <c r="H80" s="33"/>
      <c r="I80" s="33"/>
      <c r="J80" s="33"/>
      <c r="K80" s="33"/>
      <c r="L80" s="33"/>
      <c r="M80" s="33"/>
      <c r="N80" s="181"/>
      <c r="O80" s="33"/>
      <c r="P80" s="33"/>
      <c r="Q80" s="33"/>
      <c r="R80" s="33"/>
      <c r="S80" s="33"/>
      <c r="T80" s="33"/>
      <c r="U80" s="33"/>
      <c r="V80" s="33"/>
      <c r="X80" s="33"/>
    </row>
    <row r="81" spans="1:24" ht="12.75" customHeight="1">
      <c r="A81" s="181"/>
      <c r="B81" s="33"/>
      <c r="C81" s="33"/>
      <c r="D81" s="33"/>
      <c r="E81" s="33"/>
      <c r="F81" s="33"/>
      <c r="G81" s="33"/>
      <c r="H81" s="33"/>
      <c r="I81" s="33"/>
      <c r="J81" s="33"/>
      <c r="K81" s="33"/>
      <c r="L81" s="33"/>
      <c r="M81" s="33"/>
      <c r="N81" s="181"/>
      <c r="O81" s="33"/>
      <c r="P81" s="33"/>
      <c r="Q81" s="33"/>
      <c r="R81" s="33"/>
      <c r="S81" s="33"/>
      <c r="T81" s="33"/>
      <c r="U81" s="33"/>
      <c r="V81" s="33"/>
      <c r="X81" s="33"/>
    </row>
    <row r="82" spans="1:24" ht="12.75" customHeight="1">
      <c r="A82" s="181"/>
      <c r="B82" s="33"/>
      <c r="C82" s="33"/>
      <c r="D82" s="33"/>
      <c r="E82" s="33"/>
      <c r="F82" s="33"/>
      <c r="G82" s="33"/>
      <c r="H82" s="33"/>
      <c r="I82" s="33"/>
      <c r="J82" s="33"/>
      <c r="K82" s="33"/>
      <c r="L82" s="33"/>
      <c r="M82" s="33"/>
      <c r="N82" s="181"/>
      <c r="O82" s="33"/>
      <c r="P82" s="33"/>
      <c r="Q82" s="33"/>
      <c r="R82" s="33"/>
      <c r="S82" s="33"/>
      <c r="T82" s="33"/>
      <c r="U82" s="33"/>
      <c r="V82" s="33"/>
      <c r="X82" s="33"/>
    </row>
    <row r="83" spans="1:24" ht="12.75" customHeight="1">
      <c r="A83" s="181"/>
      <c r="B83" s="33"/>
      <c r="C83" s="33"/>
      <c r="D83" s="33"/>
      <c r="E83" s="33"/>
      <c r="F83" s="33"/>
      <c r="G83" s="33"/>
      <c r="H83" s="33"/>
      <c r="I83" s="33"/>
      <c r="J83" s="33"/>
      <c r="K83" s="33"/>
      <c r="L83" s="33"/>
      <c r="M83" s="33"/>
      <c r="N83" s="181"/>
      <c r="O83" s="33"/>
      <c r="P83" s="33"/>
      <c r="Q83" s="33"/>
      <c r="R83" s="33"/>
      <c r="S83" s="33"/>
      <c r="T83" s="33"/>
      <c r="U83" s="33"/>
      <c r="V83" s="33"/>
      <c r="X83" s="33"/>
    </row>
    <row r="84" spans="1:24" ht="12.75" customHeight="1">
      <c r="A84" s="181"/>
      <c r="B84" s="33"/>
      <c r="C84" s="33"/>
      <c r="D84" s="33"/>
      <c r="E84" s="33"/>
      <c r="F84" s="33"/>
      <c r="G84" s="33"/>
      <c r="H84" s="33"/>
      <c r="I84" s="33"/>
      <c r="J84" s="33"/>
      <c r="K84" s="33"/>
      <c r="L84" s="33"/>
      <c r="M84" s="33"/>
      <c r="N84" s="181"/>
      <c r="O84" s="33"/>
      <c r="P84" s="33"/>
      <c r="Q84" s="33"/>
      <c r="R84" s="33"/>
      <c r="S84" s="33"/>
      <c r="T84" s="33"/>
      <c r="U84" s="33"/>
      <c r="V84" s="33"/>
      <c r="X84" s="33"/>
    </row>
    <row r="85" spans="1:24" ht="12.75" customHeight="1">
      <c r="A85" s="181"/>
      <c r="B85" s="33"/>
      <c r="C85" s="33"/>
      <c r="D85" s="33"/>
      <c r="E85" s="33"/>
      <c r="F85" s="33"/>
      <c r="G85" s="33"/>
      <c r="H85" s="33"/>
      <c r="I85" s="33"/>
      <c r="J85" s="33"/>
      <c r="K85" s="33"/>
      <c r="L85" s="33"/>
      <c r="M85" s="33"/>
      <c r="N85" s="181"/>
      <c r="O85" s="33"/>
      <c r="P85" s="33"/>
      <c r="Q85" s="33"/>
      <c r="R85" s="33"/>
      <c r="S85" s="33"/>
      <c r="T85" s="33"/>
      <c r="U85" s="33"/>
      <c r="V85" s="33"/>
      <c r="X85" s="33"/>
    </row>
    <row r="86" spans="1:24" ht="12.75" customHeight="1">
      <c r="A86" s="181"/>
      <c r="B86" s="33"/>
      <c r="C86" s="33"/>
      <c r="D86" s="33"/>
      <c r="E86" s="33"/>
      <c r="F86" s="33"/>
      <c r="G86" s="33"/>
      <c r="H86" s="33"/>
      <c r="I86" s="33"/>
      <c r="J86" s="33"/>
      <c r="K86" s="33"/>
      <c r="L86" s="33"/>
      <c r="M86" s="33"/>
      <c r="N86" s="181"/>
      <c r="O86" s="33"/>
      <c r="P86" s="33"/>
      <c r="Q86" s="33"/>
      <c r="R86" s="33"/>
      <c r="S86" s="33"/>
      <c r="T86" s="33"/>
      <c r="U86" s="33"/>
      <c r="V86" s="33"/>
      <c r="X86" s="33"/>
    </row>
    <row r="87" spans="1:24" ht="12.75" customHeight="1">
      <c r="A87" s="181"/>
      <c r="B87" s="33"/>
      <c r="C87" s="33"/>
      <c r="D87" s="33"/>
      <c r="E87" s="33"/>
      <c r="F87" s="33"/>
      <c r="G87" s="33"/>
      <c r="H87" s="33"/>
      <c r="I87" s="33"/>
      <c r="J87" s="33"/>
      <c r="K87" s="33"/>
      <c r="L87" s="33"/>
      <c r="M87" s="33"/>
      <c r="N87" s="181"/>
      <c r="O87" s="33"/>
      <c r="P87" s="33"/>
      <c r="Q87" s="33"/>
      <c r="R87" s="33"/>
      <c r="S87" s="33"/>
      <c r="T87" s="33"/>
      <c r="U87" s="33"/>
      <c r="V87" s="33"/>
      <c r="X87" s="33"/>
    </row>
    <row r="88" spans="1:24" ht="12.75" customHeight="1">
      <c r="A88" s="181"/>
      <c r="B88" s="33"/>
      <c r="C88" s="33"/>
      <c r="D88" s="33"/>
      <c r="E88" s="33"/>
      <c r="F88" s="33"/>
      <c r="G88" s="33"/>
      <c r="H88" s="33"/>
      <c r="I88" s="33"/>
      <c r="J88" s="33"/>
      <c r="K88" s="33"/>
      <c r="L88" s="33"/>
      <c r="M88" s="33"/>
      <c r="N88" s="181"/>
      <c r="O88" s="33"/>
      <c r="P88" s="33"/>
      <c r="Q88" s="33"/>
      <c r="R88" s="33"/>
      <c r="S88" s="33"/>
      <c r="T88" s="33"/>
      <c r="U88" s="33"/>
      <c r="V88" s="33"/>
      <c r="X88" s="33"/>
    </row>
    <row r="89" spans="1:24" ht="12.75" customHeight="1">
      <c r="A89" s="181"/>
      <c r="B89" s="33"/>
      <c r="C89" s="33"/>
      <c r="D89" s="33"/>
      <c r="E89" s="33"/>
      <c r="F89" s="33"/>
      <c r="G89" s="33"/>
      <c r="H89" s="33"/>
      <c r="I89" s="33"/>
      <c r="J89" s="33"/>
      <c r="K89" s="33"/>
      <c r="L89" s="33"/>
      <c r="M89" s="33"/>
      <c r="N89" s="181"/>
      <c r="O89" s="33"/>
      <c r="P89" s="33"/>
      <c r="Q89" s="33"/>
      <c r="R89" s="33"/>
      <c r="S89" s="33"/>
      <c r="T89" s="33"/>
      <c r="U89" s="33"/>
      <c r="V89" s="33"/>
      <c r="X89" s="33"/>
    </row>
    <row r="90" spans="1:24" ht="12.75" customHeight="1">
      <c r="A90" s="181"/>
      <c r="B90" s="33"/>
      <c r="C90" s="33"/>
      <c r="D90" s="33"/>
      <c r="E90" s="33"/>
      <c r="F90" s="33"/>
      <c r="G90" s="33"/>
      <c r="H90" s="33"/>
      <c r="I90" s="33"/>
      <c r="J90" s="33"/>
      <c r="K90" s="33"/>
      <c r="L90" s="33"/>
      <c r="M90" s="33"/>
      <c r="N90" s="181"/>
      <c r="O90" s="33"/>
      <c r="P90" s="33"/>
      <c r="Q90" s="33"/>
      <c r="R90" s="33"/>
      <c r="S90" s="33"/>
      <c r="T90" s="33"/>
      <c r="U90" s="33"/>
      <c r="V90" s="33"/>
      <c r="X90" s="33"/>
    </row>
    <row r="91" spans="1:24" ht="12.75" customHeight="1">
      <c r="A91" s="181"/>
      <c r="B91" s="33"/>
      <c r="C91" s="33"/>
      <c r="D91" s="33"/>
      <c r="E91" s="33"/>
      <c r="F91" s="33"/>
      <c r="G91" s="33"/>
      <c r="H91" s="33"/>
      <c r="I91" s="33"/>
      <c r="J91" s="33"/>
      <c r="K91" s="33"/>
      <c r="L91" s="33"/>
      <c r="M91" s="33"/>
      <c r="N91" s="181"/>
      <c r="O91" s="33"/>
      <c r="P91" s="33"/>
      <c r="Q91" s="33"/>
      <c r="R91" s="33"/>
      <c r="S91" s="33"/>
      <c r="T91" s="33"/>
      <c r="U91" s="33"/>
      <c r="V91" s="33"/>
      <c r="X91" s="33"/>
    </row>
    <row r="92" spans="1:24" ht="12.75" customHeight="1">
      <c r="A92" s="181"/>
      <c r="B92" s="33"/>
      <c r="C92" s="33"/>
      <c r="D92" s="33"/>
      <c r="E92" s="33"/>
      <c r="F92" s="33"/>
      <c r="G92" s="33"/>
      <c r="H92" s="33"/>
      <c r="I92" s="33"/>
      <c r="J92" s="33"/>
      <c r="K92" s="33"/>
      <c r="L92" s="33"/>
      <c r="M92" s="33"/>
      <c r="N92" s="181"/>
      <c r="O92" s="33"/>
      <c r="P92" s="33"/>
      <c r="Q92" s="33"/>
      <c r="R92" s="33"/>
      <c r="S92" s="33"/>
      <c r="T92" s="33"/>
      <c r="U92" s="33"/>
      <c r="V92" s="33"/>
      <c r="X92" s="33"/>
    </row>
    <row r="93" spans="1:24" ht="12.75" customHeight="1">
      <c r="A93" s="181"/>
      <c r="B93" s="33"/>
      <c r="C93" s="33"/>
      <c r="D93" s="33"/>
      <c r="E93" s="33"/>
      <c r="F93" s="33"/>
      <c r="G93" s="33"/>
      <c r="H93" s="33"/>
      <c r="I93" s="33"/>
      <c r="J93" s="33"/>
      <c r="K93" s="33"/>
      <c r="L93" s="33"/>
      <c r="M93" s="33"/>
      <c r="N93" s="181"/>
      <c r="O93" s="33"/>
      <c r="P93" s="33"/>
      <c r="Q93" s="33"/>
      <c r="R93" s="33"/>
      <c r="S93" s="33"/>
      <c r="T93" s="33"/>
      <c r="U93" s="33"/>
      <c r="V93" s="33"/>
      <c r="X93" s="33"/>
    </row>
    <row r="94" spans="1:24" ht="12.75" customHeight="1">
      <c r="A94" s="181"/>
      <c r="B94" s="33"/>
      <c r="C94" s="33"/>
      <c r="D94" s="33"/>
      <c r="E94" s="33"/>
      <c r="F94" s="33"/>
      <c r="G94" s="33"/>
      <c r="H94" s="33"/>
      <c r="I94" s="33"/>
      <c r="J94" s="33"/>
      <c r="K94" s="33"/>
      <c r="L94" s="33"/>
      <c r="M94" s="33"/>
      <c r="N94" s="181"/>
      <c r="O94" s="33"/>
      <c r="P94" s="33"/>
      <c r="Q94" s="33"/>
      <c r="R94" s="33"/>
      <c r="S94" s="33"/>
      <c r="T94" s="33"/>
      <c r="U94" s="33"/>
      <c r="V94" s="33"/>
      <c r="X94" s="33"/>
    </row>
    <row r="95" spans="1:24" ht="12.75" customHeight="1">
      <c r="A95" s="181"/>
      <c r="B95" s="33"/>
      <c r="C95" s="33"/>
      <c r="D95" s="33"/>
      <c r="E95" s="33"/>
      <c r="F95" s="33"/>
      <c r="G95" s="33"/>
      <c r="H95" s="33"/>
      <c r="I95" s="33"/>
      <c r="J95" s="33"/>
      <c r="K95" s="33"/>
      <c r="L95" s="33"/>
      <c r="M95" s="33"/>
      <c r="N95" s="181"/>
      <c r="O95" s="33"/>
      <c r="P95" s="33"/>
      <c r="Q95" s="33"/>
      <c r="R95" s="33"/>
      <c r="S95" s="33"/>
      <c r="T95" s="33"/>
      <c r="U95" s="33"/>
      <c r="V95" s="33"/>
      <c r="X95" s="33"/>
    </row>
    <row r="96" spans="1:24" ht="12.75" customHeight="1">
      <c r="A96" s="181"/>
      <c r="B96" s="33"/>
      <c r="C96" s="33"/>
      <c r="D96" s="33"/>
      <c r="E96" s="33"/>
      <c r="F96" s="33"/>
      <c r="G96" s="33"/>
      <c r="H96" s="33"/>
      <c r="I96" s="33"/>
      <c r="J96" s="33"/>
      <c r="K96" s="33"/>
      <c r="L96" s="33"/>
      <c r="M96" s="33"/>
      <c r="N96" s="181"/>
      <c r="O96" s="33"/>
      <c r="P96" s="33"/>
      <c r="Q96" s="33"/>
      <c r="R96" s="33"/>
      <c r="S96" s="33"/>
      <c r="T96" s="33"/>
      <c r="U96" s="33"/>
      <c r="V96" s="33"/>
      <c r="X96" s="33"/>
    </row>
    <row r="97" spans="1:24" ht="12.75" customHeight="1">
      <c r="A97" s="181"/>
      <c r="B97" s="33"/>
      <c r="C97" s="33"/>
      <c r="D97" s="33"/>
      <c r="E97" s="33"/>
      <c r="F97" s="33"/>
      <c r="G97" s="33"/>
      <c r="H97" s="33"/>
      <c r="I97" s="33"/>
      <c r="J97" s="33"/>
      <c r="K97" s="33"/>
      <c r="L97" s="33"/>
      <c r="M97" s="33"/>
      <c r="N97" s="181"/>
      <c r="O97" s="33"/>
      <c r="P97" s="33"/>
      <c r="Q97" s="33"/>
      <c r="R97" s="33"/>
      <c r="S97" s="33"/>
      <c r="T97" s="33"/>
      <c r="U97" s="33"/>
      <c r="V97" s="33"/>
      <c r="X97" s="33"/>
    </row>
    <row r="98" spans="1:24" ht="12.75" customHeight="1">
      <c r="A98" s="181"/>
      <c r="B98" s="33"/>
      <c r="C98" s="33"/>
      <c r="D98" s="33"/>
      <c r="E98" s="33"/>
      <c r="F98" s="33"/>
      <c r="G98" s="33"/>
      <c r="H98" s="33"/>
      <c r="I98" s="33"/>
      <c r="J98" s="33"/>
      <c r="K98" s="33"/>
      <c r="L98" s="33"/>
      <c r="M98" s="33"/>
      <c r="N98" s="181"/>
      <c r="O98" s="33"/>
      <c r="P98" s="33"/>
      <c r="Q98" s="33"/>
      <c r="R98" s="33"/>
      <c r="S98" s="33"/>
      <c r="T98" s="33"/>
      <c r="U98" s="33"/>
      <c r="V98" s="33"/>
      <c r="X98" s="33"/>
    </row>
    <row r="99" spans="1:24" ht="12.75" customHeight="1">
      <c r="A99" s="181"/>
      <c r="B99" s="33"/>
      <c r="C99" s="33"/>
      <c r="D99" s="33"/>
      <c r="E99" s="33"/>
      <c r="F99" s="33"/>
      <c r="G99" s="33"/>
      <c r="H99" s="33"/>
      <c r="I99" s="33"/>
      <c r="J99" s="33"/>
      <c r="K99" s="33"/>
      <c r="L99" s="33"/>
      <c r="M99" s="33"/>
      <c r="N99" s="181"/>
      <c r="O99" s="33"/>
      <c r="P99" s="33"/>
      <c r="Q99" s="33"/>
      <c r="R99" s="33"/>
      <c r="S99" s="33"/>
      <c r="T99" s="33"/>
      <c r="U99" s="33"/>
      <c r="V99" s="33"/>
      <c r="X99" s="33"/>
    </row>
    <row r="100" spans="1:24" ht="12.75" customHeight="1">
      <c r="A100" s="181"/>
      <c r="B100" s="33"/>
      <c r="C100" s="33"/>
      <c r="D100" s="33"/>
      <c r="E100" s="33"/>
      <c r="F100" s="33"/>
      <c r="G100" s="33"/>
      <c r="H100" s="33"/>
      <c r="I100" s="33"/>
      <c r="J100" s="33"/>
      <c r="K100" s="33"/>
      <c r="L100" s="33"/>
      <c r="M100" s="33"/>
      <c r="N100" s="181"/>
      <c r="O100" s="33"/>
      <c r="P100" s="33"/>
      <c r="Q100" s="33"/>
      <c r="R100" s="33"/>
      <c r="S100" s="33"/>
      <c r="T100" s="33"/>
      <c r="U100" s="33"/>
      <c r="V100" s="33"/>
      <c r="X100" s="33"/>
    </row>
    <row r="101" spans="1:24" ht="12.75" customHeight="1">
      <c r="A101" s="181"/>
      <c r="B101" s="33"/>
      <c r="C101" s="33"/>
      <c r="D101" s="33"/>
      <c r="E101" s="33"/>
      <c r="F101" s="33"/>
      <c r="G101" s="33"/>
      <c r="H101" s="33"/>
      <c r="I101" s="33"/>
      <c r="J101" s="33"/>
      <c r="K101" s="33"/>
      <c r="L101" s="33"/>
      <c r="M101" s="33"/>
      <c r="N101" s="181"/>
      <c r="O101" s="33"/>
      <c r="P101" s="33"/>
      <c r="Q101" s="33"/>
      <c r="R101" s="33"/>
      <c r="S101" s="33"/>
      <c r="T101" s="33"/>
      <c r="U101" s="33"/>
      <c r="V101" s="33"/>
      <c r="X101" s="33"/>
    </row>
  </sheetData>
  <conditionalFormatting sqref="B26 C26 D26 E26 F26 G26 H26 I26 J26 K26 L26">
    <cfRule type="cellIs" dxfId="20" priority="1" stopIfTrue="1" operator="lessThan">
      <formula>2</formula>
    </cfRule>
    <cfRule type="cellIs" dxfId="19" priority="2" stopIfTrue="1" operator="equal">
      <formula>2</formula>
    </cfRule>
    <cfRule type="cellIs" dxfId="18" priority="3" stopIfTrue="1" operator="greaterThan">
      <formula>2</formula>
    </cfRule>
  </conditionalFormatting>
  <conditionalFormatting sqref="Q3 S3 W3 Q4 S4 W4 Q5 S5 W5 Q6 S6 W6 Q7 S7 W7 Q8 S8 W8 Q13 Q14 B17 C17 D17 E17 F17 G17 H17 I17 J17 K17 L17 N17 B18 C18 D18 E18 F18 G18 H18 I18 J18 K18 L18 N18 B19 C19 D19 E19 F19 G19 H19 I19 J19 K19 L19 N19 B20 C20 D20 E20 F20 G20 H20 I20 J20 K20 L20 N20 B21 C21 D21 E21 F21 G21 H21 I21 J21 K21 L21 N21 B22 C22 D22 E22 F22 G22 H22 I22 J22 K22 L22 N22 B23 C23 D23 E23 F23 G23 H23 I23 J23 K23 L23 N23">
    <cfRule type="cellIs" dxfId="17" priority="4" stopIfTrue="1" operator="greaterThan">
      <formula>0</formula>
    </cfRule>
    <cfRule type="cellIs" dxfId="16" priority="5" stopIfTrue="1" operator="equal">
      <formula>0</formula>
    </cfRule>
    <cfRule type="cellIs" dxfId="15" priority="6" stopIfTrue="1" operator="lessThan">
      <formula>0</formula>
    </cfRule>
  </conditionalFormatting>
  <conditionalFormatting sqref="B29 C29 D29 E29 F29 G29 H29 I29 J29 K29 L29 B30 C30 D30 E30 F30 G30 H30 I30 J30 K30 L30 B31 C31 D31 E31 F31 G31 H31 I31 J31 K31 L31">
    <cfRule type="cellIs" dxfId="14" priority="7" stopIfTrue="1" operator="lessThan">
      <formula>1</formula>
    </cfRule>
    <cfRule type="cellIs" dxfId="13" priority="8" stopIfTrue="1" operator="equal">
      <formula>1</formula>
    </cfRule>
    <cfRule type="cellIs" dxfId="12" priority="9" stopIfTrue="1" operator="greaterThan">
      <formula>1</formula>
    </cfRule>
  </conditionalFormatting>
  <conditionalFormatting sqref="B27 C27 D27 E27 F27 G27 H27 I27 J27 K27 L27 B28 C28 D28 E28 F28 G28 H28 I28 J28 K28 L28">
    <cfRule type="cellIs" dxfId="11" priority="10" stopIfTrue="1" operator="lessThan">
      <formula>3</formula>
    </cfRule>
    <cfRule type="cellIs" dxfId="10" priority="11" stopIfTrue="1" operator="equal">
      <formula>3</formula>
    </cfRule>
    <cfRule type="cellIs" dxfId="9" priority="12" stopIfTrue="1" operator="greaterThan">
      <formula>3</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4"/>
  <sheetViews>
    <sheetView showGridLines="0" workbookViewId="0"/>
  </sheetViews>
  <sheetFormatPr baseColWidth="10" defaultColWidth="17.1640625" defaultRowHeight="12.75" customHeight="1" x14ac:dyDescent="0"/>
  <cols>
    <col min="1" max="1" width="33.5" customWidth="1"/>
    <col min="2" max="2" width="18.6640625" customWidth="1"/>
    <col min="3" max="3" width="10.33203125" customWidth="1"/>
    <col min="4" max="4" width="3.5" customWidth="1"/>
    <col min="5" max="5" width="35.6640625" customWidth="1"/>
    <col min="6" max="6" width="4.5" customWidth="1"/>
    <col min="7" max="7" width="1.83203125" customWidth="1"/>
    <col min="8" max="8" width="40.33203125" customWidth="1"/>
    <col min="9" max="9" width="2.83203125" customWidth="1"/>
    <col min="10" max="10" width="4.83203125" customWidth="1"/>
    <col min="11" max="11" width="10.5" customWidth="1"/>
    <col min="12" max="12" width="21.1640625" customWidth="1"/>
    <col min="13" max="13" width="4.5" customWidth="1"/>
    <col min="14" max="14" width="3.5" customWidth="1"/>
    <col min="15" max="15" width="5.5" customWidth="1"/>
    <col min="16" max="16" width="4.5" customWidth="1"/>
    <col min="17" max="18" width="8.6640625" customWidth="1"/>
    <col min="19" max="19" width="5.5" customWidth="1"/>
    <col min="20" max="21" width="6.1640625" customWidth="1"/>
    <col min="22" max="22" width="7.33203125" customWidth="1"/>
    <col min="23" max="23" width="6.1640625" customWidth="1"/>
    <col min="24" max="24" width="5.5" customWidth="1"/>
    <col min="25" max="25" width="5" customWidth="1"/>
    <col min="26" max="26" width="7.5" customWidth="1"/>
    <col min="27" max="27" width="8.5" customWidth="1"/>
    <col min="28" max="28" width="5" customWidth="1"/>
    <col min="29" max="30" width="4.6640625" customWidth="1"/>
    <col min="31" max="31" width="3.83203125" customWidth="1"/>
    <col min="32" max="32" width="4.6640625" customWidth="1"/>
  </cols>
  <sheetData>
    <row r="1" spans="1:32" ht="12.75" customHeight="1">
      <c r="A1" s="19" t="s">
        <v>803</v>
      </c>
      <c r="B1" s="95" t="s">
        <v>804</v>
      </c>
      <c r="C1" s="117"/>
      <c r="D1" s="33"/>
      <c r="E1" s="57" t="s">
        <v>76</v>
      </c>
      <c r="F1" s="121"/>
      <c r="G1" s="121"/>
      <c r="H1" s="121"/>
      <c r="I1" s="121"/>
      <c r="J1" s="64"/>
      <c r="K1" s="19" t="s">
        <v>7</v>
      </c>
      <c r="L1" s="204"/>
      <c r="M1" s="204" t="s">
        <v>77</v>
      </c>
      <c r="N1" s="4" t="s">
        <v>8</v>
      </c>
      <c r="O1" s="117"/>
      <c r="P1" s="218" t="s">
        <v>78</v>
      </c>
      <c r="Q1" s="219"/>
      <c r="R1" s="219"/>
      <c r="S1" s="219"/>
      <c r="T1" s="219"/>
      <c r="U1" s="219"/>
      <c r="V1" s="219"/>
      <c r="W1" s="219"/>
      <c r="X1" s="219"/>
      <c r="Y1" s="219"/>
      <c r="Z1" s="219"/>
      <c r="AA1" s="219"/>
      <c r="AB1" s="33"/>
      <c r="AC1" s="33"/>
      <c r="AD1" s="33"/>
      <c r="AE1" s="33"/>
      <c r="AF1" s="33"/>
    </row>
    <row r="2" spans="1:32" ht="12.75" customHeight="1">
      <c r="A2" s="117" t="s">
        <v>805</v>
      </c>
      <c r="B2" s="64" t="s">
        <v>806</v>
      </c>
      <c r="C2" s="117"/>
      <c r="D2" s="64"/>
      <c r="E2" s="19" t="s">
        <v>79</v>
      </c>
      <c r="F2" s="29"/>
      <c r="G2" s="29"/>
      <c r="H2" s="29"/>
      <c r="I2" s="22"/>
      <c r="J2" s="205"/>
      <c r="K2" s="117" t="s">
        <v>80</v>
      </c>
      <c r="L2" s="33" t="s">
        <v>81</v>
      </c>
      <c r="M2" s="33" t="s">
        <v>82</v>
      </c>
      <c r="N2" s="64">
        <v>4</v>
      </c>
      <c r="O2" s="117"/>
      <c r="P2" s="33"/>
      <c r="Q2" s="186" t="s">
        <v>83</v>
      </c>
      <c r="R2" s="186" t="s">
        <v>84</v>
      </c>
      <c r="S2" s="186" t="s">
        <v>85</v>
      </c>
      <c r="T2" s="207" t="s">
        <v>20</v>
      </c>
      <c r="U2" s="207" t="s">
        <v>86</v>
      </c>
      <c r="V2" s="186" t="s">
        <v>55</v>
      </c>
      <c r="W2" s="207" t="s">
        <v>86</v>
      </c>
      <c r="X2" s="207" t="s">
        <v>57</v>
      </c>
      <c r="Y2" s="207" t="s">
        <v>86</v>
      </c>
      <c r="Z2" s="186" t="s">
        <v>87</v>
      </c>
      <c r="AA2" s="186" t="s">
        <v>88</v>
      </c>
      <c r="AB2" s="207" t="s">
        <v>89</v>
      </c>
      <c r="AC2" s="207" t="s">
        <v>90</v>
      </c>
      <c r="AD2" s="207" t="s">
        <v>91</v>
      </c>
      <c r="AE2" s="207" t="s">
        <v>92</v>
      </c>
      <c r="AF2" s="207" t="s">
        <v>93</v>
      </c>
    </row>
    <row r="3" spans="1:32" ht="12.75" customHeight="1">
      <c r="A3" s="117" t="s">
        <v>807</v>
      </c>
      <c r="B3" s="64">
        <v>11</v>
      </c>
      <c r="C3" s="117"/>
      <c r="D3" s="64"/>
      <c r="E3" s="117" t="s">
        <v>808</v>
      </c>
      <c r="F3" s="33">
        <v>0.2</v>
      </c>
      <c r="G3" s="33" t="s">
        <v>804</v>
      </c>
      <c r="H3" s="33" t="s">
        <v>809</v>
      </c>
      <c r="I3" s="64">
        <v>6</v>
      </c>
      <c r="J3" s="205"/>
      <c r="K3" s="117" t="s">
        <v>94</v>
      </c>
      <c r="L3" s="33" t="s">
        <v>95</v>
      </c>
      <c r="M3" s="33" t="s">
        <v>96</v>
      </c>
      <c r="N3" s="64">
        <v>9</v>
      </c>
      <c r="O3" s="117"/>
      <c r="P3" s="33" t="s">
        <v>0</v>
      </c>
      <c r="Q3" s="58">
        <v>40</v>
      </c>
      <c r="R3" s="58">
        <v>10</v>
      </c>
      <c r="S3" s="58">
        <v>37</v>
      </c>
      <c r="T3" s="134">
        <v>500</v>
      </c>
      <c r="U3" s="25">
        <f t="shared" ref="U3:U8" si="0">T3/S3</f>
        <v>13.513513513513514</v>
      </c>
      <c r="V3" s="90">
        <f>ROUND((0.85*T3),0)</f>
        <v>425</v>
      </c>
      <c r="W3" s="25">
        <f>V3/$B$3</f>
        <v>38.636363636363633</v>
      </c>
      <c r="X3" s="33">
        <f t="shared" ref="X3:X8" si="1">T3-V3</f>
        <v>75</v>
      </c>
      <c r="Y3" s="25">
        <f>X3/(S3-$B$3)</f>
        <v>2.8846153846153846</v>
      </c>
      <c r="Z3" s="190">
        <v>30</v>
      </c>
      <c r="AA3" s="70">
        <f>AVERAGE(Cheatsheet!F3:F24)</f>
        <v>338.11818181818177</v>
      </c>
      <c r="AB3" s="61">
        <v>51.99</v>
      </c>
      <c r="AC3" s="61">
        <v>-5.39</v>
      </c>
      <c r="AD3" s="61">
        <v>0.19</v>
      </c>
      <c r="AE3" s="61">
        <v>0</v>
      </c>
      <c r="AF3" s="61">
        <v>0</v>
      </c>
    </row>
    <row r="4" spans="1:32" ht="12.75" customHeight="1">
      <c r="A4" s="117" t="s">
        <v>810</v>
      </c>
      <c r="B4" s="64" t="s">
        <v>811</v>
      </c>
      <c r="C4" s="117"/>
      <c r="D4" s="64"/>
      <c r="E4" s="117" t="s">
        <v>812</v>
      </c>
      <c r="F4" s="33">
        <v>-2</v>
      </c>
      <c r="G4" s="33" t="s">
        <v>804</v>
      </c>
      <c r="H4" s="33" t="s">
        <v>813</v>
      </c>
      <c r="I4" s="64">
        <v>2</v>
      </c>
      <c r="J4" s="205"/>
      <c r="K4" s="117" t="s">
        <v>97</v>
      </c>
      <c r="L4" s="33" t="s">
        <v>98</v>
      </c>
      <c r="M4" s="33" t="s">
        <v>99</v>
      </c>
      <c r="N4" s="64">
        <v>11</v>
      </c>
      <c r="O4" s="117"/>
      <c r="P4" s="33" t="s">
        <v>2</v>
      </c>
      <c r="Q4" s="58">
        <v>15</v>
      </c>
      <c r="R4" s="58">
        <v>40</v>
      </c>
      <c r="S4" s="58">
        <v>61</v>
      </c>
      <c r="T4" s="134">
        <v>775</v>
      </c>
      <c r="U4" s="25">
        <f t="shared" si="0"/>
        <v>12.704918032786885</v>
      </c>
      <c r="V4" s="90">
        <f>ROUND((0.9*T4),0)</f>
        <v>698</v>
      </c>
      <c r="W4" s="25">
        <f>V4/($B$3*3)</f>
        <v>21.151515151515152</v>
      </c>
      <c r="X4" s="33">
        <f t="shared" si="1"/>
        <v>77</v>
      </c>
      <c r="Y4" s="25">
        <f>X4/(S4-($B$3*3))</f>
        <v>2.75</v>
      </c>
      <c r="Z4" s="190">
        <v>35</v>
      </c>
      <c r="AA4" s="70">
        <f>AVERAGE(Cheatsheet!R3:R35)</f>
        <v>205.19393939393936</v>
      </c>
      <c r="AB4" s="61">
        <v>52.53</v>
      </c>
      <c r="AC4" s="61">
        <v>-2.33</v>
      </c>
      <c r="AD4" s="61">
        <v>0.03</v>
      </c>
      <c r="AE4" s="61">
        <v>0</v>
      </c>
      <c r="AF4" s="61">
        <v>0</v>
      </c>
    </row>
    <row r="5" spans="1:32" ht="12.75" customHeight="1">
      <c r="A5" s="117" t="s">
        <v>814</v>
      </c>
      <c r="B5" s="64" t="s">
        <v>815</v>
      </c>
      <c r="C5" s="117"/>
      <c r="D5" s="64"/>
      <c r="E5" s="164" t="s">
        <v>816</v>
      </c>
      <c r="F5" s="121">
        <v>2</v>
      </c>
      <c r="G5" s="121" t="s">
        <v>804</v>
      </c>
      <c r="H5" s="121" t="s">
        <v>817</v>
      </c>
      <c r="I5" s="56">
        <v>4</v>
      </c>
      <c r="J5" s="205"/>
      <c r="K5" s="117" t="s">
        <v>100</v>
      </c>
      <c r="L5" s="33" t="s">
        <v>101</v>
      </c>
      <c r="M5" s="33" t="s">
        <v>102</v>
      </c>
      <c r="N5" s="64">
        <v>9</v>
      </c>
      <c r="O5" s="117"/>
      <c r="P5" s="33" t="s">
        <v>3</v>
      </c>
      <c r="Q5" s="58">
        <v>15</v>
      </c>
      <c r="R5" s="58">
        <v>45</v>
      </c>
      <c r="S5" s="58">
        <v>61</v>
      </c>
      <c r="T5" s="134">
        <v>775</v>
      </c>
      <c r="U5" s="25">
        <f t="shared" si="0"/>
        <v>12.704918032786885</v>
      </c>
      <c r="V5" s="90">
        <f>ROUND((0.87*T5),0)</f>
        <v>674</v>
      </c>
      <c r="W5" s="25">
        <f>V5/($B$3*3)</f>
        <v>20.424242424242426</v>
      </c>
      <c r="X5" s="33">
        <f t="shared" si="1"/>
        <v>101</v>
      </c>
      <c r="Y5" s="25">
        <f>X5/(S5-($B$3*3))</f>
        <v>3.6071428571428572</v>
      </c>
      <c r="Z5" s="190">
        <v>45</v>
      </c>
      <c r="AA5" s="70">
        <f>AVERAGE(Cheatsheet!AD3:AD35)</f>
        <v>201.0393939393939</v>
      </c>
      <c r="AB5" s="61">
        <v>40.85</v>
      </c>
      <c r="AC5" s="61">
        <v>-1.81</v>
      </c>
      <c r="AD5" s="61">
        <v>0.03</v>
      </c>
      <c r="AE5" s="61">
        <v>0</v>
      </c>
      <c r="AF5" s="61">
        <v>0</v>
      </c>
    </row>
    <row r="6" spans="1:32" ht="12.75" customHeight="1">
      <c r="A6" s="164" t="s">
        <v>818</v>
      </c>
      <c r="B6" s="56" t="s">
        <v>819</v>
      </c>
      <c r="C6" s="117"/>
      <c r="D6" s="64"/>
      <c r="E6" s="19" t="s">
        <v>103</v>
      </c>
      <c r="F6" s="29"/>
      <c r="G6" s="29"/>
      <c r="H6" s="29"/>
      <c r="I6" s="22"/>
      <c r="J6" s="205"/>
      <c r="K6" s="117" t="s">
        <v>104</v>
      </c>
      <c r="L6" s="33" t="s">
        <v>105</v>
      </c>
      <c r="M6" s="33" t="s">
        <v>106</v>
      </c>
      <c r="N6" s="64">
        <v>12</v>
      </c>
      <c r="O6" s="117"/>
      <c r="P6" s="33" t="s">
        <v>16</v>
      </c>
      <c r="Q6" s="58">
        <v>20</v>
      </c>
      <c r="R6" s="58">
        <v>1</v>
      </c>
      <c r="S6" s="58">
        <v>17</v>
      </c>
      <c r="T6" s="134">
        <v>125</v>
      </c>
      <c r="U6" s="25">
        <f t="shared" si="0"/>
        <v>7.3529411764705879</v>
      </c>
      <c r="V6" s="90">
        <f>ROUND((0.9*T6),0)</f>
        <v>113</v>
      </c>
      <c r="W6" s="25">
        <f>V6/$B$3</f>
        <v>10.272727272727273</v>
      </c>
      <c r="X6" s="33">
        <f t="shared" si="1"/>
        <v>12</v>
      </c>
      <c r="Y6" s="25">
        <f>X6/(S6-$B$3)</f>
        <v>2</v>
      </c>
      <c r="Z6" s="190">
        <v>10</v>
      </c>
      <c r="AA6" s="70">
        <f>AVERAGE(Cheatsheet!F57:F67)</f>
        <v>165.86363636363637</v>
      </c>
      <c r="AB6" s="61">
        <v>38.17</v>
      </c>
      <c r="AC6" s="61">
        <v>-7.84</v>
      </c>
      <c r="AD6" s="61">
        <v>0.61</v>
      </c>
      <c r="AE6" s="61">
        <v>-0.02</v>
      </c>
      <c r="AF6" s="61">
        <v>0</v>
      </c>
    </row>
    <row r="7" spans="1:32" ht="12.75" customHeight="1">
      <c r="A7" s="52"/>
      <c r="B7" s="52"/>
      <c r="C7" s="121"/>
      <c r="D7" s="64"/>
      <c r="E7" s="117" t="s">
        <v>820</v>
      </c>
      <c r="F7" s="33">
        <v>0.5</v>
      </c>
      <c r="G7" s="33" t="s">
        <v>804</v>
      </c>
      <c r="H7" s="33" t="s">
        <v>821</v>
      </c>
      <c r="I7" s="64">
        <v>6</v>
      </c>
      <c r="J7" s="205"/>
      <c r="K7" s="117" t="s">
        <v>107</v>
      </c>
      <c r="L7" s="33" t="s">
        <v>108</v>
      </c>
      <c r="M7" s="33" t="s">
        <v>109</v>
      </c>
      <c r="N7" s="64">
        <v>9</v>
      </c>
      <c r="O7" s="117"/>
      <c r="P7" s="33" t="s">
        <v>4</v>
      </c>
      <c r="Q7" s="58">
        <v>25</v>
      </c>
      <c r="R7" s="58">
        <v>20</v>
      </c>
      <c r="S7" s="58">
        <v>11</v>
      </c>
      <c r="T7" s="134">
        <v>11</v>
      </c>
      <c r="U7" s="25">
        <f t="shared" si="0"/>
        <v>1</v>
      </c>
      <c r="V7" s="33">
        <f>T7</f>
        <v>11</v>
      </c>
      <c r="W7" s="25">
        <f>V7/$B$3</f>
        <v>1</v>
      </c>
      <c r="X7" s="33">
        <f t="shared" si="1"/>
        <v>0</v>
      </c>
      <c r="Y7" s="25"/>
      <c r="Z7" s="190">
        <v>1</v>
      </c>
      <c r="AA7" s="70">
        <f>AVERAGE(Cheatsheet!AP3:AP13)</f>
        <v>137.55454545454543</v>
      </c>
      <c r="AB7" s="33"/>
      <c r="AC7" s="33"/>
      <c r="AD7" s="33"/>
      <c r="AE7" s="33"/>
      <c r="AF7" s="33"/>
    </row>
    <row r="8" spans="1:32" ht="12.75" customHeight="1">
      <c r="A8" s="19" t="s">
        <v>822</v>
      </c>
      <c r="B8" s="204" t="s">
        <v>55</v>
      </c>
      <c r="C8" s="4" t="s">
        <v>823</v>
      </c>
      <c r="D8" s="205"/>
      <c r="E8" s="117" t="s">
        <v>824</v>
      </c>
      <c r="F8" s="33">
        <v>2</v>
      </c>
      <c r="G8" s="33" t="s">
        <v>804</v>
      </c>
      <c r="H8" s="33" t="s">
        <v>825</v>
      </c>
      <c r="I8" s="64">
        <v>2</v>
      </c>
      <c r="J8" s="205"/>
      <c r="K8" s="117" t="s">
        <v>110</v>
      </c>
      <c r="L8" s="33" t="s">
        <v>111</v>
      </c>
      <c r="M8" s="33" t="s">
        <v>112</v>
      </c>
      <c r="N8" s="64">
        <v>4</v>
      </c>
      <c r="O8" s="117"/>
      <c r="P8" s="33" t="s">
        <v>15</v>
      </c>
      <c r="Q8" s="58">
        <v>25</v>
      </c>
      <c r="R8" s="58">
        <v>25</v>
      </c>
      <c r="S8" s="58">
        <v>11</v>
      </c>
      <c r="T8" s="134">
        <v>14</v>
      </c>
      <c r="U8" s="25">
        <f t="shared" si="0"/>
        <v>1.2727272727272727</v>
      </c>
      <c r="V8" s="33">
        <f>T8</f>
        <v>14</v>
      </c>
      <c r="W8" s="25">
        <f>V8/$B$3</f>
        <v>1.2727272727272727</v>
      </c>
      <c r="X8" s="33">
        <f t="shared" si="1"/>
        <v>0</v>
      </c>
      <c r="Y8" s="25"/>
      <c r="Z8" s="190">
        <v>4</v>
      </c>
      <c r="AA8" s="70">
        <f>AVERAGE(Cheatsheet!AP35:AP45)</f>
        <v>111.74545454545454</v>
      </c>
      <c r="AB8" s="33"/>
      <c r="AC8" s="33"/>
      <c r="AD8" s="33"/>
      <c r="AE8" s="33"/>
      <c r="AF8" s="33"/>
    </row>
    <row r="9" spans="1:32" ht="12.75" customHeight="1">
      <c r="A9" s="117" t="s">
        <v>826</v>
      </c>
      <c r="B9" s="33" t="s">
        <v>827</v>
      </c>
      <c r="C9" s="64" t="s">
        <v>828</v>
      </c>
      <c r="D9" s="205"/>
      <c r="E9" s="164" t="s">
        <v>829</v>
      </c>
      <c r="F9" s="121">
        <v>4</v>
      </c>
      <c r="G9" s="121" t="s">
        <v>804</v>
      </c>
      <c r="H9" s="121" t="s">
        <v>804</v>
      </c>
      <c r="I9" s="56" t="s">
        <v>804</v>
      </c>
      <c r="J9" s="205"/>
      <c r="K9" s="117" t="s">
        <v>113</v>
      </c>
      <c r="L9" s="33" t="s">
        <v>114</v>
      </c>
      <c r="M9" s="33" t="s">
        <v>115</v>
      </c>
      <c r="N9" s="64">
        <v>4</v>
      </c>
      <c r="O9" s="117"/>
      <c r="P9" s="33"/>
      <c r="Q9" s="33"/>
      <c r="R9" s="33"/>
      <c r="S9" s="40"/>
      <c r="T9" s="90"/>
      <c r="U9" s="33"/>
      <c r="V9" s="33"/>
      <c r="W9" s="33"/>
      <c r="X9" s="33"/>
      <c r="Y9" s="33"/>
      <c r="Z9" s="33"/>
      <c r="AA9" s="33"/>
      <c r="AB9" s="33"/>
      <c r="AC9" s="33"/>
      <c r="AD9" s="33"/>
      <c r="AE9" s="33"/>
      <c r="AF9" s="33"/>
    </row>
    <row r="10" spans="1:32" ht="12.75" customHeight="1">
      <c r="A10" s="117" t="s">
        <v>830</v>
      </c>
      <c r="B10" s="33" t="s">
        <v>827</v>
      </c>
      <c r="C10" s="64" t="s">
        <v>831</v>
      </c>
      <c r="D10" s="205"/>
      <c r="E10" s="19" t="s">
        <v>116</v>
      </c>
      <c r="F10" s="29"/>
      <c r="G10" s="29"/>
      <c r="H10" s="29"/>
      <c r="I10" s="22"/>
      <c r="J10" s="205"/>
      <c r="K10" s="117" t="s">
        <v>117</v>
      </c>
      <c r="L10" s="33" t="s">
        <v>118</v>
      </c>
      <c r="M10" s="33" t="s">
        <v>119</v>
      </c>
      <c r="N10" s="64">
        <v>11</v>
      </c>
      <c r="O10" s="117"/>
      <c r="P10" s="33"/>
      <c r="Q10" s="33"/>
      <c r="R10" s="33"/>
      <c r="S10" s="40">
        <f>SUM(S3:S8)</f>
        <v>198</v>
      </c>
      <c r="T10" s="90">
        <f>SUM(T3:T8)</f>
        <v>2200</v>
      </c>
      <c r="U10" s="90"/>
      <c r="V10" s="90">
        <f>SUM(V3:V8)</f>
        <v>1935</v>
      </c>
      <c r="W10" s="33"/>
      <c r="X10" s="90">
        <f>SUM(X3:X8)</f>
        <v>265</v>
      </c>
      <c r="Y10" s="33"/>
      <c r="Z10" s="33"/>
      <c r="AA10" s="33"/>
      <c r="AB10" s="33"/>
      <c r="AC10" s="33"/>
      <c r="AD10" s="33"/>
      <c r="AE10" s="33"/>
      <c r="AF10" s="33"/>
    </row>
    <row r="11" spans="1:32" ht="12.75" customHeight="1">
      <c r="A11" s="117" t="s">
        <v>832</v>
      </c>
      <c r="B11" s="33" t="s">
        <v>827</v>
      </c>
      <c r="C11" s="64" t="s">
        <v>831</v>
      </c>
      <c r="D11" s="205"/>
      <c r="E11" s="117" t="s">
        <v>833</v>
      </c>
      <c r="F11" s="33">
        <v>0.5</v>
      </c>
      <c r="G11" s="33" t="s">
        <v>804</v>
      </c>
      <c r="H11" s="33" t="s">
        <v>834</v>
      </c>
      <c r="I11" s="64">
        <v>0.5</v>
      </c>
      <c r="J11" s="205"/>
      <c r="K11" s="117" t="s">
        <v>120</v>
      </c>
      <c r="L11" s="33" t="s">
        <v>121</v>
      </c>
      <c r="M11" s="33" t="s">
        <v>122</v>
      </c>
      <c r="N11" s="64">
        <v>4</v>
      </c>
      <c r="O11" s="117"/>
      <c r="P11" s="33"/>
      <c r="Q11" s="33"/>
      <c r="R11" s="33"/>
      <c r="S11" s="33"/>
      <c r="T11" s="33"/>
      <c r="U11" s="33"/>
      <c r="V11" s="193">
        <f>V10/T10</f>
        <v>0.87954545454545452</v>
      </c>
      <c r="W11" s="33"/>
      <c r="X11" s="193">
        <f>X10/T10</f>
        <v>0.12045454545454545</v>
      </c>
      <c r="Y11" s="33"/>
      <c r="Z11" s="33"/>
      <c r="AA11" s="33"/>
      <c r="AB11" s="33"/>
      <c r="AC11" s="33"/>
      <c r="AD11" s="33"/>
      <c r="AE11" s="33"/>
      <c r="AF11" s="33"/>
    </row>
    <row r="12" spans="1:32" ht="12.75" customHeight="1">
      <c r="A12" s="117" t="s">
        <v>835</v>
      </c>
      <c r="B12" s="33" t="s">
        <v>836</v>
      </c>
      <c r="C12" s="64" t="s">
        <v>837</v>
      </c>
      <c r="D12" s="205"/>
      <c r="E12" s="117" t="s">
        <v>838</v>
      </c>
      <c r="F12" s="33">
        <v>6</v>
      </c>
      <c r="G12" s="33" t="s">
        <v>804</v>
      </c>
      <c r="H12" s="33" t="s">
        <v>839</v>
      </c>
      <c r="I12" s="64">
        <v>2</v>
      </c>
      <c r="J12" s="205"/>
      <c r="K12" s="117" t="s">
        <v>123</v>
      </c>
      <c r="L12" s="33" t="s">
        <v>124</v>
      </c>
      <c r="M12" s="33" t="s">
        <v>125</v>
      </c>
      <c r="N12" s="64">
        <v>9</v>
      </c>
      <c r="O12" s="117"/>
      <c r="P12" s="33"/>
      <c r="Q12" s="33"/>
      <c r="R12" s="33"/>
      <c r="S12" s="33"/>
      <c r="T12" s="33"/>
      <c r="U12" s="33"/>
      <c r="V12" s="33"/>
      <c r="W12" s="33"/>
      <c r="X12" s="33"/>
      <c r="Y12" s="33"/>
      <c r="Z12" s="33"/>
      <c r="AA12" s="33"/>
      <c r="AB12" s="33"/>
      <c r="AC12" s="33"/>
      <c r="AD12" s="33"/>
      <c r="AE12" s="33"/>
      <c r="AF12" s="33"/>
    </row>
    <row r="13" spans="1:32" ht="12.75" customHeight="1">
      <c r="A13" s="117" t="s">
        <v>840</v>
      </c>
      <c r="B13" s="33" t="s">
        <v>827</v>
      </c>
      <c r="C13" s="64" t="s">
        <v>841</v>
      </c>
      <c r="D13" s="205"/>
      <c r="E13" s="164" t="s">
        <v>842</v>
      </c>
      <c r="F13" s="121">
        <v>2</v>
      </c>
      <c r="G13" s="121" t="s">
        <v>804</v>
      </c>
      <c r="H13" s="121" t="s">
        <v>843</v>
      </c>
      <c r="I13" s="56">
        <v>4</v>
      </c>
      <c r="J13" s="205"/>
      <c r="K13" s="117" t="s">
        <v>126</v>
      </c>
      <c r="L13" s="33" t="s">
        <v>127</v>
      </c>
      <c r="M13" s="33" t="s">
        <v>128</v>
      </c>
      <c r="N13" s="64">
        <v>9</v>
      </c>
      <c r="O13" s="117"/>
      <c r="P13" s="33"/>
      <c r="Q13" s="33"/>
      <c r="R13" s="33"/>
      <c r="S13" s="33"/>
      <c r="T13" s="193">
        <f t="shared" ref="T13:T18" si="2">T3/T$10</f>
        <v>0.22727272727272727</v>
      </c>
      <c r="U13" s="193"/>
      <c r="V13" s="193">
        <f t="shared" ref="V13:V18" si="3">V3/V$10</f>
        <v>0.21963824289405684</v>
      </c>
      <c r="W13" s="33"/>
      <c r="X13" s="33"/>
      <c r="Y13" s="33"/>
      <c r="Z13" s="33"/>
      <c r="AA13" s="33"/>
      <c r="AB13" s="33"/>
      <c r="AC13" s="33"/>
      <c r="AD13" s="33"/>
      <c r="AE13" s="33"/>
      <c r="AF13" s="33"/>
    </row>
    <row r="14" spans="1:32" ht="12.75" customHeight="1">
      <c r="A14" s="117" t="s">
        <v>844</v>
      </c>
      <c r="B14" s="33" t="s">
        <v>836</v>
      </c>
      <c r="C14" s="64" t="s">
        <v>837</v>
      </c>
      <c r="D14" s="205"/>
      <c r="E14" s="19" t="s">
        <v>129</v>
      </c>
      <c r="F14" s="29"/>
      <c r="G14" s="29"/>
      <c r="H14" s="29"/>
      <c r="I14" s="22"/>
      <c r="J14" s="205"/>
      <c r="K14" s="117" t="s">
        <v>130</v>
      </c>
      <c r="L14" s="33" t="s">
        <v>131</v>
      </c>
      <c r="M14" s="33" t="s">
        <v>132</v>
      </c>
      <c r="N14" s="64">
        <v>10</v>
      </c>
      <c r="O14" s="117"/>
      <c r="P14" s="33"/>
      <c r="Q14" s="33"/>
      <c r="R14" s="33"/>
      <c r="S14" s="33"/>
      <c r="T14" s="193">
        <f t="shared" si="2"/>
        <v>0.35227272727272729</v>
      </c>
      <c r="U14" s="193"/>
      <c r="V14" s="193">
        <f t="shared" si="3"/>
        <v>0.36072351421188631</v>
      </c>
      <c r="W14" s="33"/>
      <c r="X14" s="33"/>
      <c r="Y14" s="33"/>
      <c r="Z14" s="33"/>
      <c r="AA14" s="33"/>
      <c r="AB14" s="33"/>
      <c r="AC14" s="33"/>
      <c r="AD14" s="33"/>
      <c r="AE14" s="33"/>
      <c r="AF14" s="33"/>
    </row>
    <row r="15" spans="1:32" ht="12.75" customHeight="1">
      <c r="A15" s="117" t="s">
        <v>845</v>
      </c>
      <c r="B15" s="33" t="s">
        <v>836</v>
      </c>
      <c r="C15" s="64" t="s">
        <v>827</v>
      </c>
      <c r="D15" s="205"/>
      <c r="E15" s="164" t="s">
        <v>846</v>
      </c>
      <c r="F15" s="121">
        <v>-1</v>
      </c>
      <c r="G15" s="121" t="s">
        <v>804</v>
      </c>
      <c r="H15" s="121" t="s">
        <v>804</v>
      </c>
      <c r="I15" s="56"/>
      <c r="J15" s="205"/>
      <c r="K15" s="117" t="s">
        <v>133</v>
      </c>
      <c r="L15" s="33" t="s">
        <v>134</v>
      </c>
      <c r="M15" s="33" t="s">
        <v>135</v>
      </c>
      <c r="N15" s="64">
        <v>10</v>
      </c>
      <c r="O15" s="117"/>
      <c r="P15" s="33"/>
      <c r="Q15" s="33"/>
      <c r="R15" s="33"/>
      <c r="S15" s="33"/>
      <c r="T15" s="193">
        <f t="shared" si="2"/>
        <v>0.35227272727272729</v>
      </c>
      <c r="U15" s="193"/>
      <c r="V15" s="193">
        <f t="shared" si="3"/>
        <v>0.34832041343669251</v>
      </c>
      <c r="W15" s="33"/>
      <c r="X15" s="33"/>
      <c r="Y15" s="33"/>
      <c r="Z15" s="33"/>
      <c r="AA15" s="33"/>
      <c r="AB15" s="33"/>
      <c r="AC15" s="33"/>
      <c r="AD15" s="33"/>
      <c r="AE15" s="33"/>
      <c r="AF15" s="33"/>
    </row>
    <row r="16" spans="1:32" ht="12.75" customHeight="1">
      <c r="A16" s="164" t="s">
        <v>847</v>
      </c>
      <c r="B16" s="121" t="s">
        <v>848</v>
      </c>
      <c r="C16" s="56" t="s">
        <v>841</v>
      </c>
      <c r="D16" s="205"/>
      <c r="E16" s="19" t="s">
        <v>136</v>
      </c>
      <c r="F16" s="29"/>
      <c r="G16" s="29"/>
      <c r="H16" s="29"/>
      <c r="I16" s="22"/>
      <c r="J16" s="205"/>
      <c r="K16" s="117" t="s">
        <v>137</v>
      </c>
      <c r="L16" s="33" t="s">
        <v>138</v>
      </c>
      <c r="M16" s="33" t="s">
        <v>139</v>
      </c>
      <c r="N16" s="64">
        <v>11</v>
      </c>
      <c r="O16" s="117"/>
      <c r="P16" s="33"/>
      <c r="Q16" s="33"/>
      <c r="R16" s="33"/>
      <c r="S16" s="33"/>
      <c r="T16" s="193">
        <f t="shared" si="2"/>
        <v>5.6818181818181816E-2</v>
      </c>
      <c r="U16" s="193"/>
      <c r="V16" s="193">
        <f t="shared" si="3"/>
        <v>5.8397932816537469E-2</v>
      </c>
      <c r="W16" s="33"/>
      <c r="X16" s="33"/>
      <c r="Y16" s="33"/>
      <c r="Z16" s="33"/>
      <c r="AA16" s="33"/>
      <c r="AB16" s="33"/>
      <c r="AC16" s="33"/>
      <c r="AD16" s="33"/>
      <c r="AE16" s="33"/>
      <c r="AF16" s="33"/>
    </row>
    <row r="17" spans="1:32" ht="12.75" customHeight="1">
      <c r="A17" s="91"/>
      <c r="B17" s="91"/>
      <c r="C17" s="91"/>
      <c r="D17" s="64"/>
      <c r="E17" s="117" t="s">
        <v>849</v>
      </c>
      <c r="F17" s="33">
        <v>1</v>
      </c>
      <c r="G17" s="33" t="s">
        <v>804</v>
      </c>
      <c r="H17" s="33" t="s">
        <v>850</v>
      </c>
      <c r="I17" s="64">
        <v>3</v>
      </c>
      <c r="J17" s="205"/>
      <c r="K17" s="117" t="s">
        <v>140</v>
      </c>
      <c r="L17" s="33" t="s">
        <v>141</v>
      </c>
      <c r="M17" s="33" t="s">
        <v>142</v>
      </c>
      <c r="N17" s="64">
        <v>6</v>
      </c>
      <c r="O17" s="117"/>
      <c r="P17" s="33"/>
      <c r="Q17" s="33"/>
      <c r="R17" s="33"/>
      <c r="S17" s="33"/>
      <c r="T17" s="193">
        <f t="shared" si="2"/>
        <v>5.0000000000000001E-3</v>
      </c>
      <c r="U17" s="193"/>
      <c r="V17" s="193">
        <f t="shared" si="3"/>
        <v>5.6847545219638239E-3</v>
      </c>
      <c r="W17" s="33"/>
      <c r="X17" s="33"/>
      <c r="Y17" s="33"/>
      <c r="Z17" s="33"/>
      <c r="AA17" s="33"/>
      <c r="AB17" s="33"/>
      <c r="AC17" s="33"/>
      <c r="AD17" s="33"/>
      <c r="AE17" s="33"/>
      <c r="AF17" s="33"/>
    </row>
    <row r="18" spans="1:32" ht="12.75" customHeight="1">
      <c r="A18" s="181" t="s">
        <v>143</v>
      </c>
      <c r="B18" s="142">
        <v>18</v>
      </c>
      <c r="C18" s="33"/>
      <c r="D18" s="64"/>
      <c r="E18" s="164" t="s">
        <v>851</v>
      </c>
      <c r="F18" s="121">
        <v>3</v>
      </c>
      <c r="G18" s="121" t="s">
        <v>804</v>
      </c>
      <c r="H18" s="121" t="s">
        <v>852</v>
      </c>
      <c r="I18" s="56">
        <v>5</v>
      </c>
      <c r="J18" s="205"/>
      <c r="K18" s="117" t="s">
        <v>144</v>
      </c>
      <c r="L18" s="33" t="s">
        <v>145</v>
      </c>
      <c r="M18" s="33" t="s">
        <v>146</v>
      </c>
      <c r="N18" s="64">
        <v>5</v>
      </c>
      <c r="O18" s="117"/>
      <c r="P18" s="33"/>
      <c r="Q18" s="33"/>
      <c r="R18" s="33"/>
      <c r="S18" s="33"/>
      <c r="T18" s="193">
        <f t="shared" si="2"/>
        <v>6.3636363636363638E-3</v>
      </c>
      <c r="U18" s="193"/>
      <c r="V18" s="193">
        <f t="shared" si="3"/>
        <v>7.2351421188630487E-3</v>
      </c>
      <c r="W18" s="33"/>
      <c r="X18" s="33"/>
      <c r="Y18" s="33"/>
      <c r="Z18" s="33"/>
      <c r="AA18" s="33"/>
      <c r="AB18" s="33"/>
      <c r="AC18" s="33"/>
      <c r="AD18" s="33"/>
      <c r="AE18" s="33"/>
      <c r="AF18" s="33"/>
    </row>
    <row r="19" spans="1:32" ht="12.75" customHeight="1">
      <c r="A19" s="57"/>
      <c r="B19" s="57"/>
      <c r="C19" s="33"/>
      <c r="D19" s="64"/>
      <c r="E19" s="19" t="s">
        <v>147</v>
      </c>
      <c r="F19" s="29"/>
      <c r="G19" s="29"/>
      <c r="H19" s="29"/>
      <c r="I19" s="22"/>
      <c r="J19" s="205"/>
      <c r="K19" s="117" t="s">
        <v>148</v>
      </c>
      <c r="L19" s="33" t="s">
        <v>149</v>
      </c>
      <c r="M19" s="33" t="s">
        <v>150</v>
      </c>
      <c r="N19" s="64">
        <v>10</v>
      </c>
      <c r="O19" s="117"/>
      <c r="P19" s="33"/>
      <c r="Q19" s="33"/>
      <c r="R19" s="33"/>
      <c r="S19" s="33"/>
      <c r="T19" s="33"/>
      <c r="U19" s="33"/>
      <c r="V19" s="186"/>
      <c r="W19" s="33"/>
      <c r="X19" s="33"/>
      <c r="Y19" s="33"/>
      <c r="Z19" s="33"/>
      <c r="AA19" s="33"/>
      <c r="AB19" s="33"/>
      <c r="AC19" s="33"/>
      <c r="AD19" s="33"/>
      <c r="AE19" s="33"/>
      <c r="AF19" s="33"/>
    </row>
    <row r="20" spans="1:32" ht="12.75" customHeight="1">
      <c r="A20" s="19" t="s">
        <v>151</v>
      </c>
      <c r="B20" s="95"/>
      <c r="C20" s="117"/>
      <c r="D20" s="64"/>
      <c r="E20" s="117" t="s">
        <v>853</v>
      </c>
      <c r="F20" s="33">
        <v>1</v>
      </c>
      <c r="G20" s="33" t="s">
        <v>804</v>
      </c>
      <c r="H20" s="33" t="s">
        <v>854</v>
      </c>
      <c r="I20" s="64">
        <v>6</v>
      </c>
      <c r="J20" s="205"/>
      <c r="K20" s="117" t="s">
        <v>152</v>
      </c>
      <c r="L20" s="33" t="s">
        <v>153</v>
      </c>
      <c r="M20" s="33" t="s">
        <v>154</v>
      </c>
      <c r="N20" s="64">
        <v>10</v>
      </c>
      <c r="O20" s="117"/>
      <c r="P20" s="33"/>
      <c r="Q20" s="33"/>
      <c r="R20" s="33"/>
      <c r="S20" s="33"/>
      <c r="T20" s="186" t="s">
        <v>20</v>
      </c>
      <c r="U20" s="33"/>
      <c r="V20" s="186" t="s">
        <v>55</v>
      </c>
      <c r="W20" s="33"/>
      <c r="X20" s="207" t="s">
        <v>57</v>
      </c>
      <c r="Y20" s="33"/>
      <c r="Z20" s="33"/>
      <c r="AA20" s="33"/>
      <c r="AB20" s="33"/>
      <c r="AC20" s="33"/>
      <c r="AD20" s="33"/>
      <c r="AE20" s="33"/>
      <c r="AF20" s="33"/>
    </row>
    <row r="21" spans="1:32" ht="12.75" customHeight="1">
      <c r="A21" s="117" t="s">
        <v>155</v>
      </c>
      <c r="B21" s="108">
        <v>0.33</v>
      </c>
      <c r="C21" s="117"/>
      <c r="D21" s="64"/>
      <c r="E21" s="117" t="s">
        <v>855</v>
      </c>
      <c r="F21" s="33">
        <v>6</v>
      </c>
      <c r="G21" s="33" t="s">
        <v>804</v>
      </c>
      <c r="H21" s="33" t="s">
        <v>856</v>
      </c>
      <c r="I21" s="64">
        <v>6</v>
      </c>
      <c r="J21" s="205"/>
      <c r="K21" s="117" t="s">
        <v>156</v>
      </c>
      <c r="L21" s="33" t="s">
        <v>157</v>
      </c>
      <c r="M21" s="33" t="s">
        <v>158</v>
      </c>
      <c r="N21" s="64">
        <v>6</v>
      </c>
      <c r="O21" s="117"/>
      <c r="P21" s="33" t="s">
        <v>0</v>
      </c>
      <c r="Q21" s="33"/>
      <c r="R21" s="33"/>
      <c r="S21" s="33"/>
      <c r="T21" s="181">
        <f>SUM(Cheatsheet!K3:K39)</f>
        <v>500</v>
      </c>
      <c r="U21" s="33">
        <f t="shared" ref="U21:U26" si="4">T3-T21</f>
        <v>0</v>
      </c>
      <c r="V21" s="181">
        <f>SUM(Cheatsheet!K3:K24)</f>
        <v>425</v>
      </c>
      <c r="W21" s="33">
        <f t="shared" ref="W21:W26" si="5">V3-V21</f>
        <v>0</v>
      </c>
      <c r="X21" s="181">
        <f t="shared" ref="X21:X26" si="6">T21-V21</f>
        <v>75</v>
      </c>
      <c r="Y21" s="33">
        <f t="shared" ref="Y21:Y26" si="7">X3-X21</f>
        <v>0</v>
      </c>
      <c r="Z21" s="33"/>
      <c r="AA21" s="33"/>
      <c r="AB21" s="33"/>
      <c r="AC21" s="33"/>
      <c r="AD21" s="33"/>
      <c r="AE21" s="33"/>
      <c r="AF21" s="33"/>
    </row>
    <row r="22" spans="1:32" ht="12.75" customHeight="1">
      <c r="A22" s="117" t="s">
        <v>1</v>
      </c>
      <c r="B22" s="108">
        <v>0.33</v>
      </c>
      <c r="C22" s="117"/>
      <c r="D22" s="64"/>
      <c r="E22" s="117" t="s">
        <v>857</v>
      </c>
      <c r="F22" s="33">
        <v>6</v>
      </c>
      <c r="G22" s="33" t="s">
        <v>804</v>
      </c>
      <c r="H22" s="33" t="s">
        <v>858</v>
      </c>
      <c r="I22" s="64">
        <v>6</v>
      </c>
      <c r="J22" s="205"/>
      <c r="K22" s="117" t="s">
        <v>159</v>
      </c>
      <c r="L22" s="33" t="s">
        <v>160</v>
      </c>
      <c r="M22" s="33" t="s">
        <v>161</v>
      </c>
      <c r="N22" s="64">
        <v>8</v>
      </c>
      <c r="O22" s="117"/>
      <c r="P22" s="33" t="s">
        <v>2</v>
      </c>
      <c r="Q22" s="33"/>
      <c r="R22" s="33"/>
      <c r="S22" s="33"/>
      <c r="T22" s="181">
        <f>SUM(Cheatsheet!W3:W63)</f>
        <v>775</v>
      </c>
      <c r="U22" s="33">
        <f t="shared" si="4"/>
        <v>0</v>
      </c>
      <c r="V22" s="181">
        <f>SUM(Cheatsheet!W3:W35)</f>
        <v>698</v>
      </c>
      <c r="W22" s="33">
        <f t="shared" si="5"/>
        <v>0</v>
      </c>
      <c r="X22" s="181">
        <f t="shared" si="6"/>
        <v>77</v>
      </c>
      <c r="Y22" s="33">
        <f t="shared" si="7"/>
        <v>0</v>
      </c>
      <c r="Z22" s="33"/>
      <c r="AA22" s="33"/>
      <c r="AB22" s="33"/>
      <c r="AC22" s="33"/>
      <c r="AD22" s="33"/>
      <c r="AE22" s="33"/>
      <c r="AF22" s="33"/>
    </row>
    <row r="23" spans="1:32" ht="12.75" customHeight="1">
      <c r="A23" s="164" t="s">
        <v>162</v>
      </c>
      <c r="B23" s="126">
        <f>(1-B21)-B22</f>
        <v>0.33999999999999991</v>
      </c>
      <c r="C23" s="117"/>
      <c r="D23" s="64"/>
      <c r="E23" s="117" t="s">
        <v>859</v>
      </c>
      <c r="F23" s="33">
        <v>2</v>
      </c>
      <c r="G23" s="33" t="s">
        <v>804</v>
      </c>
      <c r="H23" s="33" t="s">
        <v>860</v>
      </c>
      <c r="I23" s="64">
        <v>1</v>
      </c>
      <c r="J23" s="205"/>
      <c r="K23" s="117" t="s">
        <v>163</v>
      </c>
      <c r="L23" s="33" t="s">
        <v>164</v>
      </c>
      <c r="M23" s="33" t="s">
        <v>165</v>
      </c>
      <c r="N23" s="64">
        <v>11</v>
      </c>
      <c r="O23" s="117"/>
      <c r="P23" s="33" t="s">
        <v>3</v>
      </c>
      <c r="Q23" s="33"/>
      <c r="R23" s="33"/>
      <c r="S23" s="33"/>
      <c r="T23" s="181">
        <f>SUM(Cheatsheet!AI3:AI63)</f>
        <v>773</v>
      </c>
      <c r="U23" s="33">
        <f t="shared" si="4"/>
        <v>2</v>
      </c>
      <c r="V23" s="181">
        <f>SUM(Cheatsheet!AI3:AI35)</f>
        <v>674</v>
      </c>
      <c r="W23" s="33">
        <f t="shared" si="5"/>
        <v>0</v>
      </c>
      <c r="X23" s="181">
        <f t="shared" si="6"/>
        <v>99</v>
      </c>
      <c r="Y23" s="33">
        <f t="shared" si="7"/>
        <v>2</v>
      </c>
      <c r="Z23" s="33"/>
      <c r="AA23" s="33"/>
      <c r="AB23" s="33"/>
      <c r="AC23" s="33"/>
      <c r="AD23" s="33"/>
      <c r="AE23" s="33"/>
      <c r="AF23" s="33"/>
    </row>
    <row r="24" spans="1:32" ht="12.75" customHeight="1">
      <c r="A24" s="91"/>
      <c r="B24" s="91"/>
      <c r="C24" s="33"/>
      <c r="D24" s="64"/>
      <c r="E24" s="117" t="s">
        <v>861</v>
      </c>
      <c r="F24" s="33">
        <v>4</v>
      </c>
      <c r="G24" s="33" t="s">
        <v>804</v>
      </c>
      <c r="H24" s="33" t="s">
        <v>862</v>
      </c>
      <c r="I24" s="64">
        <v>10</v>
      </c>
      <c r="J24" s="205"/>
      <c r="K24" s="117" t="s">
        <v>166</v>
      </c>
      <c r="L24" s="33" t="s">
        <v>167</v>
      </c>
      <c r="M24" s="33" t="s">
        <v>168</v>
      </c>
      <c r="N24" s="64">
        <v>5</v>
      </c>
      <c r="O24" s="117"/>
      <c r="P24" s="33" t="s">
        <v>16</v>
      </c>
      <c r="Q24" s="33"/>
      <c r="R24" s="33"/>
      <c r="S24" s="33"/>
      <c r="T24" s="181">
        <f>SUM(Cheatsheet!K57:K73)</f>
        <v>125</v>
      </c>
      <c r="U24" s="33">
        <f t="shared" si="4"/>
        <v>0</v>
      </c>
      <c r="V24" s="181">
        <f>SUM(Cheatsheet!K57:K67)</f>
        <v>113</v>
      </c>
      <c r="W24" s="33">
        <f t="shared" si="5"/>
        <v>0</v>
      </c>
      <c r="X24" s="181">
        <f t="shared" si="6"/>
        <v>12</v>
      </c>
      <c r="Y24" s="33">
        <f t="shared" si="7"/>
        <v>0</v>
      </c>
      <c r="Z24" s="33"/>
      <c r="AA24" s="33"/>
      <c r="AB24" s="33"/>
      <c r="AC24" s="33"/>
      <c r="AD24" s="33"/>
      <c r="AE24" s="33"/>
      <c r="AF24" s="33"/>
    </row>
    <row r="25" spans="1:32" ht="12.75" customHeight="1">
      <c r="A25" s="33" t="s">
        <v>169</v>
      </c>
      <c r="B25" s="190">
        <v>2014</v>
      </c>
      <c r="C25" s="33"/>
      <c r="D25" s="64"/>
      <c r="E25" s="117" t="s">
        <v>863</v>
      </c>
      <c r="F25" s="33">
        <v>7</v>
      </c>
      <c r="G25" s="33" t="s">
        <v>804</v>
      </c>
      <c r="H25" s="33" t="s">
        <v>864</v>
      </c>
      <c r="I25" s="64">
        <v>4</v>
      </c>
      <c r="J25" s="205"/>
      <c r="K25" s="117" t="s">
        <v>170</v>
      </c>
      <c r="L25" s="33" t="s">
        <v>171</v>
      </c>
      <c r="M25" s="33" t="s">
        <v>172</v>
      </c>
      <c r="N25" s="64">
        <v>7</v>
      </c>
      <c r="O25" s="117"/>
      <c r="P25" s="33" t="s">
        <v>4</v>
      </c>
      <c r="Q25" s="33"/>
      <c r="R25" s="33"/>
      <c r="S25" s="33"/>
      <c r="T25" s="181">
        <f>SUM(Cheatsheet!AU3:AU13)</f>
        <v>11</v>
      </c>
      <c r="U25" s="33">
        <f t="shared" si="4"/>
        <v>0</v>
      </c>
      <c r="V25" s="181">
        <f>T25</f>
        <v>11</v>
      </c>
      <c r="W25" s="33">
        <f t="shared" si="5"/>
        <v>0</v>
      </c>
      <c r="X25" s="181">
        <f t="shared" si="6"/>
        <v>0</v>
      </c>
      <c r="Y25" s="33">
        <f t="shared" si="7"/>
        <v>0</v>
      </c>
      <c r="Z25" s="33"/>
      <c r="AA25" s="33"/>
      <c r="AB25" s="33"/>
      <c r="AC25" s="33"/>
      <c r="AD25" s="33"/>
      <c r="AE25" s="33"/>
      <c r="AF25" s="33"/>
    </row>
    <row r="26" spans="1:32" ht="12.75" customHeight="1">
      <c r="A26" s="33"/>
      <c r="B26" s="33"/>
      <c r="C26" s="33"/>
      <c r="D26" s="64"/>
      <c r="E26" s="117" t="s">
        <v>865</v>
      </c>
      <c r="F26" s="33">
        <v>1</v>
      </c>
      <c r="G26" s="33" t="s">
        <v>804</v>
      </c>
      <c r="H26" s="33" t="s">
        <v>866</v>
      </c>
      <c r="I26" s="64">
        <v>-1</v>
      </c>
      <c r="J26" s="205"/>
      <c r="K26" s="117" t="s">
        <v>173</v>
      </c>
      <c r="L26" s="33" t="s">
        <v>174</v>
      </c>
      <c r="M26" s="33" t="s">
        <v>175</v>
      </c>
      <c r="N26" s="64">
        <v>12</v>
      </c>
      <c r="O26" s="117"/>
      <c r="P26" s="33" t="s">
        <v>15</v>
      </c>
      <c r="Q26" s="33"/>
      <c r="R26" s="33"/>
      <c r="S26" s="33"/>
      <c r="T26" s="181">
        <f>SUM(Cheatsheet!AU35:AU45)</f>
        <v>14</v>
      </c>
      <c r="U26" s="33">
        <f t="shared" si="4"/>
        <v>0</v>
      </c>
      <c r="V26" s="181">
        <f>T26</f>
        <v>14</v>
      </c>
      <c r="W26" s="33">
        <f t="shared" si="5"/>
        <v>0</v>
      </c>
      <c r="X26" s="181">
        <f t="shared" si="6"/>
        <v>0</v>
      </c>
      <c r="Y26" s="33">
        <f t="shared" si="7"/>
        <v>0</v>
      </c>
      <c r="Z26" s="33"/>
      <c r="AA26" s="33"/>
      <c r="AB26" s="33"/>
      <c r="AC26" s="33"/>
      <c r="AD26" s="33"/>
      <c r="AE26" s="33"/>
      <c r="AF26" s="33"/>
    </row>
    <row r="27" spans="1:32" ht="12.75" customHeight="1">
      <c r="A27" s="33"/>
      <c r="B27" s="33"/>
      <c r="C27" s="33"/>
      <c r="D27" s="64"/>
      <c r="E27" s="117" t="s">
        <v>867</v>
      </c>
      <c r="F27" s="33">
        <v>-4</v>
      </c>
      <c r="G27" s="33" t="s">
        <v>804</v>
      </c>
      <c r="H27" s="33" t="s">
        <v>868</v>
      </c>
      <c r="I27" s="64">
        <v>-7</v>
      </c>
      <c r="J27" s="205"/>
      <c r="K27" s="117" t="s">
        <v>176</v>
      </c>
      <c r="L27" s="33" t="s">
        <v>177</v>
      </c>
      <c r="M27" s="33" t="s">
        <v>178</v>
      </c>
      <c r="N27" s="64">
        <v>10</v>
      </c>
      <c r="O27" s="117"/>
      <c r="P27" s="33"/>
      <c r="Q27" s="33"/>
      <c r="R27" s="33"/>
      <c r="S27" s="33"/>
      <c r="T27" s="181"/>
      <c r="U27" s="33"/>
      <c r="V27" s="181"/>
      <c r="W27" s="33"/>
      <c r="X27" s="181"/>
      <c r="Y27" s="33"/>
      <c r="Z27" s="33"/>
      <c r="AA27" s="33"/>
      <c r="AB27" s="33"/>
      <c r="AC27" s="33"/>
      <c r="AD27" s="33"/>
      <c r="AE27" s="33"/>
      <c r="AF27" s="33"/>
    </row>
    <row r="28" spans="1:32" ht="12.75" customHeight="1">
      <c r="A28" s="186" t="s">
        <v>179</v>
      </c>
      <c r="B28" s="33"/>
      <c r="C28" s="33"/>
      <c r="D28" s="64"/>
      <c r="E28" s="164" t="s">
        <v>869</v>
      </c>
      <c r="F28" s="121">
        <v>-10</v>
      </c>
      <c r="G28" s="121" t="s">
        <v>804</v>
      </c>
      <c r="H28" s="121" t="s">
        <v>804</v>
      </c>
      <c r="I28" s="56" t="s">
        <v>804</v>
      </c>
      <c r="J28" s="205"/>
      <c r="K28" s="117" t="s">
        <v>180</v>
      </c>
      <c r="L28" s="33" t="s">
        <v>181</v>
      </c>
      <c r="M28" s="33" t="s">
        <v>182</v>
      </c>
      <c r="N28" s="64">
        <v>8</v>
      </c>
      <c r="O28" s="117"/>
      <c r="P28" s="33"/>
      <c r="Q28" s="33"/>
      <c r="R28" s="33"/>
      <c r="S28" s="33"/>
      <c r="T28" s="181">
        <f>SUM(T21:T26)</f>
        <v>2198</v>
      </c>
      <c r="U28" s="33">
        <f>T10-T28</f>
        <v>2</v>
      </c>
      <c r="V28" s="181">
        <f>SUM(V21:V26)</f>
        <v>1935</v>
      </c>
      <c r="W28" s="33">
        <f>V10-V28</f>
        <v>0</v>
      </c>
      <c r="X28" s="181">
        <f>SUM(X21:X26)</f>
        <v>263</v>
      </c>
      <c r="Y28" s="33">
        <f>X10-X28</f>
        <v>2</v>
      </c>
      <c r="Z28" s="33"/>
      <c r="AA28" s="33"/>
      <c r="AB28" s="33"/>
      <c r="AC28" s="33"/>
      <c r="AD28" s="33"/>
      <c r="AE28" s="33"/>
      <c r="AF28" s="33"/>
    </row>
    <row r="29" spans="1:32" ht="12.75" customHeight="1">
      <c r="A29" s="33"/>
      <c r="B29" s="33"/>
      <c r="C29" s="33"/>
      <c r="D29" s="33"/>
      <c r="E29" s="52"/>
      <c r="F29" s="52"/>
      <c r="G29" s="91"/>
      <c r="H29" s="91"/>
      <c r="I29" s="91"/>
      <c r="J29" s="64"/>
      <c r="K29" s="117" t="s">
        <v>183</v>
      </c>
      <c r="L29" s="33" t="s">
        <v>184</v>
      </c>
      <c r="M29" s="33" t="s">
        <v>185</v>
      </c>
      <c r="N29" s="64">
        <v>4</v>
      </c>
      <c r="O29" s="117"/>
      <c r="P29" s="33"/>
      <c r="Q29" s="33"/>
      <c r="R29" s="33"/>
      <c r="S29" s="33"/>
      <c r="T29" s="33"/>
      <c r="U29" s="33"/>
      <c r="V29" s="33"/>
      <c r="W29" s="33"/>
      <c r="X29" s="33"/>
      <c r="Y29" s="33"/>
      <c r="Z29" s="33"/>
      <c r="AA29" s="33"/>
      <c r="AB29" s="33"/>
      <c r="AC29" s="33"/>
      <c r="AD29" s="33"/>
      <c r="AE29" s="33"/>
      <c r="AF29" s="33"/>
    </row>
    <row r="30" spans="1:32" ht="12.75" customHeight="1">
      <c r="A30" s="187" t="s">
        <v>186</v>
      </c>
      <c r="B30" s="33"/>
      <c r="C30" s="33"/>
      <c r="D30" s="64"/>
      <c r="E30" s="9" t="s">
        <v>187</v>
      </c>
      <c r="F30" s="39">
        <v>200</v>
      </c>
      <c r="G30" s="117"/>
      <c r="H30" s="33"/>
      <c r="I30" s="33"/>
      <c r="J30" s="64"/>
      <c r="K30" s="117" t="s">
        <v>188</v>
      </c>
      <c r="L30" s="33" t="s">
        <v>189</v>
      </c>
      <c r="M30" s="33" t="s">
        <v>190</v>
      </c>
      <c r="N30" s="64">
        <v>4</v>
      </c>
      <c r="O30" s="117"/>
      <c r="P30" s="33"/>
      <c r="Q30" s="33"/>
      <c r="R30" s="33"/>
      <c r="S30" s="33"/>
      <c r="T30" s="33"/>
      <c r="U30" s="33"/>
      <c r="V30" s="33"/>
      <c r="W30" s="33"/>
      <c r="X30" s="33"/>
      <c r="Y30" s="33"/>
      <c r="Z30" s="33"/>
      <c r="AA30" s="33"/>
      <c r="AB30" s="33"/>
      <c r="AC30" s="33"/>
      <c r="AD30" s="33"/>
      <c r="AE30" s="33"/>
      <c r="AF30" s="33"/>
    </row>
    <row r="31" spans="1:32" ht="12.75" customHeight="1">
      <c r="A31" s="187" t="s">
        <v>191</v>
      </c>
      <c r="B31" s="33"/>
      <c r="C31" s="33"/>
      <c r="D31" s="33"/>
      <c r="E31" s="91"/>
      <c r="F31" s="91"/>
      <c r="G31" s="33"/>
      <c r="H31" s="33"/>
      <c r="I31" s="33"/>
      <c r="J31" s="64"/>
      <c r="K31" s="117" t="s">
        <v>192</v>
      </c>
      <c r="L31" s="33" t="s">
        <v>193</v>
      </c>
      <c r="M31" s="33" t="s">
        <v>194</v>
      </c>
      <c r="N31" s="64">
        <v>7</v>
      </c>
      <c r="O31" s="117"/>
      <c r="P31" s="33"/>
      <c r="Q31" s="33"/>
      <c r="R31" s="33"/>
      <c r="S31" s="33"/>
      <c r="T31" s="33"/>
      <c r="U31" s="33"/>
      <c r="V31" s="33"/>
      <c r="W31" s="33"/>
      <c r="X31" s="33"/>
      <c r="Y31" s="33"/>
      <c r="Z31" s="33"/>
      <c r="AA31" s="33"/>
      <c r="AB31" s="33"/>
      <c r="AC31" s="33"/>
      <c r="AD31" s="33"/>
      <c r="AE31" s="33"/>
      <c r="AF31" s="33"/>
    </row>
    <row r="32" spans="1:32" ht="12.75" customHeight="1">
      <c r="A32" s="187" t="s">
        <v>195</v>
      </c>
      <c r="B32" s="33"/>
      <c r="C32" s="33"/>
      <c r="D32" s="33"/>
      <c r="E32" s="33"/>
      <c r="F32" s="33"/>
      <c r="G32" s="33"/>
      <c r="H32" s="33"/>
      <c r="I32" s="33"/>
      <c r="J32" s="64"/>
      <c r="K32" s="117" t="s">
        <v>196</v>
      </c>
      <c r="L32" s="33" t="s">
        <v>197</v>
      </c>
      <c r="M32" s="33" t="s">
        <v>198</v>
      </c>
      <c r="N32" s="64">
        <v>9</v>
      </c>
      <c r="O32" s="117"/>
      <c r="P32" s="33"/>
      <c r="Q32" s="33"/>
      <c r="R32" s="33"/>
      <c r="S32" s="33"/>
      <c r="T32" s="33"/>
      <c r="U32" s="33"/>
      <c r="V32" s="33"/>
      <c r="W32" s="33"/>
      <c r="X32" s="33"/>
      <c r="Y32" s="33"/>
      <c r="Z32" s="33"/>
      <c r="AA32" s="33"/>
      <c r="AB32" s="33"/>
      <c r="AC32" s="33"/>
      <c r="AD32" s="33"/>
      <c r="AE32" s="33"/>
      <c r="AF32" s="33"/>
    </row>
    <row r="33" spans="1:32" ht="12.75" customHeight="1">
      <c r="A33" s="33"/>
      <c r="B33" s="33"/>
      <c r="C33" s="33"/>
      <c r="D33" s="186"/>
      <c r="E33" s="33"/>
      <c r="F33" s="33"/>
      <c r="G33" s="33"/>
      <c r="H33" s="33"/>
      <c r="I33" s="33"/>
      <c r="J33" s="64"/>
      <c r="K33" s="164" t="s">
        <v>199</v>
      </c>
      <c r="L33" s="121" t="s">
        <v>200</v>
      </c>
      <c r="M33" s="121" t="s">
        <v>201</v>
      </c>
      <c r="N33" s="56">
        <v>10</v>
      </c>
      <c r="O33" s="117"/>
      <c r="P33" s="33"/>
      <c r="Q33" s="33"/>
      <c r="R33" s="33"/>
      <c r="S33" s="33"/>
      <c r="T33" s="33"/>
      <c r="U33" s="33"/>
      <c r="V33" s="33"/>
      <c r="W33" s="33"/>
      <c r="X33" s="33"/>
      <c r="Y33" s="33"/>
      <c r="Z33" s="33"/>
      <c r="AA33" s="33"/>
      <c r="AB33" s="33"/>
      <c r="AC33" s="33"/>
      <c r="AD33" s="33"/>
      <c r="AE33" s="33"/>
      <c r="AF33" s="33"/>
    </row>
    <row r="34" spans="1:32" ht="12.75" customHeight="1">
      <c r="A34" s="33"/>
      <c r="B34" s="33"/>
      <c r="C34" s="33"/>
      <c r="D34" s="33"/>
      <c r="E34" s="33"/>
      <c r="F34" s="33"/>
      <c r="G34" s="33"/>
      <c r="H34" s="33"/>
      <c r="I34" s="33"/>
      <c r="J34" s="33"/>
      <c r="K34" s="91"/>
      <c r="L34" s="91"/>
      <c r="M34" s="91"/>
      <c r="N34" s="91"/>
      <c r="O34" s="33"/>
      <c r="P34" s="33"/>
      <c r="Q34" s="33"/>
      <c r="R34" s="33"/>
      <c r="S34" s="33"/>
      <c r="T34" s="33"/>
      <c r="U34" s="33"/>
      <c r="V34" s="33"/>
      <c r="W34" s="33"/>
      <c r="X34" s="33"/>
      <c r="Y34" s="33"/>
      <c r="Z34" s="33"/>
      <c r="AA34" s="33"/>
      <c r="AB34" s="33"/>
      <c r="AC34" s="33"/>
      <c r="AD34" s="33"/>
      <c r="AE34" s="33"/>
      <c r="AF34" s="33"/>
    </row>
    <row r="35" spans="1:32" ht="12.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row>
    <row r="36" spans="1:32" ht="12.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row>
    <row r="37" spans="1:32" ht="12.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row>
    <row r="38" spans="1:32" ht="12.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row>
    <row r="39" spans="1:32" ht="12.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row>
    <row r="40" spans="1:32" ht="12.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row>
    <row r="41" spans="1:32" ht="12.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row>
    <row r="42" spans="1:32" ht="12.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row>
    <row r="43" spans="1:32" ht="12.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row>
    <row r="44" spans="1:32" ht="12.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row>
    <row r="45" spans="1:32" ht="12.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row>
    <row r="46" spans="1:32" ht="12.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row>
    <row r="47" spans="1:32" ht="12.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row>
    <row r="48" spans="1:32" ht="12.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row>
    <row r="49" spans="1:32" ht="12.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row>
    <row r="50" spans="1:32" ht="12.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row>
    <row r="51" spans="1:32" ht="12.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row>
    <row r="52" spans="1:32" ht="12.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row>
    <row r="53" spans="1:32" ht="12.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row>
    <row r="54" spans="1:32" ht="12.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row>
    <row r="55" spans="1:32" ht="12.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row>
    <row r="56" spans="1:32" ht="12.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row>
    <row r="57" spans="1:32" ht="12.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row>
    <row r="58" spans="1:32" ht="12.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row>
    <row r="59" spans="1:32" ht="12.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row>
    <row r="60" spans="1:32" ht="12.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row>
    <row r="61" spans="1:32" ht="12.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row>
    <row r="62" spans="1:32" ht="12.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row>
    <row r="63" spans="1:32" ht="12.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row>
    <row r="64" spans="1:32" ht="12.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row>
    <row r="65" spans="1:32" ht="12.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row>
    <row r="66" spans="1:32" ht="12.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row>
    <row r="67" spans="1:32" ht="12.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row>
    <row r="68" spans="1:32" ht="12.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row>
    <row r="69" spans="1:32" ht="12.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row>
    <row r="70" spans="1:32" ht="12.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row>
    <row r="71" spans="1:32" ht="12.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row>
    <row r="72" spans="1:32" ht="12.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row>
    <row r="73" spans="1:32" ht="12.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row>
    <row r="74" spans="1:32" ht="12.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row>
    <row r="75" spans="1:32" ht="12.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row>
    <row r="76" spans="1:32" ht="12.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row>
    <row r="77" spans="1:32" ht="12.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row>
    <row r="78" spans="1:32" ht="12.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row>
    <row r="79" spans="1:32" ht="12.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row>
    <row r="80" spans="1:32" ht="12.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row>
    <row r="81" spans="1:32" ht="12.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row>
    <row r="82" spans="1:32" ht="12.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row>
    <row r="83" spans="1:32" ht="12.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row>
    <row r="84" spans="1:32" ht="12.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row>
    <row r="85" spans="1:32" ht="12.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row>
    <row r="86" spans="1:32" ht="12.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row>
    <row r="87" spans="1:32" ht="12.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row>
    <row r="88" spans="1:32" ht="12.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row>
    <row r="89" spans="1:32" ht="12.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row>
    <row r="90" spans="1:32" ht="12.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row>
    <row r="91" spans="1:32" ht="12.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row>
    <row r="92" spans="1:32" ht="12.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row>
    <row r="93" spans="1:32" ht="12.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row>
    <row r="94" spans="1:32" ht="12.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row>
  </sheetData>
  <mergeCells count="1">
    <mergeCell ref="P1:AA1"/>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0"/>
  <sheetViews>
    <sheetView showGridLines="0" zoomScale="125" zoomScaleNormal="125" zoomScalePageLayoutView="125" workbookViewId="0">
      <pane xSplit="1" ySplit="2" topLeftCell="B3" activePane="bottomRight" state="frozen"/>
      <selection pane="topRight" activeCell="B1" sqref="B1"/>
      <selection pane="bottomLeft" activeCell="A3" sqref="A3"/>
      <selection pane="bottomRight" activeCell="B28" sqref="B28"/>
    </sheetView>
  </sheetViews>
  <sheetFormatPr baseColWidth="10" defaultColWidth="17.1640625" defaultRowHeight="12.75" customHeight="1" x14ac:dyDescent="0"/>
  <cols>
    <col min="1" max="1" width="4.6640625" customWidth="1"/>
    <col min="2" max="2" width="15.6640625" customWidth="1"/>
    <col min="3" max="3" width="7.33203125" bestFit="1" customWidth="1"/>
    <col min="4" max="4" width="3.33203125" customWidth="1"/>
    <col min="5" max="5" width="4.5" customWidth="1"/>
    <col min="6" max="6" width="5" customWidth="1"/>
    <col min="7" max="7" width="17.1640625" customWidth="1"/>
    <col min="8" max="8" width="5" customWidth="1"/>
    <col min="9" max="9" width="3.33203125" customWidth="1"/>
    <col min="10" max="10" width="4.5" customWidth="1"/>
    <col min="11" max="11" width="5" customWidth="1"/>
    <col min="12" max="12" width="17.33203125" customWidth="1"/>
    <col min="13" max="13" width="5" customWidth="1"/>
    <col min="14" max="14" width="3.33203125" customWidth="1"/>
    <col min="15" max="15" width="4.5" customWidth="1"/>
    <col min="16" max="16" width="5" customWidth="1"/>
    <col min="17" max="17" width="19.1640625" customWidth="1"/>
    <col min="18" max="18" width="5" customWidth="1"/>
    <col min="19" max="19" width="3.33203125" customWidth="1"/>
    <col min="20" max="20" width="4.5" customWidth="1"/>
    <col min="21" max="21" width="5" customWidth="1"/>
    <col min="22" max="22" width="16.83203125" customWidth="1"/>
    <col min="23" max="23" width="5" customWidth="1"/>
    <col min="24" max="24" width="3.33203125" customWidth="1"/>
    <col min="25" max="25" width="4.5" customWidth="1"/>
    <col min="26" max="26" width="5" customWidth="1"/>
    <col min="27" max="27" width="18.1640625" customWidth="1"/>
    <col min="28" max="28" width="5" customWidth="1"/>
    <col min="29" max="29" width="3.33203125" customWidth="1"/>
    <col min="30" max="30" width="4.5" customWidth="1"/>
    <col min="31" max="31" width="5" customWidth="1"/>
    <col min="32" max="32" width="15.5" customWidth="1"/>
    <col min="33" max="33" width="5" customWidth="1"/>
    <col min="34" max="34" width="3.33203125" customWidth="1"/>
    <col min="35" max="35" width="4.5" customWidth="1"/>
    <col min="36" max="36" width="5" customWidth="1"/>
    <col min="37" max="37" width="13.5" customWidth="1"/>
    <col min="38" max="38" width="5" customWidth="1"/>
    <col min="39" max="39" width="3.33203125" customWidth="1"/>
    <col min="40" max="40" width="4.5" customWidth="1"/>
    <col min="41" max="41" width="5" customWidth="1"/>
    <col min="42" max="42" width="18" customWidth="1"/>
    <col min="43" max="43" width="5" customWidth="1"/>
    <col min="44" max="44" width="3.33203125" customWidth="1"/>
    <col min="45" max="45" width="4.5" customWidth="1"/>
    <col min="46" max="46" width="5" customWidth="1"/>
    <col min="47" max="47" width="18.5" customWidth="1"/>
    <col min="48" max="48" width="5" customWidth="1"/>
    <col min="49" max="49" width="3.33203125" customWidth="1"/>
    <col min="50" max="50" width="4.5" customWidth="1"/>
    <col min="51" max="51" width="5" customWidth="1"/>
    <col min="52" max="52" width="18.6640625" customWidth="1"/>
    <col min="53" max="53" width="5" customWidth="1"/>
    <col min="54" max="54" width="3.33203125" customWidth="1"/>
    <col min="55" max="55" width="4.5" customWidth="1"/>
    <col min="56" max="56" width="5" customWidth="1"/>
  </cols>
  <sheetData>
    <row r="1" spans="1:56" ht="12.75" customHeight="1">
      <c r="A1" s="85" t="s">
        <v>202</v>
      </c>
      <c r="B1" s="214" t="s">
        <v>41</v>
      </c>
      <c r="C1" s="215"/>
      <c r="D1" s="215"/>
      <c r="E1" s="215"/>
      <c r="F1" s="216"/>
      <c r="G1" s="214" t="s">
        <v>42</v>
      </c>
      <c r="H1" s="215"/>
      <c r="I1" s="215"/>
      <c r="J1" s="215"/>
      <c r="K1" s="216"/>
      <c r="L1" s="214" t="s">
        <v>43</v>
      </c>
      <c r="M1" s="215"/>
      <c r="N1" s="215"/>
      <c r="O1" s="215"/>
      <c r="P1" s="216"/>
      <c r="Q1" s="214" t="s">
        <v>44</v>
      </c>
      <c r="R1" s="215"/>
      <c r="S1" s="215"/>
      <c r="T1" s="215"/>
      <c r="U1" s="216"/>
      <c r="V1" s="214" t="s">
        <v>45</v>
      </c>
      <c r="W1" s="215"/>
      <c r="X1" s="215"/>
      <c r="Y1" s="215"/>
      <c r="Z1" s="216"/>
      <c r="AA1" s="214" t="s">
        <v>46</v>
      </c>
      <c r="AB1" s="215"/>
      <c r="AC1" s="215"/>
      <c r="AD1" s="215"/>
      <c r="AE1" s="216"/>
      <c r="AF1" s="214" t="s">
        <v>47</v>
      </c>
      <c r="AG1" s="215"/>
      <c r="AH1" s="215"/>
      <c r="AI1" s="215"/>
      <c r="AJ1" s="216"/>
      <c r="AK1" s="214" t="s">
        <v>48</v>
      </c>
      <c r="AL1" s="215"/>
      <c r="AM1" s="215"/>
      <c r="AN1" s="215"/>
      <c r="AO1" s="216"/>
      <c r="AP1" s="214" t="s">
        <v>49</v>
      </c>
      <c r="AQ1" s="215"/>
      <c r="AR1" s="215"/>
      <c r="AS1" s="215"/>
      <c r="AT1" s="216"/>
      <c r="AU1" s="214" t="s">
        <v>50</v>
      </c>
      <c r="AV1" s="215"/>
      <c r="AW1" s="215"/>
      <c r="AX1" s="215"/>
      <c r="AY1" s="216"/>
      <c r="AZ1" s="214" t="s">
        <v>51</v>
      </c>
      <c r="BA1" s="215"/>
      <c r="BB1" s="215"/>
      <c r="BC1" s="215"/>
      <c r="BD1" s="216"/>
    </row>
    <row r="2" spans="1:56" ht="12.75" customHeight="1">
      <c r="A2" s="85"/>
      <c r="B2" s="158" t="s">
        <v>6</v>
      </c>
      <c r="C2" s="170" t="s">
        <v>7</v>
      </c>
      <c r="D2" s="170" t="s">
        <v>8</v>
      </c>
      <c r="E2" s="170" t="s">
        <v>10</v>
      </c>
      <c r="F2" s="85" t="s">
        <v>9</v>
      </c>
      <c r="G2" s="158" t="s">
        <v>6</v>
      </c>
      <c r="H2" s="170" t="s">
        <v>7</v>
      </c>
      <c r="I2" s="170" t="s">
        <v>8</v>
      </c>
      <c r="J2" s="170" t="s">
        <v>10</v>
      </c>
      <c r="K2" s="85" t="s">
        <v>9</v>
      </c>
      <c r="L2" s="158" t="s">
        <v>6</v>
      </c>
      <c r="M2" s="170" t="s">
        <v>7</v>
      </c>
      <c r="N2" s="170" t="s">
        <v>8</v>
      </c>
      <c r="O2" s="170" t="s">
        <v>10</v>
      </c>
      <c r="P2" s="85" t="s">
        <v>9</v>
      </c>
      <c r="Q2" s="158" t="s">
        <v>6</v>
      </c>
      <c r="R2" s="170" t="s">
        <v>7</v>
      </c>
      <c r="S2" s="170" t="s">
        <v>8</v>
      </c>
      <c r="T2" s="170" t="s">
        <v>10</v>
      </c>
      <c r="U2" s="85" t="s">
        <v>9</v>
      </c>
      <c r="V2" s="158" t="s">
        <v>6</v>
      </c>
      <c r="W2" s="170" t="s">
        <v>7</v>
      </c>
      <c r="X2" s="170" t="s">
        <v>8</v>
      </c>
      <c r="Y2" s="170" t="s">
        <v>10</v>
      </c>
      <c r="Z2" s="85" t="s">
        <v>9</v>
      </c>
      <c r="AA2" s="158" t="s">
        <v>6</v>
      </c>
      <c r="AB2" s="170" t="s">
        <v>7</v>
      </c>
      <c r="AC2" s="170" t="s">
        <v>8</v>
      </c>
      <c r="AD2" s="170" t="s">
        <v>10</v>
      </c>
      <c r="AE2" s="85" t="s">
        <v>9</v>
      </c>
      <c r="AF2" s="158" t="s">
        <v>6</v>
      </c>
      <c r="AG2" s="170" t="s">
        <v>7</v>
      </c>
      <c r="AH2" s="170" t="s">
        <v>8</v>
      </c>
      <c r="AI2" s="170" t="s">
        <v>10</v>
      </c>
      <c r="AJ2" s="85" t="s">
        <v>9</v>
      </c>
      <c r="AK2" s="158" t="s">
        <v>6</v>
      </c>
      <c r="AL2" s="170" t="s">
        <v>7</v>
      </c>
      <c r="AM2" s="170" t="s">
        <v>8</v>
      </c>
      <c r="AN2" s="170" t="s">
        <v>10</v>
      </c>
      <c r="AO2" s="85" t="s">
        <v>9</v>
      </c>
      <c r="AP2" s="158" t="s">
        <v>6</v>
      </c>
      <c r="AQ2" s="170" t="s">
        <v>7</v>
      </c>
      <c r="AR2" s="170" t="s">
        <v>8</v>
      </c>
      <c r="AS2" s="170" t="s">
        <v>10</v>
      </c>
      <c r="AT2" s="85" t="s">
        <v>9</v>
      </c>
      <c r="AU2" s="158" t="s">
        <v>6</v>
      </c>
      <c r="AV2" s="170" t="s">
        <v>7</v>
      </c>
      <c r="AW2" s="170" t="s">
        <v>8</v>
      </c>
      <c r="AX2" s="170" t="s">
        <v>10</v>
      </c>
      <c r="AY2" s="85" t="s">
        <v>9</v>
      </c>
      <c r="AZ2" s="158" t="s">
        <v>6</v>
      </c>
      <c r="BA2" s="170" t="s">
        <v>7</v>
      </c>
      <c r="BB2" s="170" t="s">
        <v>8</v>
      </c>
      <c r="BC2" s="170" t="s">
        <v>10</v>
      </c>
      <c r="BD2" s="170" t="s">
        <v>9</v>
      </c>
    </row>
    <row r="3" spans="1:56" ht="12.75" customHeight="1">
      <c r="A3" s="31" t="s">
        <v>203</v>
      </c>
      <c r="B3" s="117" t="str">
        <f>'Draft Board'!C4</f>
        <v/>
      </c>
      <c r="C3" s="111" t="e">
        <f>VLOOKUP(B3,QB!$B:$AB,2,0)</f>
        <v>#VALUE!</v>
      </c>
      <c r="D3" s="111" t="e">
        <f>VLOOKUP(C3,Settings!$M$2:$N$33,2,0)</f>
        <v>#VALUE!</v>
      </c>
      <c r="E3" s="184" t="str">
        <f>+IF((B3=""),"",(F3-Settings!$AA$3))</f>
        <v/>
      </c>
      <c r="F3" s="203" t="str">
        <f>IF((B3=""),"",VLOOKUP(B3,QB!$B:$AB,27,0))</f>
        <v/>
      </c>
      <c r="G3" s="117" t="str">
        <f>'Draft Board'!I4</f>
        <v/>
      </c>
      <c r="H3" s="111" t="e">
        <f>VLOOKUP(G3,QB!$B:$AB,2,0)</f>
        <v>#VALUE!</v>
      </c>
      <c r="I3" s="111" t="e">
        <f>VLOOKUP(H3,Settings!$M$2:$N$33,2,0)</f>
        <v>#VALUE!</v>
      </c>
      <c r="J3" s="184" t="str">
        <f>+IF((G3=""),"",(K3-Settings!$AA$3))</f>
        <v/>
      </c>
      <c r="K3" s="203" t="str">
        <f>IF((G3=""),"",VLOOKUP(G3,QB!$B:$AB,27,0))</f>
        <v/>
      </c>
      <c r="L3" s="117" t="str">
        <f>'Draft Board'!O4</f>
        <v/>
      </c>
      <c r="M3" s="111" t="e">
        <f>VLOOKUP(L3,QB!$B:$AB,2,0)</f>
        <v>#VALUE!</v>
      </c>
      <c r="N3" s="111" t="e">
        <f>VLOOKUP(M3,Settings!$M$2:$N$33,2,0)</f>
        <v>#VALUE!</v>
      </c>
      <c r="O3" s="184" t="str">
        <f>+IF((L3=""),"",(P3-Settings!$AA$3))</f>
        <v/>
      </c>
      <c r="P3" s="203" t="str">
        <f>IF((L3=""),"",VLOOKUP(L3,QB!$B:$AB,27,0))</f>
        <v/>
      </c>
      <c r="Q3" s="117" t="str">
        <f>'Draft Board'!U4</f>
        <v/>
      </c>
      <c r="R3" s="111" t="e">
        <f>VLOOKUP(Q3,QB!$B:$AB,2,0)</f>
        <v>#VALUE!</v>
      </c>
      <c r="S3" s="111" t="e">
        <f>VLOOKUP(R3,Settings!$M$2:$N$33,2,0)</f>
        <v>#VALUE!</v>
      </c>
      <c r="T3" s="184" t="str">
        <f>+IF((Q3=""),"",(U3-Settings!$AA$3))</f>
        <v/>
      </c>
      <c r="U3" s="203" t="str">
        <f>IF((Q3=""),"",VLOOKUP(Q3,QB!$B:$AB,27,0))</f>
        <v/>
      </c>
      <c r="V3" s="117" t="str">
        <f>'Draft Board'!AA4</f>
        <v/>
      </c>
      <c r="W3" s="111" t="e">
        <f>VLOOKUP(V3,QB!$B:$AB,2,0)</f>
        <v>#VALUE!</v>
      </c>
      <c r="X3" s="111" t="e">
        <f>VLOOKUP(W3,Settings!$M$2:$N$33,2,0)</f>
        <v>#VALUE!</v>
      </c>
      <c r="Y3" s="184" t="str">
        <f>+IF((V3=""),"",(Z3-Settings!$AA$3))</f>
        <v/>
      </c>
      <c r="Z3" s="203" t="str">
        <f>IF((V3=""),"",VLOOKUP(V3,QB!$B:$AB,27,0))</f>
        <v/>
      </c>
      <c r="AA3" s="117" t="str">
        <f>'Draft Board'!AG4</f>
        <v/>
      </c>
      <c r="AB3" s="111" t="e">
        <f>VLOOKUP(AA3,QB!$B:$AB,2,0)</f>
        <v>#VALUE!</v>
      </c>
      <c r="AC3" s="111" t="e">
        <f>VLOOKUP(AB3,Settings!$M$2:$N$33,2,0)</f>
        <v>#VALUE!</v>
      </c>
      <c r="AD3" s="184" t="str">
        <f>+IF((AA3=""),"",(AE3-Settings!$AA$3))</f>
        <v/>
      </c>
      <c r="AE3" s="203" t="str">
        <f>IF((AA3=""),"",VLOOKUP(AA3,QB!$B:$AB,27,0))</f>
        <v/>
      </c>
      <c r="AF3" s="117" t="str">
        <f>'Draft Board'!AM4</f>
        <v/>
      </c>
      <c r="AG3" s="111" t="e">
        <f>VLOOKUP(AF3,QB!$B:$AB,2,0)</f>
        <v>#VALUE!</v>
      </c>
      <c r="AH3" s="111" t="e">
        <f>VLOOKUP(AG3,Settings!$M$2:$N$33,2,0)</f>
        <v>#VALUE!</v>
      </c>
      <c r="AI3" s="184" t="str">
        <f>+IF((AF3=""),"",(AJ3-Settings!$AA$3))</f>
        <v/>
      </c>
      <c r="AJ3" s="203" t="str">
        <f>IF((AF3=""),"",VLOOKUP(AF3,QB!$B:$AB,27,0))</f>
        <v/>
      </c>
      <c r="AK3" s="117" t="str">
        <f>'Draft Board'!AS4</f>
        <v/>
      </c>
      <c r="AL3" s="111" t="e">
        <f>VLOOKUP(AK3,QB!$B:$AB,2,0)</f>
        <v>#VALUE!</v>
      </c>
      <c r="AM3" s="111" t="e">
        <f>VLOOKUP(AL3,Settings!$M$2:$N$33,2,0)</f>
        <v>#VALUE!</v>
      </c>
      <c r="AN3" s="184" t="str">
        <f>+IF((AK3=""),"",(AO3-Settings!$AA$3))</f>
        <v/>
      </c>
      <c r="AO3" s="203" t="str">
        <f>IF((AK3=""),"",VLOOKUP(AK3,QB!$B:$AB,27,0))</f>
        <v/>
      </c>
      <c r="AP3" s="117" t="str">
        <f>'Draft Board'!AY4</f>
        <v/>
      </c>
      <c r="AQ3" s="111" t="e">
        <f>VLOOKUP(AP3,QB!$B:$AB,2,0)</f>
        <v>#VALUE!</v>
      </c>
      <c r="AR3" s="111" t="e">
        <f>VLOOKUP(AQ3,Settings!$M$2:$N$33,2,0)</f>
        <v>#VALUE!</v>
      </c>
      <c r="AS3" s="184" t="str">
        <f>+IF((AP3=""),"",(AT3-Settings!$AA$3))</f>
        <v/>
      </c>
      <c r="AT3" s="203" t="str">
        <f>IF((AP3=""),"",VLOOKUP(AP3,QB!$B:$AB,27,0))</f>
        <v/>
      </c>
      <c r="AU3" s="117" t="str">
        <f>'Draft Board'!BE4</f>
        <v/>
      </c>
      <c r="AV3" s="111" t="e">
        <f>VLOOKUP(AU3,QB!$B:$AB,2,0)</f>
        <v>#VALUE!</v>
      </c>
      <c r="AW3" s="111" t="e">
        <f>VLOOKUP(AV3,Settings!$M$2:$N$33,2,0)</f>
        <v>#VALUE!</v>
      </c>
      <c r="AX3" s="184" t="str">
        <f>+IF((AU3=""),"",(AY3-Settings!$AA$3))</f>
        <v/>
      </c>
      <c r="AY3" s="203" t="str">
        <f>IF((AU3=""),"",VLOOKUP(AU3,QB!$B:$AB,27,0))</f>
        <v/>
      </c>
      <c r="AZ3" s="117" t="str">
        <f>'Draft Board'!BK4</f>
        <v/>
      </c>
      <c r="BA3" s="111" t="e">
        <f>VLOOKUP(AZ3,QB!$B:$AB,2,0)</f>
        <v>#VALUE!</v>
      </c>
      <c r="BB3" s="111" t="e">
        <f>VLOOKUP(BA3,Settings!$M$2:$N$33,2,0)</f>
        <v>#VALUE!</v>
      </c>
      <c r="BC3" s="184" t="str">
        <f>+IF((AZ3=""),"",(BD3-Settings!$AA$3))</f>
        <v/>
      </c>
      <c r="BD3" s="111" t="str">
        <f>IF((AZ3=""),"",VLOOKUP(AZ3,QB!$B:$AB,27,0))</f>
        <v/>
      </c>
    </row>
    <row r="4" spans="1:56" ht="12.75" customHeight="1">
      <c r="A4" s="31" t="s">
        <v>204</v>
      </c>
      <c r="B4" s="117" t="str">
        <f>'Draft Board'!C5</f>
        <v/>
      </c>
      <c r="C4" s="111" t="e">
        <f>VLOOKUP(B4,QB!$B:$AB,2,0)</f>
        <v>#VALUE!</v>
      </c>
      <c r="D4" s="111" t="e">
        <f>VLOOKUP(C4,Settings!$M$2:$N$33,2,0)</f>
        <v>#VALUE!</v>
      </c>
      <c r="E4" s="184" t="str">
        <f>+IF((B4=""),"",(F4-Settings!$AA$3))</f>
        <v/>
      </c>
      <c r="F4" s="203" t="str">
        <f>IF((B4=""),"",VLOOKUP(B4,QB!$B:$AB,26,0))</f>
        <v/>
      </c>
      <c r="G4" s="117" t="str">
        <f>'Draft Board'!I5</f>
        <v/>
      </c>
      <c r="H4" s="111" t="e">
        <f>VLOOKUP(G4,QB!$B:$AB,2,0)</f>
        <v>#VALUE!</v>
      </c>
      <c r="I4" s="111" t="e">
        <f>VLOOKUP(H4,Settings!$M$2:$N$33,2,0)</f>
        <v>#VALUE!</v>
      </c>
      <c r="J4" s="184" t="str">
        <f>+IF((G4=""),"",(K4-Settings!$AA$3))</f>
        <v/>
      </c>
      <c r="K4" s="203" t="str">
        <f>IF((G4=""),"",VLOOKUP(G4,QB!$B:$AB,26,0))</f>
        <v/>
      </c>
      <c r="L4" s="117" t="str">
        <f>'Draft Board'!O5</f>
        <v/>
      </c>
      <c r="M4" s="111" t="e">
        <f>VLOOKUP(L4,QB!$B:$AB,2,0)</f>
        <v>#VALUE!</v>
      </c>
      <c r="N4" s="111" t="e">
        <f>VLOOKUP(M4,Settings!$M$2:$N$33,2,0)</f>
        <v>#VALUE!</v>
      </c>
      <c r="O4" s="184" t="str">
        <f>+IF((L4=""),"",(P4-Settings!$AA$3))</f>
        <v/>
      </c>
      <c r="P4" s="203" t="str">
        <f>IF((L4=""),"",VLOOKUP(L4,QB!$B:$AB,26,0))</f>
        <v/>
      </c>
      <c r="Q4" s="117" t="str">
        <f>'Draft Board'!U5</f>
        <v/>
      </c>
      <c r="R4" s="111" t="e">
        <f>VLOOKUP(Q4,QB!$B:$AB,2,0)</f>
        <v>#VALUE!</v>
      </c>
      <c r="S4" s="111" t="e">
        <f>VLOOKUP(R4,Settings!$M$2:$N$33,2,0)</f>
        <v>#VALUE!</v>
      </c>
      <c r="T4" s="184" t="str">
        <f>+IF((Q4=""),"",(U4-Settings!$AA$3))</f>
        <v/>
      </c>
      <c r="U4" s="203" t="str">
        <f>IF((Q4=""),"",VLOOKUP(Q4,QB!$B:$AB,26,0))</f>
        <v/>
      </c>
      <c r="V4" s="117" t="str">
        <f>'Draft Board'!AA5</f>
        <v/>
      </c>
      <c r="W4" s="111" t="e">
        <f>VLOOKUP(V4,QB!$B:$AB,2,0)</f>
        <v>#VALUE!</v>
      </c>
      <c r="X4" s="111" t="e">
        <f>VLOOKUP(W4,Settings!$M$2:$N$33,2,0)</f>
        <v>#VALUE!</v>
      </c>
      <c r="Y4" s="184" t="str">
        <f>+IF((V4=""),"",(Z4-Settings!$AA$3))</f>
        <v/>
      </c>
      <c r="Z4" s="203" t="str">
        <f>IF((V4=""),"",VLOOKUP(V4,QB!$B:$AB,26,0))</f>
        <v/>
      </c>
      <c r="AA4" s="117" t="str">
        <f>'Draft Board'!AG5</f>
        <v/>
      </c>
      <c r="AB4" s="111" t="e">
        <f>VLOOKUP(AA4,QB!$B:$AB,2,0)</f>
        <v>#VALUE!</v>
      </c>
      <c r="AC4" s="111" t="e">
        <f>VLOOKUP(AB4,Settings!$M$2:$N$33,2,0)</f>
        <v>#VALUE!</v>
      </c>
      <c r="AD4" s="184" t="str">
        <f>+IF((AA4=""),"",(AE4-Settings!$AA$3))</f>
        <v/>
      </c>
      <c r="AE4" s="203" t="str">
        <f>IF((AA4=""),"",VLOOKUP(AA4,QB!$B:$AB,26,0))</f>
        <v/>
      </c>
      <c r="AF4" s="117" t="str">
        <f>'Draft Board'!AM5</f>
        <v/>
      </c>
      <c r="AG4" s="111" t="e">
        <f>VLOOKUP(AF4,QB!$B:$AB,2,0)</f>
        <v>#VALUE!</v>
      </c>
      <c r="AH4" s="111" t="e">
        <f>VLOOKUP(AG4,Settings!$M$2:$N$33,2,0)</f>
        <v>#VALUE!</v>
      </c>
      <c r="AI4" s="184" t="str">
        <f>+IF((AF4=""),"",(AJ4-Settings!$AA$3))</f>
        <v/>
      </c>
      <c r="AJ4" s="203" t="str">
        <f>IF((AF4=""),"",VLOOKUP(AF4,QB!$B:$AB,26,0))</f>
        <v/>
      </c>
      <c r="AK4" s="117" t="str">
        <f>'Draft Board'!AS5</f>
        <v/>
      </c>
      <c r="AL4" s="111" t="e">
        <f>VLOOKUP(AK4,QB!$B:$AB,2,0)</f>
        <v>#VALUE!</v>
      </c>
      <c r="AM4" s="111" t="e">
        <f>VLOOKUP(AL4,Settings!$M$2:$N$33,2,0)</f>
        <v>#VALUE!</v>
      </c>
      <c r="AN4" s="184" t="str">
        <f>+IF((AK4=""),"",(AO4-Settings!$AA$3))</f>
        <v/>
      </c>
      <c r="AO4" s="203" t="str">
        <f>IF((AK4=""),"",VLOOKUP(AK4,QB!$B:$AB,26,0))</f>
        <v/>
      </c>
      <c r="AP4" s="117" t="str">
        <f>'Draft Board'!AY5</f>
        <v/>
      </c>
      <c r="AQ4" s="111" t="e">
        <f>VLOOKUP(AP4,QB!$B:$AB,2,0)</f>
        <v>#VALUE!</v>
      </c>
      <c r="AR4" s="111" t="e">
        <f>VLOOKUP(AQ4,Settings!$M$2:$N$33,2,0)</f>
        <v>#VALUE!</v>
      </c>
      <c r="AS4" s="184" t="str">
        <f>+IF((AP4=""),"",(AT4-Settings!$AA$3))</f>
        <v/>
      </c>
      <c r="AT4" s="203" t="str">
        <f>IF((AP4=""),"",VLOOKUP(AP4,QB!$B:$AB,26,0))</f>
        <v/>
      </c>
      <c r="AU4" s="117" t="str">
        <f>'Draft Board'!BE5</f>
        <v/>
      </c>
      <c r="AV4" s="111" t="e">
        <f>VLOOKUP(AU4,QB!$B:$AB,2,0)</f>
        <v>#VALUE!</v>
      </c>
      <c r="AW4" s="111" t="e">
        <f>VLOOKUP(AV4,Settings!$M$2:$N$33,2,0)</f>
        <v>#VALUE!</v>
      </c>
      <c r="AX4" s="184" t="str">
        <f>+IF((AU4=""),"",(AY4-Settings!$AA$3))</f>
        <v/>
      </c>
      <c r="AY4" s="203" t="str">
        <f>IF((AU4=""),"",VLOOKUP(AU4,QB!$B:$AB,26,0))</f>
        <v/>
      </c>
      <c r="AZ4" s="117" t="str">
        <f>'Draft Board'!BK5</f>
        <v/>
      </c>
      <c r="BA4" s="111" t="e">
        <f>VLOOKUP(AZ4,QB!$B:$AB,2,0)</f>
        <v>#VALUE!</v>
      </c>
      <c r="BB4" s="111" t="e">
        <f>VLOOKUP(BA4,Settings!$M$2:$N$33,2,0)</f>
        <v>#VALUE!</v>
      </c>
      <c r="BC4" s="184" t="str">
        <f>+IF((AZ4=""),"",(BD4-Settings!$AA$3))</f>
        <v/>
      </c>
      <c r="BD4" s="111" t="str">
        <f>IF((AZ4=""),"",VLOOKUP(AZ4,QB!$B:$AB,26,0))</f>
        <v/>
      </c>
    </row>
    <row r="5" spans="1:56" ht="12.75" customHeight="1">
      <c r="A5" s="31" t="s">
        <v>205</v>
      </c>
      <c r="B5" s="117" t="str">
        <f>'Draft Board'!C6</f>
        <v/>
      </c>
      <c r="C5" s="111" t="e">
        <f>VLOOKUP(B5,QB!$B:$AB,2,0)</f>
        <v>#VALUE!</v>
      </c>
      <c r="D5" s="111" t="e">
        <f>VLOOKUP(C5,Settings!$M$2:$N$33,2,0)</f>
        <v>#VALUE!</v>
      </c>
      <c r="E5" s="184" t="str">
        <f>+IF((B5=""),"",(F5-Settings!$AA$3))</f>
        <v/>
      </c>
      <c r="F5" s="203" t="str">
        <f>IF((B5=""),"",VLOOKUP(B5,QB!$B:$AB,26,0))</f>
        <v/>
      </c>
      <c r="G5" s="117" t="str">
        <f>'Draft Board'!I6</f>
        <v/>
      </c>
      <c r="H5" s="111" t="e">
        <f>VLOOKUP(G5,QB!$B:$AB,2,0)</f>
        <v>#VALUE!</v>
      </c>
      <c r="I5" s="111" t="e">
        <f>VLOOKUP(H5,Settings!$M$2:$N$33,2,0)</f>
        <v>#VALUE!</v>
      </c>
      <c r="J5" s="184" t="str">
        <f>+IF((G5=""),"",(K5-Settings!$AA$3))</f>
        <v/>
      </c>
      <c r="K5" s="203" t="str">
        <f>IF((G5=""),"",VLOOKUP(G5,QB!$B:$AB,26,0))</f>
        <v/>
      </c>
      <c r="L5" s="117" t="str">
        <f>'Draft Board'!O6</f>
        <v/>
      </c>
      <c r="M5" s="111" t="e">
        <f>VLOOKUP(L5,QB!$B:$AB,2,0)</f>
        <v>#VALUE!</v>
      </c>
      <c r="N5" s="111" t="e">
        <f>VLOOKUP(M5,Settings!$M$2:$N$33,2,0)</f>
        <v>#VALUE!</v>
      </c>
      <c r="O5" s="184" t="str">
        <f>+IF((L5=""),"",(P5-Settings!$AA$3))</f>
        <v/>
      </c>
      <c r="P5" s="203" t="str">
        <f>IF((L5=""),"",VLOOKUP(L5,QB!$B:$AB,26,0))</f>
        <v/>
      </c>
      <c r="Q5" s="117" t="str">
        <f>'Draft Board'!U6</f>
        <v/>
      </c>
      <c r="R5" s="111" t="e">
        <f>VLOOKUP(Q5,QB!$B:$AB,2,0)</f>
        <v>#VALUE!</v>
      </c>
      <c r="S5" s="111" t="e">
        <f>VLOOKUP(R5,Settings!$M$2:$N$33,2,0)</f>
        <v>#VALUE!</v>
      </c>
      <c r="T5" s="184" t="str">
        <f>+IF((Q5=""),"",(U5-Settings!$AA$3))</f>
        <v/>
      </c>
      <c r="U5" s="203" t="str">
        <f>IF((Q5=""),"",VLOOKUP(Q5,QB!$B:$AB,26,0))</f>
        <v/>
      </c>
      <c r="V5" s="117" t="str">
        <f>'Draft Board'!AA6</f>
        <v/>
      </c>
      <c r="W5" s="111" t="e">
        <f>VLOOKUP(V5,QB!$B:$AB,2,0)</f>
        <v>#VALUE!</v>
      </c>
      <c r="X5" s="111" t="e">
        <f>VLOOKUP(W5,Settings!$M$2:$N$33,2,0)</f>
        <v>#VALUE!</v>
      </c>
      <c r="Y5" s="184" t="str">
        <f>+IF((V5=""),"",(Z5-Settings!$AA$3))</f>
        <v/>
      </c>
      <c r="Z5" s="203" t="str">
        <f>IF((V5=""),"",VLOOKUP(V5,QB!$B:$AB,26,0))</f>
        <v/>
      </c>
      <c r="AA5" s="117" t="str">
        <f>'Draft Board'!AG6</f>
        <v/>
      </c>
      <c r="AB5" s="111" t="e">
        <f>VLOOKUP(AA5,QB!$B:$AB,2,0)</f>
        <v>#VALUE!</v>
      </c>
      <c r="AC5" s="111" t="e">
        <f>VLOOKUP(AB5,Settings!$M$2:$N$33,2,0)</f>
        <v>#VALUE!</v>
      </c>
      <c r="AD5" s="184" t="str">
        <f>+IF((AA5=""),"",(AE5-Settings!$AA$3))</f>
        <v/>
      </c>
      <c r="AE5" s="203" t="str">
        <f>IF((AA5=""),"",VLOOKUP(AA5,QB!$B:$AB,26,0))</f>
        <v/>
      </c>
      <c r="AF5" s="117" t="str">
        <f>'Draft Board'!AM6</f>
        <v/>
      </c>
      <c r="AG5" s="111" t="e">
        <f>VLOOKUP(AF5,QB!$B:$AB,2,0)</f>
        <v>#VALUE!</v>
      </c>
      <c r="AH5" s="111" t="e">
        <f>VLOOKUP(AG5,Settings!$M$2:$N$33,2,0)</f>
        <v>#VALUE!</v>
      </c>
      <c r="AI5" s="184" t="str">
        <f>+IF((AF5=""),"",(AJ5-Settings!$AA$3))</f>
        <v/>
      </c>
      <c r="AJ5" s="203" t="str">
        <f>IF((AF5=""),"",VLOOKUP(AF5,QB!$B:$AB,26,0))</f>
        <v/>
      </c>
      <c r="AK5" s="117" t="str">
        <f>'Draft Board'!AS6</f>
        <v/>
      </c>
      <c r="AL5" s="111" t="e">
        <f>VLOOKUP(AK5,QB!$B:$AB,2,0)</f>
        <v>#VALUE!</v>
      </c>
      <c r="AM5" s="111" t="e">
        <f>VLOOKUP(AL5,Settings!$M$2:$N$33,2,0)</f>
        <v>#VALUE!</v>
      </c>
      <c r="AN5" s="184" t="str">
        <f>+IF((AK5=""),"",(AO5-Settings!$AA$3))</f>
        <v/>
      </c>
      <c r="AO5" s="203" t="str">
        <f>IF((AK5=""),"",VLOOKUP(AK5,QB!$B:$AB,26,0))</f>
        <v/>
      </c>
      <c r="AP5" s="117" t="str">
        <f>'Draft Board'!AY6</f>
        <v/>
      </c>
      <c r="AQ5" s="111" t="e">
        <f>VLOOKUP(AP5,QB!$B:$AB,2,0)</f>
        <v>#VALUE!</v>
      </c>
      <c r="AR5" s="111" t="e">
        <f>VLOOKUP(AQ5,Settings!$M$2:$N$33,2,0)</f>
        <v>#VALUE!</v>
      </c>
      <c r="AS5" s="184" t="str">
        <f>+IF((AP5=""),"",(AT5-Settings!$AA$3))</f>
        <v/>
      </c>
      <c r="AT5" s="203" t="str">
        <f>IF((AP5=""),"",VLOOKUP(AP5,QB!$B:$AB,26,0))</f>
        <v/>
      </c>
      <c r="AU5" s="117" t="str">
        <f>'Draft Board'!BE6</f>
        <v/>
      </c>
      <c r="AV5" s="111" t="e">
        <f>VLOOKUP(AU5,QB!$B:$AB,2,0)</f>
        <v>#VALUE!</v>
      </c>
      <c r="AW5" s="111" t="e">
        <f>VLOOKUP(AV5,Settings!$M$2:$N$33,2,0)</f>
        <v>#VALUE!</v>
      </c>
      <c r="AX5" s="184" t="str">
        <f>+IF((AU5=""),"",(AY5-Settings!$AA$3))</f>
        <v/>
      </c>
      <c r="AY5" s="203" t="str">
        <f>IF((AU5=""),"",VLOOKUP(AU5,QB!$B:$AB,26,0))</f>
        <v/>
      </c>
      <c r="AZ5" s="117" t="str">
        <f>'Draft Board'!BK6</f>
        <v/>
      </c>
      <c r="BA5" s="111" t="e">
        <f>VLOOKUP(AZ5,QB!$B:$AB,2,0)</f>
        <v>#VALUE!</v>
      </c>
      <c r="BB5" s="111" t="e">
        <f>VLOOKUP(BA5,Settings!$M$2:$N$33,2,0)</f>
        <v>#VALUE!</v>
      </c>
      <c r="BC5" s="184" t="str">
        <f>+IF((AZ5=""),"",(BD5-Settings!$AA$3))</f>
        <v/>
      </c>
      <c r="BD5" s="111" t="str">
        <f>IF((AZ5=""),"",VLOOKUP(AZ5,QB!$B:$AB,26,0))</f>
        <v/>
      </c>
    </row>
    <row r="6" spans="1:56" ht="12.75" customHeight="1">
      <c r="A6" s="31" t="s">
        <v>206</v>
      </c>
      <c r="B6" s="117" t="str">
        <f>'Draft Board'!C7</f>
        <v/>
      </c>
      <c r="C6" s="111" t="e">
        <f>VLOOKUP(B6,QB!$B:$AB,2,0)</f>
        <v>#VALUE!</v>
      </c>
      <c r="D6" s="111" t="e">
        <f>VLOOKUP(C6,Settings!$M$2:$N$33,2,0)</f>
        <v>#VALUE!</v>
      </c>
      <c r="E6" s="184" t="str">
        <f>+IF((B6=""),"",(F6-Settings!$AA$3))</f>
        <v/>
      </c>
      <c r="F6" s="203" t="str">
        <f>IF((B6=""),"",VLOOKUP(B6,QB!$B:$AB,26,0))</f>
        <v/>
      </c>
      <c r="G6" s="117" t="str">
        <f>'Draft Board'!I7</f>
        <v/>
      </c>
      <c r="H6" s="111" t="e">
        <f>VLOOKUP(G6,QB!$B:$AB,2,0)</f>
        <v>#VALUE!</v>
      </c>
      <c r="I6" s="111" t="e">
        <f>VLOOKUP(H6,Settings!$M$2:$N$33,2,0)</f>
        <v>#VALUE!</v>
      </c>
      <c r="J6" s="184" t="str">
        <f>+IF((G6=""),"",(K6-Settings!$AA$3))</f>
        <v/>
      </c>
      <c r="K6" s="203" t="str">
        <f>IF((G6=""),"",VLOOKUP(G6,QB!$B:$AB,26,0))</f>
        <v/>
      </c>
      <c r="L6" s="117" t="str">
        <f>'Draft Board'!O7</f>
        <v/>
      </c>
      <c r="M6" s="111" t="e">
        <f>VLOOKUP(L6,QB!$B:$AB,2,0)</f>
        <v>#VALUE!</v>
      </c>
      <c r="N6" s="111" t="e">
        <f>VLOOKUP(M6,Settings!$M$2:$N$33,2,0)</f>
        <v>#VALUE!</v>
      </c>
      <c r="O6" s="184" t="str">
        <f>+IF((L6=""),"",(P6-Settings!$AA$3))</f>
        <v/>
      </c>
      <c r="P6" s="203" t="str">
        <f>IF((L6=""),"",VLOOKUP(L6,QB!$B:$AB,26,0))</f>
        <v/>
      </c>
      <c r="Q6" s="117" t="str">
        <f>'Draft Board'!U7</f>
        <v/>
      </c>
      <c r="R6" s="111" t="e">
        <f>VLOOKUP(Q6,QB!$B:$AB,2,0)</f>
        <v>#VALUE!</v>
      </c>
      <c r="S6" s="111" t="e">
        <f>VLOOKUP(R6,Settings!$M$2:$N$33,2,0)</f>
        <v>#VALUE!</v>
      </c>
      <c r="T6" s="184" t="str">
        <f>+IF((Q6=""),"",(U6-Settings!$AA$3))</f>
        <v/>
      </c>
      <c r="U6" s="203" t="str">
        <f>IF((Q6=""),"",VLOOKUP(Q6,QB!$B:$AB,26,0))</f>
        <v/>
      </c>
      <c r="V6" s="117" t="str">
        <f>'Draft Board'!AA7</f>
        <v/>
      </c>
      <c r="W6" s="111" t="e">
        <f>VLOOKUP(V6,QB!$B:$AB,2,0)</f>
        <v>#VALUE!</v>
      </c>
      <c r="X6" s="111" t="e">
        <f>VLOOKUP(W6,Settings!$M$2:$N$33,2,0)</f>
        <v>#VALUE!</v>
      </c>
      <c r="Y6" s="184" t="str">
        <f>+IF((V6=""),"",(Z6-Settings!$AA$3))</f>
        <v/>
      </c>
      <c r="Z6" s="203" t="str">
        <f>IF((V6=""),"",VLOOKUP(V6,QB!$B:$AB,26,0))</f>
        <v/>
      </c>
      <c r="AA6" s="117" t="str">
        <f>'Draft Board'!AG7</f>
        <v/>
      </c>
      <c r="AB6" s="111" t="e">
        <f>VLOOKUP(AA6,QB!$B:$AB,2,0)</f>
        <v>#VALUE!</v>
      </c>
      <c r="AC6" s="111" t="e">
        <f>VLOOKUP(AB6,Settings!$M$2:$N$33,2,0)</f>
        <v>#VALUE!</v>
      </c>
      <c r="AD6" s="184" t="str">
        <f>+IF((AA6=""),"",(AE6-Settings!$AA$3))</f>
        <v/>
      </c>
      <c r="AE6" s="203" t="str">
        <f>IF((AA6=""),"",VLOOKUP(AA6,QB!$B:$AB,26,0))</f>
        <v/>
      </c>
      <c r="AF6" s="117" t="str">
        <f>'Draft Board'!AM7</f>
        <v/>
      </c>
      <c r="AG6" s="111" t="e">
        <f>VLOOKUP(AF6,QB!$B:$AB,2,0)</f>
        <v>#VALUE!</v>
      </c>
      <c r="AH6" s="111" t="e">
        <f>VLOOKUP(AG6,Settings!$M$2:$N$33,2,0)</f>
        <v>#VALUE!</v>
      </c>
      <c r="AI6" s="184" t="str">
        <f>+IF((AF6=""),"",(AJ6-Settings!$AA$3))</f>
        <v/>
      </c>
      <c r="AJ6" s="203" t="str">
        <f>IF((AF6=""),"",VLOOKUP(AF6,QB!$B:$AB,26,0))</f>
        <v/>
      </c>
      <c r="AK6" s="117" t="str">
        <f>'Draft Board'!AS7</f>
        <v/>
      </c>
      <c r="AL6" s="111" t="e">
        <f>VLOOKUP(AK6,QB!$B:$AB,2,0)</f>
        <v>#VALUE!</v>
      </c>
      <c r="AM6" s="111" t="e">
        <f>VLOOKUP(AL6,Settings!$M$2:$N$33,2,0)</f>
        <v>#VALUE!</v>
      </c>
      <c r="AN6" s="184" t="str">
        <f>+IF((AK6=""),"",(AO6-Settings!$AA$3))</f>
        <v/>
      </c>
      <c r="AO6" s="203" t="str">
        <f>IF((AK6=""),"",VLOOKUP(AK6,QB!$B:$AB,26,0))</f>
        <v/>
      </c>
      <c r="AP6" s="117" t="str">
        <f>'Draft Board'!AY7</f>
        <v/>
      </c>
      <c r="AQ6" s="111" t="e">
        <f>VLOOKUP(AP6,QB!$B:$AB,2,0)</f>
        <v>#VALUE!</v>
      </c>
      <c r="AR6" s="111" t="e">
        <f>VLOOKUP(AQ6,Settings!$M$2:$N$33,2,0)</f>
        <v>#VALUE!</v>
      </c>
      <c r="AS6" s="184" t="str">
        <f>+IF((AP6=""),"",(AT6-Settings!$AA$3))</f>
        <v/>
      </c>
      <c r="AT6" s="203" t="str">
        <f>IF((AP6=""),"",VLOOKUP(AP6,QB!$B:$AB,26,0))</f>
        <v/>
      </c>
      <c r="AU6" s="117" t="str">
        <f>'Draft Board'!BE7</f>
        <v/>
      </c>
      <c r="AV6" s="111" t="e">
        <f>VLOOKUP(AU6,QB!$B:$AB,2,0)</f>
        <v>#VALUE!</v>
      </c>
      <c r="AW6" s="111" t="e">
        <f>VLOOKUP(AV6,Settings!$M$2:$N$33,2,0)</f>
        <v>#VALUE!</v>
      </c>
      <c r="AX6" s="184" t="str">
        <f>+IF((AU6=""),"",(AY6-Settings!$AA$3))</f>
        <v/>
      </c>
      <c r="AY6" s="203" t="str">
        <f>IF((AU6=""),"",VLOOKUP(AU6,QB!$B:$AB,26,0))</f>
        <v/>
      </c>
      <c r="AZ6" s="117" t="str">
        <f>'Draft Board'!BK7</f>
        <v/>
      </c>
      <c r="BA6" s="111" t="e">
        <f>VLOOKUP(AZ6,QB!$B:$AB,2,0)</f>
        <v>#VALUE!</v>
      </c>
      <c r="BB6" s="111" t="e">
        <f>VLOOKUP(BA6,Settings!$M$2:$N$33,2,0)</f>
        <v>#VALUE!</v>
      </c>
      <c r="BC6" s="184" t="str">
        <f>+IF((AZ6=""),"",(BD6-Settings!$AA$3))</f>
        <v/>
      </c>
      <c r="BD6" s="111" t="str">
        <f>IF((AZ6=""),"",VLOOKUP(AZ6,QB!$B:$AB,26,0))</f>
        <v/>
      </c>
    </row>
    <row r="7" spans="1:56" ht="12.75" customHeight="1">
      <c r="A7" s="31" t="s">
        <v>207</v>
      </c>
      <c r="B7" s="117" t="str">
        <f>'Draft Board'!C9</f>
        <v/>
      </c>
      <c r="C7" s="111" t="e">
        <f>VLOOKUP(B7,RB!$B:$Y,2,0)</f>
        <v>#VALUE!</v>
      </c>
      <c r="D7" s="111" t="e">
        <f>VLOOKUP(C7,Settings!$M$2:$N$33,2,0)</f>
        <v>#VALUE!</v>
      </c>
      <c r="E7" s="184" t="str">
        <f>+IF((B7=""),"",(F7-Settings!$AA$4))</f>
        <v/>
      </c>
      <c r="F7" s="203" t="str">
        <f>IF((B7=""),"",VLOOKUP(B7,RB!$B:$Y,24,0))</f>
        <v/>
      </c>
      <c r="G7" s="117" t="str">
        <f>'Draft Board'!I9</f>
        <v/>
      </c>
      <c r="H7" s="111" t="e">
        <f>VLOOKUP(G7,RB!$B:$Y,2,0)</f>
        <v>#VALUE!</v>
      </c>
      <c r="I7" s="111" t="e">
        <f>VLOOKUP(H7,Settings!$M$2:$N$33,2,0)</f>
        <v>#VALUE!</v>
      </c>
      <c r="J7" s="184" t="str">
        <f>+IF((G7=""),"",(K7-Settings!$AA$4))</f>
        <v/>
      </c>
      <c r="K7" s="203" t="str">
        <f>IF((G7=""),"",VLOOKUP(G7,RB!$B:$Y,24,0))</f>
        <v/>
      </c>
      <c r="L7" s="117" t="str">
        <f>'Draft Board'!O9</f>
        <v/>
      </c>
      <c r="M7" s="111" t="e">
        <f>VLOOKUP(L7,RB!$B:$Y,2,0)</f>
        <v>#VALUE!</v>
      </c>
      <c r="N7" s="111" t="e">
        <f>VLOOKUP(M7,Settings!$M$2:$N$33,2,0)</f>
        <v>#VALUE!</v>
      </c>
      <c r="O7" s="184" t="str">
        <f>+IF((L7=""),"",(P7-Settings!$AA$4))</f>
        <v/>
      </c>
      <c r="P7" s="203" t="str">
        <f>IF((L7=""),"",VLOOKUP(L7,RB!$B:$Y,24,0))</f>
        <v/>
      </c>
      <c r="Q7" s="117" t="str">
        <f>'Draft Board'!U9</f>
        <v/>
      </c>
      <c r="R7" s="111" t="e">
        <f>VLOOKUP(Q7,RB!$B:$Y,2,0)</f>
        <v>#VALUE!</v>
      </c>
      <c r="S7" s="111" t="e">
        <f>VLOOKUP(R7,Settings!$M$2:$N$33,2,0)</f>
        <v>#VALUE!</v>
      </c>
      <c r="T7" s="184" t="str">
        <f>+IF((Q7=""),"",(U7-Settings!$AA$4))</f>
        <v/>
      </c>
      <c r="U7" s="203" t="str">
        <f>IF((Q7=""),"",VLOOKUP(Q7,RB!$B:$Y,24,0))</f>
        <v/>
      </c>
      <c r="V7" s="117" t="str">
        <f>'Draft Board'!AA9</f>
        <v/>
      </c>
      <c r="W7" s="111" t="e">
        <f>VLOOKUP(V7,RB!$B:$Y,2,0)</f>
        <v>#VALUE!</v>
      </c>
      <c r="X7" s="111" t="e">
        <f>VLOOKUP(W7,Settings!$M$2:$N$33,2,0)</f>
        <v>#VALUE!</v>
      </c>
      <c r="Y7" s="184" t="str">
        <f>+IF((V7=""),"",(Z7-Settings!$AA$4))</f>
        <v/>
      </c>
      <c r="Z7" s="203" t="str">
        <f>IF((V7=""),"",VLOOKUP(V7,RB!$B:$Y,24,0))</f>
        <v/>
      </c>
      <c r="AA7" s="117" t="str">
        <f>'Draft Board'!AG9</f>
        <v/>
      </c>
      <c r="AB7" s="111" t="e">
        <f>VLOOKUP(AA7,RB!$B:$Y,2,0)</f>
        <v>#VALUE!</v>
      </c>
      <c r="AC7" s="111" t="e">
        <f>VLOOKUP(AB7,Settings!$M$2:$N$33,2,0)</f>
        <v>#VALUE!</v>
      </c>
      <c r="AD7" s="184" t="str">
        <f>+IF((AA7=""),"",(AE7-Settings!$AA$4))</f>
        <v/>
      </c>
      <c r="AE7" s="203" t="str">
        <f>IF((AA7=""),"",VLOOKUP(AA7,RB!$B:$Y,24,0))</f>
        <v/>
      </c>
      <c r="AF7" s="117" t="str">
        <f>'Draft Board'!AM9</f>
        <v/>
      </c>
      <c r="AG7" s="111" t="e">
        <f>VLOOKUP(AF7,RB!$B:$Y,2,0)</f>
        <v>#VALUE!</v>
      </c>
      <c r="AH7" s="111" t="e">
        <f>VLOOKUP(AG7,Settings!$M$2:$N$33,2,0)</f>
        <v>#VALUE!</v>
      </c>
      <c r="AI7" s="184" t="str">
        <f>+IF((AF7=""),"",(AJ7-Settings!$AA$4))</f>
        <v/>
      </c>
      <c r="AJ7" s="203" t="str">
        <f>IF((AF7=""),"",VLOOKUP(AF7,RB!$B:$Y,24,0))</f>
        <v/>
      </c>
      <c r="AK7" s="117" t="str">
        <f>'Draft Board'!AS9</f>
        <v/>
      </c>
      <c r="AL7" s="111" t="e">
        <f>VLOOKUP(AK7,RB!$B:$Y,2,0)</f>
        <v>#VALUE!</v>
      </c>
      <c r="AM7" s="111" t="e">
        <f>VLOOKUP(AL7,Settings!$M$2:$N$33,2,0)</f>
        <v>#VALUE!</v>
      </c>
      <c r="AN7" s="184" t="str">
        <f>+IF((AK7=""),"",(AO7-Settings!$AA$4))</f>
        <v/>
      </c>
      <c r="AO7" s="203" t="str">
        <f>IF((AK7=""),"",VLOOKUP(AK7,RB!$B:$Y,24,0))</f>
        <v/>
      </c>
      <c r="AP7" s="117" t="str">
        <f>'Draft Board'!AY9</f>
        <v/>
      </c>
      <c r="AQ7" s="111" t="e">
        <f>VLOOKUP(AP7,RB!$B:$Y,2,0)</f>
        <v>#VALUE!</v>
      </c>
      <c r="AR7" s="111" t="e">
        <f>VLOOKUP(AQ7,Settings!$M$2:$N$33,2,0)</f>
        <v>#VALUE!</v>
      </c>
      <c r="AS7" s="184" t="str">
        <f>+IF((AP7=""),"",(AT7-Settings!$AA$4))</f>
        <v/>
      </c>
      <c r="AT7" s="203" t="str">
        <f>IF((AP7=""),"",VLOOKUP(AP7,RB!$B:$Y,24,0))</f>
        <v/>
      </c>
      <c r="AU7" s="117" t="str">
        <f>'Draft Board'!BE9</f>
        <v/>
      </c>
      <c r="AV7" s="111" t="e">
        <f>VLOOKUP(AU7,RB!$B:$Y,2,0)</f>
        <v>#VALUE!</v>
      </c>
      <c r="AW7" s="111" t="e">
        <f>VLOOKUP(AV7,Settings!$M$2:$N$33,2,0)</f>
        <v>#VALUE!</v>
      </c>
      <c r="AX7" s="184" t="str">
        <f>+IF((AU7=""),"",(AY7-Settings!$AA$4))</f>
        <v/>
      </c>
      <c r="AY7" s="203" t="str">
        <f>IF((AU7=""),"",VLOOKUP(AU7,RB!$B:$Y,24,0))</f>
        <v/>
      </c>
      <c r="AZ7" s="117" t="str">
        <f>'Draft Board'!BK9</f>
        <v/>
      </c>
      <c r="BA7" s="111" t="e">
        <f>VLOOKUP(AZ7,RB!$B:$Y,2,0)</f>
        <v>#VALUE!</v>
      </c>
      <c r="BB7" s="111" t="e">
        <f>VLOOKUP(BA7,Settings!$M$2:$N$33,2,0)</f>
        <v>#VALUE!</v>
      </c>
      <c r="BC7" s="184" t="str">
        <f>+IF((AZ7=""),"",(BD7-Settings!$AA$4))</f>
        <v/>
      </c>
      <c r="BD7" s="203" t="str">
        <f>IF((AZ7=""),"",VLOOKUP(AZ7,RB!$B:$Y,24,0))</f>
        <v/>
      </c>
    </row>
    <row r="8" spans="1:56" ht="12.75" customHeight="1">
      <c r="A8" s="31" t="s">
        <v>208</v>
      </c>
      <c r="B8" s="117" t="str">
        <f>'Draft Board'!C10</f>
        <v/>
      </c>
      <c r="C8" s="111" t="e">
        <f>VLOOKUP(B8,RB!$B:$Y,2,0)</f>
        <v>#VALUE!</v>
      </c>
      <c r="D8" s="111" t="e">
        <f>VLOOKUP(C8,Settings!$M$2:$N$33,2,0)</f>
        <v>#VALUE!</v>
      </c>
      <c r="E8" s="184" t="str">
        <f>+IF((B8=""),"",(F8-Settings!$AA$4))</f>
        <v/>
      </c>
      <c r="F8" s="203" t="str">
        <f>IF((B8=""),"",VLOOKUP(B8,RB!$B:$Y,24,0))</f>
        <v/>
      </c>
      <c r="G8" s="117" t="str">
        <f>'Draft Board'!I10</f>
        <v/>
      </c>
      <c r="H8" s="111" t="e">
        <f>VLOOKUP(G8,RB!$B:$Y,2,0)</f>
        <v>#VALUE!</v>
      </c>
      <c r="I8" s="111" t="e">
        <f>VLOOKUP(H8,Settings!$M$2:$N$33,2,0)</f>
        <v>#VALUE!</v>
      </c>
      <c r="J8" s="184" t="str">
        <f>+IF((G8=""),"",(K8-Settings!$AA$4))</f>
        <v/>
      </c>
      <c r="K8" s="203" t="str">
        <f>IF((G8=""),"",VLOOKUP(G8,RB!$B:$Y,24,0))</f>
        <v/>
      </c>
      <c r="L8" s="117" t="str">
        <f>'Draft Board'!O10</f>
        <v/>
      </c>
      <c r="M8" s="111" t="e">
        <f>VLOOKUP(L8,RB!$B:$Y,2,0)</f>
        <v>#VALUE!</v>
      </c>
      <c r="N8" s="111" t="e">
        <f>VLOOKUP(M8,Settings!$M$2:$N$33,2,0)</f>
        <v>#VALUE!</v>
      </c>
      <c r="O8" s="184" t="str">
        <f>+IF((L8=""),"",(P8-Settings!$AA$4))</f>
        <v/>
      </c>
      <c r="P8" s="203" t="str">
        <f>IF((L8=""),"",VLOOKUP(L8,RB!$B:$Y,24,0))</f>
        <v/>
      </c>
      <c r="Q8" s="117" t="str">
        <f>'Draft Board'!U10</f>
        <v/>
      </c>
      <c r="R8" s="111" t="e">
        <f>VLOOKUP(Q8,RB!$B:$Y,2,0)</f>
        <v>#VALUE!</v>
      </c>
      <c r="S8" s="111" t="e">
        <f>VLOOKUP(R8,Settings!$M$2:$N$33,2,0)</f>
        <v>#VALUE!</v>
      </c>
      <c r="T8" s="184" t="str">
        <f>+IF((Q8=""),"",(U8-Settings!$AA$4))</f>
        <v/>
      </c>
      <c r="U8" s="203" t="str">
        <f>IF((Q8=""),"",VLOOKUP(Q8,RB!$B:$Y,24,0))</f>
        <v/>
      </c>
      <c r="V8" s="117" t="str">
        <f>'Draft Board'!AA10</f>
        <v/>
      </c>
      <c r="W8" s="111" t="e">
        <f>VLOOKUP(V8,RB!$B:$Y,2,0)</f>
        <v>#VALUE!</v>
      </c>
      <c r="X8" s="111" t="e">
        <f>VLOOKUP(W8,Settings!$M$2:$N$33,2,0)</f>
        <v>#VALUE!</v>
      </c>
      <c r="Y8" s="184" t="str">
        <f>+IF((V8=""),"",(Z8-Settings!$AA$4))</f>
        <v/>
      </c>
      <c r="Z8" s="203" t="str">
        <f>IF((V8=""),"",VLOOKUP(V8,RB!$B:$Y,24,0))</f>
        <v/>
      </c>
      <c r="AA8" s="117" t="str">
        <f>'Draft Board'!AG10</f>
        <v/>
      </c>
      <c r="AB8" s="111" t="e">
        <f>VLOOKUP(AA8,RB!$B:$Y,2,0)</f>
        <v>#VALUE!</v>
      </c>
      <c r="AC8" s="111" t="e">
        <f>VLOOKUP(AB8,Settings!$M$2:$N$33,2,0)</f>
        <v>#VALUE!</v>
      </c>
      <c r="AD8" s="184" t="str">
        <f>+IF((AA8=""),"",(AE8-Settings!$AA$4))</f>
        <v/>
      </c>
      <c r="AE8" s="203" t="str">
        <f>IF((AA8=""),"",VLOOKUP(AA8,RB!$B:$Y,24,0))</f>
        <v/>
      </c>
      <c r="AF8" s="117" t="str">
        <f>'Draft Board'!AM10</f>
        <v/>
      </c>
      <c r="AG8" s="111" t="e">
        <f>VLOOKUP(AF8,RB!$B:$Y,2,0)</f>
        <v>#VALUE!</v>
      </c>
      <c r="AH8" s="111" t="e">
        <f>VLOOKUP(AG8,Settings!$M$2:$N$33,2,0)</f>
        <v>#VALUE!</v>
      </c>
      <c r="AI8" s="184" t="str">
        <f>+IF((AF8=""),"",(AJ8-Settings!$AA$4))</f>
        <v/>
      </c>
      <c r="AJ8" s="203" t="str">
        <f>IF((AF8=""),"",VLOOKUP(AF8,RB!$B:$Y,24,0))</f>
        <v/>
      </c>
      <c r="AK8" s="117" t="str">
        <f>'Draft Board'!AS10</f>
        <v/>
      </c>
      <c r="AL8" s="111" t="e">
        <f>VLOOKUP(AK8,RB!$B:$Y,2,0)</f>
        <v>#VALUE!</v>
      </c>
      <c r="AM8" s="111" t="e">
        <f>VLOOKUP(AL8,Settings!$M$2:$N$33,2,0)</f>
        <v>#VALUE!</v>
      </c>
      <c r="AN8" s="184" t="str">
        <f>+IF((AK8=""),"",(AO8-Settings!$AA$4))</f>
        <v/>
      </c>
      <c r="AO8" s="203" t="str">
        <f>IF((AK8=""),"",VLOOKUP(AK8,RB!$B:$Y,24,0))</f>
        <v/>
      </c>
      <c r="AP8" s="117" t="str">
        <f>'Draft Board'!AY10</f>
        <v/>
      </c>
      <c r="AQ8" s="111" t="e">
        <f>VLOOKUP(AP8,RB!$B:$Y,2,0)</f>
        <v>#VALUE!</v>
      </c>
      <c r="AR8" s="111" t="e">
        <f>VLOOKUP(AQ8,Settings!$M$2:$N$33,2,0)</f>
        <v>#VALUE!</v>
      </c>
      <c r="AS8" s="184" t="str">
        <f>+IF((AP8=""),"",(AT8-Settings!$AA$4))</f>
        <v/>
      </c>
      <c r="AT8" s="203" t="str">
        <f>IF((AP8=""),"",VLOOKUP(AP8,RB!$B:$Y,24,0))</f>
        <v/>
      </c>
      <c r="AU8" s="117" t="str">
        <f>'Draft Board'!BE10</f>
        <v/>
      </c>
      <c r="AV8" s="111" t="e">
        <f>VLOOKUP(AU8,RB!$B:$Y,2,0)</f>
        <v>#VALUE!</v>
      </c>
      <c r="AW8" s="111" t="e">
        <f>VLOOKUP(AV8,Settings!$M$2:$N$33,2,0)</f>
        <v>#VALUE!</v>
      </c>
      <c r="AX8" s="184" t="str">
        <f>+IF((AU8=""),"",(AY8-Settings!$AA$4))</f>
        <v/>
      </c>
      <c r="AY8" s="203" t="str">
        <f>IF((AU8=""),"",VLOOKUP(AU8,RB!$B:$Y,24,0))</f>
        <v/>
      </c>
      <c r="AZ8" s="117" t="str">
        <f>'Draft Board'!BK10</f>
        <v/>
      </c>
      <c r="BA8" s="111" t="e">
        <f>VLOOKUP(AZ8,RB!$B:$Y,2,0)</f>
        <v>#VALUE!</v>
      </c>
      <c r="BB8" s="111" t="e">
        <f>VLOOKUP(BA8,Settings!$M$2:$N$33,2,0)</f>
        <v>#VALUE!</v>
      </c>
      <c r="BC8" s="184" t="str">
        <f>+IF((AZ8=""),"",(BD8-Settings!$AA$4))</f>
        <v/>
      </c>
      <c r="BD8" s="203" t="str">
        <f>IF((AZ8=""),"",VLOOKUP(AZ8,RB!$B:$Y,24,0))</f>
        <v/>
      </c>
    </row>
    <row r="9" spans="1:56" ht="12.75" customHeight="1">
      <c r="A9" s="31" t="s">
        <v>209</v>
      </c>
      <c r="B9" s="117" t="str">
        <f>'Draft Board'!C11</f>
        <v/>
      </c>
      <c r="C9" s="111" t="e">
        <f>VLOOKUP(B9,RB!$B:$Y,2,0)</f>
        <v>#VALUE!</v>
      </c>
      <c r="D9" s="111" t="e">
        <f>VLOOKUP(C9,Settings!$M$2:$N$33,2,0)</f>
        <v>#VALUE!</v>
      </c>
      <c r="E9" s="184" t="str">
        <f>+IF((B9=""),"",(F9-Settings!$AA$4))</f>
        <v/>
      </c>
      <c r="F9" s="203" t="str">
        <f>IF((B9=""),"",VLOOKUP(B9,RB!$B:$Y,24,0))</f>
        <v/>
      </c>
      <c r="G9" s="117" t="str">
        <f>'Draft Board'!I11</f>
        <v/>
      </c>
      <c r="H9" s="111" t="e">
        <f>VLOOKUP(G9,RB!$B:$Y,2,0)</f>
        <v>#VALUE!</v>
      </c>
      <c r="I9" s="111" t="e">
        <f>VLOOKUP(H9,Settings!$M$2:$N$33,2,0)</f>
        <v>#VALUE!</v>
      </c>
      <c r="J9" s="184" t="str">
        <f>+IF((G9=""),"",(K9-Settings!$AA$4))</f>
        <v/>
      </c>
      <c r="K9" s="203" t="str">
        <f>IF((G9=""),"",VLOOKUP(G9,RB!$B:$Y,24,0))</f>
        <v/>
      </c>
      <c r="L9" s="117" t="str">
        <f>'Draft Board'!O11</f>
        <v/>
      </c>
      <c r="M9" s="111" t="e">
        <f>VLOOKUP(L9,RB!$B:$Y,2,0)</f>
        <v>#VALUE!</v>
      </c>
      <c r="N9" s="111" t="e">
        <f>VLOOKUP(M9,Settings!$M$2:$N$33,2,0)</f>
        <v>#VALUE!</v>
      </c>
      <c r="O9" s="184" t="str">
        <f>+IF((L9=""),"",(P9-Settings!$AA$4))</f>
        <v/>
      </c>
      <c r="P9" s="203" t="str">
        <f>IF((L9=""),"",VLOOKUP(L9,RB!$B:$Y,24,0))</f>
        <v/>
      </c>
      <c r="Q9" s="117" t="str">
        <f>'Draft Board'!U11</f>
        <v/>
      </c>
      <c r="R9" s="111" t="e">
        <f>VLOOKUP(Q9,RB!$B:$Y,2,0)</f>
        <v>#VALUE!</v>
      </c>
      <c r="S9" s="111" t="e">
        <f>VLOOKUP(R9,Settings!$M$2:$N$33,2,0)</f>
        <v>#VALUE!</v>
      </c>
      <c r="T9" s="184" t="str">
        <f>+IF((Q9=""),"",(U9-Settings!$AA$4))</f>
        <v/>
      </c>
      <c r="U9" s="203" t="str">
        <f>IF((Q9=""),"",VLOOKUP(Q9,RB!$B:$Y,24,0))</f>
        <v/>
      </c>
      <c r="V9" s="117" t="str">
        <f>'Draft Board'!AA11</f>
        <v/>
      </c>
      <c r="W9" s="111" t="e">
        <f>VLOOKUP(V9,RB!$B:$Y,2,0)</f>
        <v>#VALUE!</v>
      </c>
      <c r="X9" s="111" t="e">
        <f>VLOOKUP(W9,Settings!$M$2:$N$33,2,0)</f>
        <v>#VALUE!</v>
      </c>
      <c r="Y9" s="184" t="str">
        <f>+IF((V9=""),"",(Z9-Settings!$AA$4))</f>
        <v/>
      </c>
      <c r="Z9" s="203" t="str">
        <f>IF((V9=""),"",VLOOKUP(V9,RB!$B:$Y,24,0))</f>
        <v/>
      </c>
      <c r="AA9" s="117" t="str">
        <f>'Draft Board'!AG11</f>
        <v/>
      </c>
      <c r="AB9" s="111" t="e">
        <f>VLOOKUP(AA9,RB!$B:$Y,2,0)</f>
        <v>#VALUE!</v>
      </c>
      <c r="AC9" s="111" t="e">
        <f>VLOOKUP(AB9,Settings!$M$2:$N$33,2,0)</f>
        <v>#VALUE!</v>
      </c>
      <c r="AD9" s="184" t="str">
        <f>+IF((AA9=""),"",(AE9-Settings!$AA$4))</f>
        <v/>
      </c>
      <c r="AE9" s="203" t="str">
        <f>IF((AA9=""),"",VLOOKUP(AA9,RB!$B:$Y,24,0))</f>
        <v/>
      </c>
      <c r="AF9" s="117" t="str">
        <f>'Draft Board'!AM11</f>
        <v/>
      </c>
      <c r="AG9" s="111" t="e">
        <f>VLOOKUP(AF9,RB!$B:$Y,2,0)</f>
        <v>#VALUE!</v>
      </c>
      <c r="AH9" s="111" t="e">
        <f>VLOOKUP(AG9,Settings!$M$2:$N$33,2,0)</f>
        <v>#VALUE!</v>
      </c>
      <c r="AI9" s="184" t="str">
        <f>+IF((AF9=""),"",(AJ9-Settings!$AA$4))</f>
        <v/>
      </c>
      <c r="AJ9" s="203" t="str">
        <f>IF((AF9=""),"",VLOOKUP(AF9,RB!$B:$Y,24,0))</f>
        <v/>
      </c>
      <c r="AK9" s="117" t="str">
        <f>'Draft Board'!AS11</f>
        <v/>
      </c>
      <c r="AL9" s="111" t="e">
        <f>VLOOKUP(AK9,RB!$B:$Y,2,0)</f>
        <v>#VALUE!</v>
      </c>
      <c r="AM9" s="111" t="e">
        <f>VLOOKUP(AL9,Settings!$M$2:$N$33,2,0)</f>
        <v>#VALUE!</v>
      </c>
      <c r="AN9" s="184" t="str">
        <f>+IF((AK9=""),"",(AO9-Settings!$AA$4))</f>
        <v/>
      </c>
      <c r="AO9" s="203" t="str">
        <f>IF((AK9=""),"",VLOOKUP(AK9,RB!$B:$Y,24,0))</f>
        <v/>
      </c>
      <c r="AP9" s="117" t="str">
        <f>'Draft Board'!AY11</f>
        <v/>
      </c>
      <c r="AQ9" s="111" t="e">
        <f>VLOOKUP(AP9,RB!$B:$Y,2,0)</f>
        <v>#VALUE!</v>
      </c>
      <c r="AR9" s="111" t="e">
        <f>VLOOKUP(AQ9,Settings!$M$2:$N$33,2,0)</f>
        <v>#VALUE!</v>
      </c>
      <c r="AS9" s="184" t="str">
        <f>+IF((AP9=""),"",(AT9-Settings!$AA$4))</f>
        <v/>
      </c>
      <c r="AT9" s="203" t="str">
        <f>IF((AP9=""),"",VLOOKUP(AP9,RB!$B:$Y,24,0))</f>
        <v/>
      </c>
      <c r="AU9" s="117" t="str">
        <f>'Draft Board'!BE11</f>
        <v/>
      </c>
      <c r="AV9" s="111" t="e">
        <f>VLOOKUP(AU9,RB!$B:$Y,2,0)</f>
        <v>#VALUE!</v>
      </c>
      <c r="AW9" s="111" t="e">
        <f>VLOOKUP(AV9,Settings!$M$2:$N$33,2,0)</f>
        <v>#VALUE!</v>
      </c>
      <c r="AX9" s="184" t="str">
        <f>+IF((AU9=""),"",(AY9-Settings!$AA$4))</f>
        <v/>
      </c>
      <c r="AY9" s="203" t="str">
        <f>IF((AU9=""),"",VLOOKUP(AU9,RB!$B:$Y,24,0))</f>
        <v/>
      </c>
      <c r="AZ9" s="117" t="str">
        <f>'Draft Board'!BK11</f>
        <v/>
      </c>
      <c r="BA9" s="111" t="e">
        <f>VLOOKUP(AZ9,RB!$B:$Y,2,0)</f>
        <v>#VALUE!</v>
      </c>
      <c r="BB9" s="111" t="e">
        <f>VLOOKUP(BA9,Settings!$M$2:$N$33,2,0)</f>
        <v>#VALUE!</v>
      </c>
      <c r="BC9" s="184" t="str">
        <f>+IF((AZ9=""),"",(BD9-Settings!$AA$4))</f>
        <v/>
      </c>
      <c r="BD9" s="203" t="str">
        <f>IF((AZ9=""),"",VLOOKUP(AZ9,RB!$B:$Y,24,0))</f>
        <v/>
      </c>
    </row>
    <row r="10" spans="1:56" ht="12.75" customHeight="1">
      <c r="A10" s="31" t="s">
        <v>210</v>
      </c>
      <c r="B10" s="117" t="str">
        <f>'Draft Board'!C12</f>
        <v/>
      </c>
      <c r="C10" s="111" t="e">
        <f>VLOOKUP(B10,RB!$B:$Y,2,0)</f>
        <v>#VALUE!</v>
      </c>
      <c r="D10" s="111" t="e">
        <f>VLOOKUP(C10,Settings!$M$2:$N$33,2,0)</f>
        <v>#VALUE!</v>
      </c>
      <c r="E10" s="184" t="str">
        <f>+IF((B10=""),"",(F10-Settings!$AA$4))</f>
        <v/>
      </c>
      <c r="F10" s="203" t="str">
        <f>IF((B10=""),"",VLOOKUP(B10,RB!$B:$Y,24,0))</f>
        <v/>
      </c>
      <c r="G10" s="117" t="str">
        <f>'Draft Board'!I12</f>
        <v/>
      </c>
      <c r="H10" s="111" t="e">
        <f>VLOOKUP(G10,RB!$B:$Y,2,0)</f>
        <v>#VALUE!</v>
      </c>
      <c r="I10" s="111" t="e">
        <f>VLOOKUP(H10,Settings!$M$2:$N$33,2,0)</f>
        <v>#VALUE!</v>
      </c>
      <c r="J10" s="184" t="str">
        <f>+IF((G10=""),"",(K10-Settings!$AA$4))</f>
        <v/>
      </c>
      <c r="K10" s="203" t="str">
        <f>IF((G10=""),"",VLOOKUP(G10,RB!$B:$Y,24,0))</f>
        <v/>
      </c>
      <c r="L10" s="117" t="str">
        <f>'Draft Board'!O12</f>
        <v/>
      </c>
      <c r="M10" s="111" t="e">
        <f>VLOOKUP(L10,RB!$B:$Y,2,0)</f>
        <v>#VALUE!</v>
      </c>
      <c r="N10" s="111" t="e">
        <f>VLOOKUP(M10,Settings!$M$2:$N$33,2,0)</f>
        <v>#VALUE!</v>
      </c>
      <c r="O10" s="184" t="str">
        <f>+IF((L10=""),"",(P10-Settings!$AA$4))</f>
        <v/>
      </c>
      <c r="P10" s="203" t="str">
        <f>IF((L10=""),"",VLOOKUP(L10,RB!$B:$Y,24,0))</f>
        <v/>
      </c>
      <c r="Q10" s="117" t="str">
        <f>'Draft Board'!U12</f>
        <v/>
      </c>
      <c r="R10" s="111" t="e">
        <f>VLOOKUP(Q10,RB!$B:$Y,2,0)</f>
        <v>#VALUE!</v>
      </c>
      <c r="S10" s="111" t="e">
        <f>VLOOKUP(R10,Settings!$M$2:$N$33,2,0)</f>
        <v>#VALUE!</v>
      </c>
      <c r="T10" s="184" t="str">
        <f>+IF((Q10=""),"",(U10-Settings!$AA$4))</f>
        <v/>
      </c>
      <c r="U10" s="203" t="str">
        <f>IF((Q10=""),"",VLOOKUP(Q10,RB!$B:$Y,24,0))</f>
        <v/>
      </c>
      <c r="V10" s="117" t="str">
        <f>'Draft Board'!AA12</f>
        <v/>
      </c>
      <c r="W10" s="111" t="e">
        <f>VLOOKUP(V10,RB!$B:$Y,2,0)</f>
        <v>#VALUE!</v>
      </c>
      <c r="X10" s="111" t="e">
        <f>VLOOKUP(W10,Settings!$M$2:$N$33,2,0)</f>
        <v>#VALUE!</v>
      </c>
      <c r="Y10" s="184" t="str">
        <f>+IF((V10=""),"",(Z10-Settings!$AA$4))</f>
        <v/>
      </c>
      <c r="Z10" s="203" t="str">
        <f>IF((V10=""),"",VLOOKUP(V10,RB!$B:$Y,24,0))</f>
        <v/>
      </c>
      <c r="AA10" s="117" t="str">
        <f>'Draft Board'!AG12</f>
        <v/>
      </c>
      <c r="AB10" s="111" t="e">
        <f>VLOOKUP(AA10,RB!$B:$Y,2,0)</f>
        <v>#VALUE!</v>
      </c>
      <c r="AC10" s="111" t="e">
        <f>VLOOKUP(AB10,Settings!$M$2:$N$33,2,0)</f>
        <v>#VALUE!</v>
      </c>
      <c r="AD10" s="184" t="str">
        <f>+IF((AA10=""),"",(AE10-Settings!$AA$4))</f>
        <v/>
      </c>
      <c r="AE10" s="203" t="str">
        <f>IF((AA10=""),"",VLOOKUP(AA10,RB!$B:$Y,24,0))</f>
        <v/>
      </c>
      <c r="AF10" s="117" t="str">
        <f>'Draft Board'!AM12</f>
        <v/>
      </c>
      <c r="AG10" s="111" t="e">
        <f>VLOOKUP(AF10,RB!$B:$Y,2,0)</f>
        <v>#VALUE!</v>
      </c>
      <c r="AH10" s="111" t="e">
        <f>VLOOKUP(AG10,Settings!$M$2:$N$33,2,0)</f>
        <v>#VALUE!</v>
      </c>
      <c r="AI10" s="184" t="str">
        <f>+IF((AF10=""),"",(AJ10-Settings!$AA$4))</f>
        <v/>
      </c>
      <c r="AJ10" s="203" t="str">
        <f>IF((AF10=""),"",VLOOKUP(AF10,RB!$B:$Y,24,0))</f>
        <v/>
      </c>
      <c r="AK10" s="117" t="str">
        <f>'Draft Board'!AS12</f>
        <v/>
      </c>
      <c r="AL10" s="111" t="e">
        <f>VLOOKUP(AK10,RB!$B:$Y,2,0)</f>
        <v>#VALUE!</v>
      </c>
      <c r="AM10" s="111" t="e">
        <f>VLOOKUP(AL10,Settings!$M$2:$N$33,2,0)</f>
        <v>#VALUE!</v>
      </c>
      <c r="AN10" s="184" t="str">
        <f>+IF((AK10=""),"",(AO10-Settings!$AA$4))</f>
        <v/>
      </c>
      <c r="AO10" s="203" t="str">
        <f>IF((AK10=""),"",VLOOKUP(AK10,RB!$B:$Y,24,0))</f>
        <v/>
      </c>
      <c r="AP10" s="117" t="str">
        <f>'Draft Board'!AY12</f>
        <v/>
      </c>
      <c r="AQ10" s="111" t="e">
        <f>VLOOKUP(AP10,RB!$B:$Y,2,0)</f>
        <v>#VALUE!</v>
      </c>
      <c r="AR10" s="111" t="e">
        <f>VLOOKUP(AQ10,Settings!$M$2:$N$33,2,0)</f>
        <v>#VALUE!</v>
      </c>
      <c r="AS10" s="184" t="str">
        <f>+IF((AP10=""),"",(AT10-Settings!$AA$4))</f>
        <v/>
      </c>
      <c r="AT10" s="203" t="str">
        <f>IF((AP10=""),"",VLOOKUP(AP10,RB!$B:$Y,24,0))</f>
        <v/>
      </c>
      <c r="AU10" s="117" t="str">
        <f>'Draft Board'!BE12</f>
        <v/>
      </c>
      <c r="AV10" s="111" t="e">
        <f>VLOOKUP(AU10,RB!$B:$Y,2,0)</f>
        <v>#VALUE!</v>
      </c>
      <c r="AW10" s="111" t="e">
        <f>VLOOKUP(AV10,Settings!$M$2:$N$33,2,0)</f>
        <v>#VALUE!</v>
      </c>
      <c r="AX10" s="184" t="str">
        <f>+IF((AU10=""),"",(AY10-Settings!$AA$4))</f>
        <v/>
      </c>
      <c r="AY10" s="203" t="str">
        <f>IF((AU10=""),"",VLOOKUP(AU10,RB!$B:$Y,24,0))</f>
        <v/>
      </c>
      <c r="AZ10" s="117" t="str">
        <f>'Draft Board'!BK12</f>
        <v/>
      </c>
      <c r="BA10" s="111" t="e">
        <f>VLOOKUP(AZ10,RB!$B:$Y,2,0)</f>
        <v>#VALUE!</v>
      </c>
      <c r="BB10" s="111" t="e">
        <f>VLOOKUP(BA10,Settings!$M$2:$N$33,2,0)</f>
        <v>#VALUE!</v>
      </c>
      <c r="BC10" s="184" t="str">
        <f>+IF((AZ10=""),"",(BD10-Settings!$AA$4))</f>
        <v/>
      </c>
      <c r="BD10" s="203" t="str">
        <f>IF((AZ10=""),"",VLOOKUP(AZ10,RB!$B:$Y,24,0))</f>
        <v/>
      </c>
    </row>
    <row r="11" spans="1:56" ht="12.75" customHeight="1">
      <c r="A11" s="31" t="s">
        <v>211</v>
      </c>
      <c r="B11" s="117" t="str">
        <f>'Draft Board'!C13</f>
        <v/>
      </c>
      <c r="C11" s="111" t="e">
        <f>VLOOKUP(B11,RB!$B:$Y,2,0)</f>
        <v>#VALUE!</v>
      </c>
      <c r="D11" s="111" t="e">
        <f>VLOOKUP(C11,Settings!$M$2:$N$33,2,0)</f>
        <v>#VALUE!</v>
      </c>
      <c r="E11" s="184" t="str">
        <f>+IF((B11=""),"",(F11-Settings!$AA$4))</f>
        <v/>
      </c>
      <c r="F11" s="203" t="str">
        <f>IF((B11=""),"",VLOOKUP(B11,RB!$B:$Y,24,0))</f>
        <v/>
      </c>
      <c r="G11" s="117" t="str">
        <f>'Draft Board'!I13</f>
        <v/>
      </c>
      <c r="H11" s="111" t="e">
        <f>VLOOKUP(G11,RB!$B:$Y,2,0)</f>
        <v>#VALUE!</v>
      </c>
      <c r="I11" s="111" t="e">
        <f>VLOOKUP(H11,Settings!$M$2:$N$33,2,0)</f>
        <v>#VALUE!</v>
      </c>
      <c r="J11" s="184" t="str">
        <f>+IF((G11=""),"",(K11-Settings!$AA$4))</f>
        <v/>
      </c>
      <c r="K11" s="203" t="str">
        <f>IF((G11=""),"",VLOOKUP(G11,RB!$B:$Y,24,0))</f>
        <v/>
      </c>
      <c r="L11" s="117" t="str">
        <f>'Draft Board'!O13</f>
        <v/>
      </c>
      <c r="M11" s="111" t="e">
        <f>VLOOKUP(L11,RB!$B:$Y,2,0)</f>
        <v>#VALUE!</v>
      </c>
      <c r="N11" s="111" t="e">
        <f>VLOOKUP(M11,Settings!$M$2:$N$33,2,0)</f>
        <v>#VALUE!</v>
      </c>
      <c r="O11" s="184" t="str">
        <f>+IF((L11=""),"",(P11-Settings!$AA$4))</f>
        <v/>
      </c>
      <c r="P11" s="203" t="str">
        <f>IF((L11=""),"",VLOOKUP(L11,RB!$B:$Y,24,0))</f>
        <v/>
      </c>
      <c r="Q11" s="117" t="str">
        <f>'Draft Board'!U13</f>
        <v/>
      </c>
      <c r="R11" s="111" t="e">
        <f>VLOOKUP(Q11,RB!$B:$Y,2,0)</f>
        <v>#VALUE!</v>
      </c>
      <c r="S11" s="111" t="e">
        <f>VLOOKUP(R11,Settings!$M$2:$N$33,2,0)</f>
        <v>#VALUE!</v>
      </c>
      <c r="T11" s="184" t="str">
        <f>+IF((Q11=""),"",(U11-Settings!$AA$4))</f>
        <v/>
      </c>
      <c r="U11" s="203" t="str">
        <f>IF((Q11=""),"",VLOOKUP(Q11,RB!$B:$Y,24,0))</f>
        <v/>
      </c>
      <c r="V11" s="117" t="str">
        <f>'Draft Board'!AA13</f>
        <v/>
      </c>
      <c r="W11" s="111" t="e">
        <f>VLOOKUP(V11,RB!$B:$Y,2,0)</f>
        <v>#VALUE!</v>
      </c>
      <c r="X11" s="111" t="e">
        <f>VLOOKUP(W11,Settings!$M$2:$N$33,2,0)</f>
        <v>#VALUE!</v>
      </c>
      <c r="Y11" s="184" t="str">
        <f>+IF((V11=""),"",(Z11-Settings!$AA$4))</f>
        <v/>
      </c>
      <c r="Z11" s="203" t="str">
        <f>IF((V11=""),"",VLOOKUP(V11,RB!$B:$Y,24,0))</f>
        <v/>
      </c>
      <c r="AA11" s="117" t="str">
        <f>'Draft Board'!AG13</f>
        <v/>
      </c>
      <c r="AB11" s="111" t="e">
        <f>VLOOKUP(AA11,RB!$B:$Y,2,0)</f>
        <v>#VALUE!</v>
      </c>
      <c r="AC11" s="111" t="e">
        <f>VLOOKUP(AB11,Settings!$M$2:$N$33,2,0)</f>
        <v>#VALUE!</v>
      </c>
      <c r="AD11" s="184" t="str">
        <f>+IF((AA11=""),"",(AE11-Settings!$AA$4))</f>
        <v/>
      </c>
      <c r="AE11" s="203" t="str">
        <f>IF((AA11=""),"",VLOOKUP(AA11,RB!$B:$Y,24,0))</f>
        <v/>
      </c>
      <c r="AF11" s="117" t="str">
        <f>'Draft Board'!AM13</f>
        <v/>
      </c>
      <c r="AG11" s="111" t="e">
        <f>VLOOKUP(AF11,RB!$B:$Y,2,0)</f>
        <v>#VALUE!</v>
      </c>
      <c r="AH11" s="111" t="e">
        <f>VLOOKUP(AG11,Settings!$M$2:$N$33,2,0)</f>
        <v>#VALUE!</v>
      </c>
      <c r="AI11" s="184" t="str">
        <f>+IF((AF11=""),"",(AJ11-Settings!$AA$4))</f>
        <v/>
      </c>
      <c r="AJ11" s="203" t="str">
        <f>IF((AF11=""),"",VLOOKUP(AF11,RB!$B:$Y,24,0))</f>
        <v/>
      </c>
      <c r="AK11" s="117" t="str">
        <f>'Draft Board'!AS13</f>
        <v/>
      </c>
      <c r="AL11" s="111" t="e">
        <f>VLOOKUP(AK11,RB!$B:$Y,2,0)</f>
        <v>#VALUE!</v>
      </c>
      <c r="AM11" s="111" t="e">
        <f>VLOOKUP(AL11,Settings!$M$2:$N$33,2,0)</f>
        <v>#VALUE!</v>
      </c>
      <c r="AN11" s="184" t="str">
        <f>+IF((AK11=""),"",(AO11-Settings!$AA$4))</f>
        <v/>
      </c>
      <c r="AO11" s="203" t="str">
        <f>IF((AK11=""),"",VLOOKUP(AK11,RB!$B:$Y,24,0))</f>
        <v/>
      </c>
      <c r="AP11" s="117" t="str">
        <f>'Draft Board'!AY13</f>
        <v/>
      </c>
      <c r="AQ11" s="111" t="e">
        <f>VLOOKUP(AP11,RB!$B:$Y,2,0)</f>
        <v>#VALUE!</v>
      </c>
      <c r="AR11" s="111" t="e">
        <f>VLOOKUP(AQ11,Settings!$M$2:$N$33,2,0)</f>
        <v>#VALUE!</v>
      </c>
      <c r="AS11" s="184" t="str">
        <f>+IF((AP11=""),"",(AT11-Settings!$AA$4))</f>
        <v/>
      </c>
      <c r="AT11" s="203" t="str">
        <f>IF((AP11=""),"",VLOOKUP(AP11,RB!$B:$Y,24,0))</f>
        <v/>
      </c>
      <c r="AU11" s="117" t="str">
        <f>'Draft Board'!BE13</f>
        <v/>
      </c>
      <c r="AV11" s="111" t="e">
        <f>VLOOKUP(AU11,RB!$B:$Y,2,0)</f>
        <v>#VALUE!</v>
      </c>
      <c r="AW11" s="111" t="e">
        <f>VLOOKUP(AV11,Settings!$M$2:$N$33,2,0)</f>
        <v>#VALUE!</v>
      </c>
      <c r="AX11" s="184" t="str">
        <f>+IF((AU11=""),"",(AY11-Settings!$AA$4))</f>
        <v/>
      </c>
      <c r="AY11" s="203" t="str">
        <f>IF((AU11=""),"",VLOOKUP(AU11,RB!$B:$Y,24,0))</f>
        <v/>
      </c>
      <c r="AZ11" s="117" t="str">
        <f>'Draft Board'!BK13</f>
        <v/>
      </c>
      <c r="BA11" s="111" t="e">
        <f>VLOOKUP(AZ11,RB!$B:$Y,2,0)</f>
        <v>#VALUE!</v>
      </c>
      <c r="BB11" s="111" t="e">
        <f>VLOOKUP(BA11,Settings!$M$2:$N$33,2,0)</f>
        <v>#VALUE!</v>
      </c>
      <c r="BC11" s="184" t="str">
        <f>+IF((AZ11=""),"",(BD11-Settings!$AA$4))</f>
        <v/>
      </c>
      <c r="BD11" s="203" t="str">
        <f>IF((AZ11=""),"",VLOOKUP(AZ11,RB!$B:$Y,24,0))</f>
        <v/>
      </c>
    </row>
    <row r="12" spans="1:56" ht="12.75" customHeight="1">
      <c r="A12" s="31" t="s">
        <v>212</v>
      </c>
      <c r="B12" s="117" t="str">
        <f>'Draft Board'!C14</f>
        <v/>
      </c>
      <c r="C12" s="111" t="e">
        <f>VLOOKUP(B12,RB!$B:$Y,2,0)</f>
        <v>#VALUE!</v>
      </c>
      <c r="D12" s="111" t="e">
        <f>VLOOKUP(C12,Settings!$M$2:$N$33,2,0)</f>
        <v>#VALUE!</v>
      </c>
      <c r="E12" s="184" t="str">
        <f>+IF((B12=""),"",(F12-Settings!$AA$4))</f>
        <v/>
      </c>
      <c r="F12" s="203" t="str">
        <f>IF((B12=""),"",VLOOKUP(B12,RB!$B:$Y,24,0))</f>
        <v/>
      </c>
      <c r="G12" s="117" t="str">
        <f>'Draft Board'!I14</f>
        <v/>
      </c>
      <c r="H12" s="111" t="e">
        <f>VLOOKUP(G12,RB!$B:$Y,2,0)</f>
        <v>#VALUE!</v>
      </c>
      <c r="I12" s="111" t="e">
        <f>VLOOKUP(H12,Settings!$M$2:$N$33,2,0)</f>
        <v>#VALUE!</v>
      </c>
      <c r="J12" s="184" t="str">
        <f>+IF((G12=""),"",(K12-Settings!$AA$4))</f>
        <v/>
      </c>
      <c r="K12" s="203" t="str">
        <f>IF((G12=""),"",VLOOKUP(G12,RB!$B:$Y,24,0))</f>
        <v/>
      </c>
      <c r="L12" s="117" t="str">
        <f>'Draft Board'!O14</f>
        <v/>
      </c>
      <c r="M12" s="111" t="e">
        <f>VLOOKUP(L12,RB!$B:$Y,2,0)</f>
        <v>#VALUE!</v>
      </c>
      <c r="N12" s="111" t="e">
        <f>VLOOKUP(M12,Settings!$M$2:$N$33,2,0)</f>
        <v>#VALUE!</v>
      </c>
      <c r="O12" s="184" t="str">
        <f>+IF((L12=""),"",(P12-Settings!$AA$4))</f>
        <v/>
      </c>
      <c r="P12" s="203" t="str">
        <f>IF((L12=""),"",VLOOKUP(L12,RB!$B:$Y,24,0))</f>
        <v/>
      </c>
      <c r="Q12" s="117" t="str">
        <f>'Draft Board'!U14</f>
        <v/>
      </c>
      <c r="R12" s="111" t="e">
        <f>VLOOKUP(Q12,RB!$B:$Y,2,0)</f>
        <v>#VALUE!</v>
      </c>
      <c r="S12" s="111" t="e">
        <f>VLOOKUP(R12,Settings!$M$2:$N$33,2,0)</f>
        <v>#VALUE!</v>
      </c>
      <c r="T12" s="184" t="str">
        <f>+IF((Q12=""),"",(U12-Settings!$AA$4))</f>
        <v/>
      </c>
      <c r="U12" s="203" t="str">
        <f>IF((Q12=""),"",VLOOKUP(Q12,RB!$B:$Y,24,0))</f>
        <v/>
      </c>
      <c r="V12" s="117" t="str">
        <f>'Draft Board'!AA14</f>
        <v/>
      </c>
      <c r="W12" s="111" t="e">
        <f>VLOOKUP(V12,RB!$B:$Y,2,0)</f>
        <v>#VALUE!</v>
      </c>
      <c r="X12" s="111" t="e">
        <f>VLOOKUP(W12,Settings!$M$2:$N$33,2,0)</f>
        <v>#VALUE!</v>
      </c>
      <c r="Y12" s="184" t="str">
        <f>+IF((V12=""),"",(Z12-Settings!$AA$4))</f>
        <v/>
      </c>
      <c r="Z12" s="203" t="str">
        <f>IF((V12=""),"",VLOOKUP(V12,RB!$B:$Y,24,0))</f>
        <v/>
      </c>
      <c r="AA12" s="117" t="str">
        <f>'Draft Board'!AG14</f>
        <v/>
      </c>
      <c r="AB12" s="111" t="e">
        <f>VLOOKUP(AA12,RB!$B:$Y,2,0)</f>
        <v>#VALUE!</v>
      </c>
      <c r="AC12" s="111" t="e">
        <f>VLOOKUP(AB12,Settings!$M$2:$N$33,2,0)</f>
        <v>#VALUE!</v>
      </c>
      <c r="AD12" s="184" t="str">
        <f>+IF((AA12=""),"",(AE12-Settings!$AA$4))</f>
        <v/>
      </c>
      <c r="AE12" s="203" t="str">
        <f>IF((AA12=""),"",VLOOKUP(AA12,RB!$B:$Y,24,0))</f>
        <v/>
      </c>
      <c r="AF12" s="117" t="str">
        <f>'Draft Board'!AM14</f>
        <v/>
      </c>
      <c r="AG12" s="111" t="e">
        <f>VLOOKUP(AF12,RB!$B:$Y,2,0)</f>
        <v>#VALUE!</v>
      </c>
      <c r="AH12" s="111" t="e">
        <f>VLOOKUP(AG12,Settings!$M$2:$N$33,2,0)</f>
        <v>#VALUE!</v>
      </c>
      <c r="AI12" s="184" t="str">
        <f>+IF((AF12=""),"",(AJ12-Settings!$AA$4))</f>
        <v/>
      </c>
      <c r="AJ12" s="203" t="str">
        <f>IF((AF12=""),"",VLOOKUP(AF12,RB!$B:$Y,24,0))</f>
        <v/>
      </c>
      <c r="AK12" s="117" t="str">
        <f>'Draft Board'!AS14</f>
        <v/>
      </c>
      <c r="AL12" s="111" t="e">
        <f>VLOOKUP(AK12,RB!$B:$Y,2,0)</f>
        <v>#VALUE!</v>
      </c>
      <c r="AM12" s="111" t="e">
        <f>VLOOKUP(AL12,Settings!$M$2:$N$33,2,0)</f>
        <v>#VALUE!</v>
      </c>
      <c r="AN12" s="184" t="str">
        <f>+IF((AK12=""),"",(AO12-Settings!$AA$4))</f>
        <v/>
      </c>
      <c r="AO12" s="203" t="str">
        <f>IF((AK12=""),"",VLOOKUP(AK12,RB!$B:$Y,24,0))</f>
        <v/>
      </c>
      <c r="AP12" s="117" t="str">
        <f>'Draft Board'!AY14</f>
        <v/>
      </c>
      <c r="AQ12" s="111" t="e">
        <f>VLOOKUP(AP12,RB!$B:$Y,2,0)</f>
        <v>#VALUE!</v>
      </c>
      <c r="AR12" s="111" t="e">
        <f>VLOOKUP(AQ12,Settings!$M$2:$N$33,2,0)</f>
        <v>#VALUE!</v>
      </c>
      <c r="AS12" s="184" t="str">
        <f>+IF((AP12=""),"",(AT12-Settings!$AA$4))</f>
        <v/>
      </c>
      <c r="AT12" s="203" t="str">
        <f>IF((AP12=""),"",VLOOKUP(AP12,RB!$B:$Y,24,0))</f>
        <v/>
      </c>
      <c r="AU12" s="117" t="str">
        <f>'Draft Board'!BE14</f>
        <v/>
      </c>
      <c r="AV12" s="111" t="e">
        <f>VLOOKUP(AU12,RB!$B:$Y,2,0)</f>
        <v>#VALUE!</v>
      </c>
      <c r="AW12" s="111" t="e">
        <f>VLOOKUP(AV12,Settings!$M$2:$N$33,2,0)</f>
        <v>#VALUE!</v>
      </c>
      <c r="AX12" s="184" t="str">
        <f>+IF((AU12=""),"",(AY12-Settings!$AA$4))</f>
        <v/>
      </c>
      <c r="AY12" s="203" t="str">
        <f>IF((AU12=""),"",VLOOKUP(AU12,RB!$B:$Y,24,0))</f>
        <v/>
      </c>
      <c r="AZ12" s="117" t="str">
        <f>'Draft Board'!BK14</f>
        <v/>
      </c>
      <c r="BA12" s="111" t="e">
        <f>VLOOKUP(AZ12,RB!$B:$Y,2,0)</f>
        <v>#VALUE!</v>
      </c>
      <c r="BB12" s="111" t="e">
        <f>VLOOKUP(BA12,Settings!$M$2:$N$33,2,0)</f>
        <v>#VALUE!</v>
      </c>
      <c r="BC12" s="184" t="str">
        <f>+IF((AZ12=""),"",(BD12-Settings!$AA$4))</f>
        <v/>
      </c>
      <c r="BD12" s="203" t="str">
        <f>IF((AZ12=""),"",VLOOKUP(AZ12,RB!$B:$Y,24,0))</f>
        <v/>
      </c>
    </row>
    <row r="13" spans="1:56" ht="12.75" customHeight="1">
      <c r="A13" s="31" t="s">
        <v>213</v>
      </c>
      <c r="B13" s="117" t="str">
        <f>'Draft Board'!C15</f>
        <v/>
      </c>
      <c r="C13" s="111" t="e">
        <f>VLOOKUP(B13,RB!$B:$Y,2,0)</f>
        <v>#VALUE!</v>
      </c>
      <c r="D13" s="111" t="e">
        <f>VLOOKUP(C13,Settings!$M$2:$N$33,2,0)</f>
        <v>#VALUE!</v>
      </c>
      <c r="E13" s="184" t="str">
        <f>+IF((B13=""),"",(F13-Settings!$AA$4))</f>
        <v/>
      </c>
      <c r="F13" s="203" t="str">
        <f>IF((B13=""),"",VLOOKUP(B13,RB!$B:$Y,24,0))</f>
        <v/>
      </c>
      <c r="G13" s="117" t="str">
        <f>'Draft Board'!I15</f>
        <v/>
      </c>
      <c r="H13" s="111" t="e">
        <f>VLOOKUP(G13,RB!$B:$Y,2,0)</f>
        <v>#VALUE!</v>
      </c>
      <c r="I13" s="111" t="e">
        <f>VLOOKUP(H13,Settings!$M$2:$N$33,2,0)</f>
        <v>#VALUE!</v>
      </c>
      <c r="J13" s="184" t="str">
        <f>+IF((G13=""),"",(K13-Settings!$AA$4))</f>
        <v/>
      </c>
      <c r="K13" s="203" t="str">
        <f>IF((G13=""),"",VLOOKUP(G13,RB!$B:$Y,24,0))</f>
        <v/>
      </c>
      <c r="L13" s="117" t="str">
        <f>'Draft Board'!O15</f>
        <v/>
      </c>
      <c r="M13" s="111" t="e">
        <f>VLOOKUP(L13,RB!$B:$Y,2,0)</f>
        <v>#VALUE!</v>
      </c>
      <c r="N13" s="111" t="e">
        <f>VLOOKUP(M13,Settings!$M$2:$N$33,2,0)</f>
        <v>#VALUE!</v>
      </c>
      <c r="O13" s="184" t="str">
        <f>+IF((L13=""),"",(P13-Settings!$AA$4))</f>
        <v/>
      </c>
      <c r="P13" s="203" t="str">
        <f>IF((L13=""),"",VLOOKUP(L13,RB!$B:$Y,24,0))</f>
        <v/>
      </c>
      <c r="Q13" s="117" t="str">
        <f>'Draft Board'!U15</f>
        <v/>
      </c>
      <c r="R13" s="111" t="e">
        <f>VLOOKUP(Q13,RB!$B:$Y,2,0)</f>
        <v>#VALUE!</v>
      </c>
      <c r="S13" s="111" t="e">
        <f>VLOOKUP(R13,Settings!$M$2:$N$33,2,0)</f>
        <v>#VALUE!</v>
      </c>
      <c r="T13" s="184" t="str">
        <f>+IF((Q13=""),"",(U13-Settings!$AA$4))</f>
        <v/>
      </c>
      <c r="U13" s="203" t="str">
        <f>IF((Q13=""),"",VLOOKUP(Q13,RB!$B:$Y,24,0))</f>
        <v/>
      </c>
      <c r="V13" s="117" t="str">
        <f>'Draft Board'!AA15</f>
        <v/>
      </c>
      <c r="W13" s="111" t="e">
        <f>VLOOKUP(V13,RB!$B:$Y,2,0)</f>
        <v>#VALUE!</v>
      </c>
      <c r="X13" s="111" t="e">
        <f>VLOOKUP(W13,Settings!$M$2:$N$33,2,0)</f>
        <v>#VALUE!</v>
      </c>
      <c r="Y13" s="184" t="str">
        <f>+IF((V13=""),"",(Z13-Settings!$AA$4))</f>
        <v/>
      </c>
      <c r="Z13" s="203" t="str">
        <f>IF((V13=""),"",VLOOKUP(V13,RB!$B:$Y,24,0))</f>
        <v/>
      </c>
      <c r="AA13" s="117" t="str">
        <f>'Draft Board'!AG15</f>
        <v/>
      </c>
      <c r="AB13" s="111" t="e">
        <f>VLOOKUP(AA13,RB!$B:$Y,2,0)</f>
        <v>#VALUE!</v>
      </c>
      <c r="AC13" s="111" t="e">
        <f>VLOOKUP(AB13,Settings!$M$2:$N$33,2,0)</f>
        <v>#VALUE!</v>
      </c>
      <c r="AD13" s="184" t="str">
        <f>+IF((AA13=""),"",(AE13-Settings!$AA$4))</f>
        <v/>
      </c>
      <c r="AE13" s="203" t="str">
        <f>IF((AA13=""),"",VLOOKUP(AA13,RB!$B:$Y,24,0))</f>
        <v/>
      </c>
      <c r="AF13" s="117" t="str">
        <f>'Draft Board'!AM15</f>
        <v/>
      </c>
      <c r="AG13" s="111" t="e">
        <f>VLOOKUP(AF13,RB!$B:$Y,2,0)</f>
        <v>#VALUE!</v>
      </c>
      <c r="AH13" s="111" t="e">
        <f>VLOOKUP(AG13,Settings!$M$2:$N$33,2,0)</f>
        <v>#VALUE!</v>
      </c>
      <c r="AI13" s="184" t="str">
        <f>+IF((AF13=""),"",(AJ13-Settings!$AA$4))</f>
        <v/>
      </c>
      <c r="AJ13" s="203" t="str">
        <f>IF((AF13=""),"",VLOOKUP(AF13,RB!$B:$Y,24,0))</f>
        <v/>
      </c>
      <c r="AK13" s="117" t="str">
        <f>'Draft Board'!AS15</f>
        <v/>
      </c>
      <c r="AL13" s="111" t="e">
        <f>VLOOKUP(AK13,RB!$B:$Y,2,0)</f>
        <v>#VALUE!</v>
      </c>
      <c r="AM13" s="111" t="e">
        <f>VLOOKUP(AL13,Settings!$M$2:$N$33,2,0)</f>
        <v>#VALUE!</v>
      </c>
      <c r="AN13" s="184" t="str">
        <f>+IF((AK13=""),"",(AO13-Settings!$AA$4))</f>
        <v/>
      </c>
      <c r="AO13" s="203" t="str">
        <f>IF((AK13=""),"",VLOOKUP(AK13,RB!$B:$Y,24,0))</f>
        <v/>
      </c>
      <c r="AP13" s="117" t="str">
        <f>'Draft Board'!AY15</f>
        <v/>
      </c>
      <c r="AQ13" s="111" t="e">
        <f>VLOOKUP(AP13,RB!$B:$Y,2,0)</f>
        <v>#VALUE!</v>
      </c>
      <c r="AR13" s="111" t="e">
        <f>VLOOKUP(AQ13,Settings!$M$2:$N$33,2,0)</f>
        <v>#VALUE!</v>
      </c>
      <c r="AS13" s="184" t="str">
        <f>+IF((AP13=""),"",(AT13-Settings!$AA$4))</f>
        <v/>
      </c>
      <c r="AT13" s="203" t="str">
        <f>IF((AP13=""),"",VLOOKUP(AP13,RB!$B:$Y,24,0))</f>
        <v/>
      </c>
      <c r="AU13" s="117" t="str">
        <f>'Draft Board'!BE15</f>
        <v/>
      </c>
      <c r="AV13" s="111" t="e">
        <f>VLOOKUP(AU13,RB!$B:$Y,2,0)</f>
        <v>#VALUE!</v>
      </c>
      <c r="AW13" s="111" t="e">
        <f>VLOOKUP(AV13,Settings!$M$2:$N$33,2,0)</f>
        <v>#VALUE!</v>
      </c>
      <c r="AX13" s="184" t="str">
        <f>+IF((AU13=""),"",(AY13-Settings!$AA$4))</f>
        <v/>
      </c>
      <c r="AY13" s="203" t="str">
        <f>IF((AU13=""),"",VLOOKUP(AU13,RB!$B:$Y,24,0))</f>
        <v/>
      </c>
      <c r="AZ13" s="117" t="str">
        <f>'Draft Board'!BK15</f>
        <v/>
      </c>
      <c r="BA13" s="111" t="e">
        <f>VLOOKUP(AZ13,RB!$B:$Y,2,0)</f>
        <v>#VALUE!</v>
      </c>
      <c r="BB13" s="111" t="e">
        <f>VLOOKUP(BA13,Settings!$M$2:$N$33,2,0)</f>
        <v>#VALUE!</v>
      </c>
      <c r="BC13" s="184" t="str">
        <f>+IF((AZ13=""),"",(BD13-Settings!$AA$4))</f>
        <v/>
      </c>
      <c r="BD13" s="203" t="str">
        <f>IF((AZ13=""),"",VLOOKUP(AZ13,RB!$B:$Y,24,0))</f>
        <v/>
      </c>
    </row>
    <row r="14" spans="1:56" ht="12.75" customHeight="1">
      <c r="A14" s="31" t="s">
        <v>214</v>
      </c>
      <c r="B14" s="117" t="str">
        <f>'Draft Board'!C16</f>
        <v/>
      </c>
      <c r="C14" s="111" t="e">
        <f>VLOOKUP(B14,RB!$B:$Y,2,0)</f>
        <v>#VALUE!</v>
      </c>
      <c r="D14" s="111" t="e">
        <f>VLOOKUP(C14,Settings!$M$2:$N$33,2,0)</f>
        <v>#VALUE!</v>
      </c>
      <c r="E14" s="184" t="str">
        <f>+IF((B14=""),"",(F14-Settings!$AA$4))</f>
        <v/>
      </c>
      <c r="F14" s="203" t="str">
        <f>IF((B14=""),"",VLOOKUP(B14,RB!$B:$Y,24,0))</f>
        <v/>
      </c>
      <c r="G14" s="117" t="str">
        <f>'Draft Board'!I16</f>
        <v/>
      </c>
      <c r="H14" s="111" t="e">
        <f>VLOOKUP(G14,RB!$B:$Y,2,0)</f>
        <v>#VALUE!</v>
      </c>
      <c r="I14" s="111" t="e">
        <f>VLOOKUP(H14,Settings!$M$2:$N$33,2,0)</f>
        <v>#VALUE!</v>
      </c>
      <c r="J14" s="184" t="str">
        <f>+IF((G14=""),"",(K14-Settings!$AA$4))</f>
        <v/>
      </c>
      <c r="K14" s="203" t="str">
        <f>IF((G14=""),"",VLOOKUP(G14,RB!$B:$Y,24,0))</f>
        <v/>
      </c>
      <c r="L14" s="117" t="str">
        <f>'Draft Board'!O16</f>
        <v/>
      </c>
      <c r="M14" s="111" t="e">
        <f>VLOOKUP(L14,RB!$B:$Y,2,0)</f>
        <v>#VALUE!</v>
      </c>
      <c r="N14" s="111" t="e">
        <f>VLOOKUP(M14,Settings!$M$2:$N$33,2,0)</f>
        <v>#VALUE!</v>
      </c>
      <c r="O14" s="184" t="str">
        <f>+IF((L14=""),"",(P14-Settings!$AA$4))</f>
        <v/>
      </c>
      <c r="P14" s="203" t="str">
        <f>IF((L14=""),"",VLOOKUP(L14,RB!$B:$Y,24,0))</f>
        <v/>
      </c>
      <c r="Q14" s="117" t="str">
        <f>'Draft Board'!U16</f>
        <v/>
      </c>
      <c r="R14" s="111" t="e">
        <f>VLOOKUP(Q14,RB!$B:$Y,2,0)</f>
        <v>#VALUE!</v>
      </c>
      <c r="S14" s="111" t="e">
        <f>VLOOKUP(R14,Settings!$M$2:$N$33,2,0)</f>
        <v>#VALUE!</v>
      </c>
      <c r="T14" s="184" t="str">
        <f>+IF((Q14=""),"",(U14-Settings!$AA$4))</f>
        <v/>
      </c>
      <c r="U14" s="203" t="str">
        <f>IF((Q14=""),"",VLOOKUP(Q14,RB!$B:$Y,24,0))</f>
        <v/>
      </c>
      <c r="V14" s="117" t="str">
        <f>'Draft Board'!AA16</f>
        <v/>
      </c>
      <c r="W14" s="111" t="e">
        <f>VLOOKUP(V14,RB!$B:$Y,2,0)</f>
        <v>#VALUE!</v>
      </c>
      <c r="X14" s="111" t="e">
        <f>VLOOKUP(W14,Settings!$M$2:$N$33,2,0)</f>
        <v>#VALUE!</v>
      </c>
      <c r="Y14" s="184" t="str">
        <f>+IF((V14=""),"",(Z14-Settings!$AA$4))</f>
        <v/>
      </c>
      <c r="Z14" s="203" t="str">
        <f>IF((V14=""),"",VLOOKUP(V14,RB!$B:$Y,24,0))</f>
        <v/>
      </c>
      <c r="AA14" s="117" t="str">
        <f>'Draft Board'!AG16</f>
        <v/>
      </c>
      <c r="AB14" s="111" t="e">
        <f>VLOOKUP(AA14,RB!$B:$Y,2,0)</f>
        <v>#VALUE!</v>
      </c>
      <c r="AC14" s="111" t="e">
        <f>VLOOKUP(AB14,Settings!$M$2:$N$33,2,0)</f>
        <v>#VALUE!</v>
      </c>
      <c r="AD14" s="184" t="str">
        <f>+IF((AA14=""),"",(AE14-Settings!$AA$4))</f>
        <v/>
      </c>
      <c r="AE14" s="203" t="str">
        <f>IF((AA14=""),"",VLOOKUP(AA14,RB!$B:$Y,24,0))</f>
        <v/>
      </c>
      <c r="AF14" s="117" t="str">
        <f>'Draft Board'!AM16</f>
        <v/>
      </c>
      <c r="AG14" s="111" t="e">
        <f>VLOOKUP(AF14,RB!$B:$Y,2,0)</f>
        <v>#VALUE!</v>
      </c>
      <c r="AH14" s="111" t="e">
        <f>VLOOKUP(AG14,Settings!$M$2:$N$33,2,0)</f>
        <v>#VALUE!</v>
      </c>
      <c r="AI14" s="184" t="str">
        <f>+IF((AF14=""),"",(AJ14-Settings!$AA$4))</f>
        <v/>
      </c>
      <c r="AJ14" s="203" t="str">
        <f>IF((AF14=""),"",VLOOKUP(AF14,RB!$B:$Y,24,0))</f>
        <v/>
      </c>
      <c r="AK14" s="117" t="str">
        <f>'Draft Board'!AS16</f>
        <v/>
      </c>
      <c r="AL14" s="111" t="e">
        <f>VLOOKUP(AK14,RB!$B:$Y,2,0)</f>
        <v>#VALUE!</v>
      </c>
      <c r="AM14" s="111" t="e">
        <f>VLOOKUP(AL14,Settings!$M$2:$N$33,2,0)</f>
        <v>#VALUE!</v>
      </c>
      <c r="AN14" s="184" t="str">
        <f>+IF((AK14=""),"",(AO14-Settings!$AA$4))</f>
        <v/>
      </c>
      <c r="AO14" s="203" t="str">
        <f>IF((AK14=""),"",VLOOKUP(AK14,RB!$B:$Y,24,0))</f>
        <v/>
      </c>
      <c r="AP14" s="117" t="str">
        <f>'Draft Board'!AY16</f>
        <v/>
      </c>
      <c r="AQ14" s="111" t="e">
        <f>VLOOKUP(AP14,RB!$B:$Y,2,0)</f>
        <v>#VALUE!</v>
      </c>
      <c r="AR14" s="111" t="e">
        <f>VLOOKUP(AQ14,Settings!$M$2:$N$33,2,0)</f>
        <v>#VALUE!</v>
      </c>
      <c r="AS14" s="184" t="str">
        <f>+IF((AP14=""),"",(AT14-Settings!$AA$4))</f>
        <v/>
      </c>
      <c r="AT14" s="203" t="str">
        <f>IF((AP14=""),"",VLOOKUP(AP14,RB!$B:$Y,24,0))</f>
        <v/>
      </c>
      <c r="AU14" s="117" t="str">
        <f>'Draft Board'!BE16</f>
        <v/>
      </c>
      <c r="AV14" s="111" t="e">
        <f>VLOOKUP(AU14,RB!$B:$Y,2,0)</f>
        <v>#VALUE!</v>
      </c>
      <c r="AW14" s="111" t="e">
        <f>VLOOKUP(AV14,Settings!$M$2:$N$33,2,0)</f>
        <v>#VALUE!</v>
      </c>
      <c r="AX14" s="184" t="str">
        <f>+IF((AU14=""),"",(AY14-Settings!$AA$4))</f>
        <v/>
      </c>
      <c r="AY14" s="203" t="str">
        <f>IF((AU14=""),"",VLOOKUP(AU14,RB!$B:$Y,24,0))</f>
        <v/>
      </c>
      <c r="AZ14" s="117" t="str">
        <f>'Draft Board'!BK16</f>
        <v/>
      </c>
      <c r="BA14" s="111" t="e">
        <f>VLOOKUP(AZ14,RB!$B:$Y,2,0)</f>
        <v>#VALUE!</v>
      </c>
      <c r="BB14" s="111" t="e">
        <f>VLOOKUP(BA14,Settings!$M$2:$N$33,2,0)</f>
        <v>#VALUE!</v>
      </c>
      <c r="BC14" s="184" t="str">
        <f>+IF((AZ14=""),"",(BD14-Settings!$AA$4))</f>
        <v/>
      </c>
      <c r="BD14" s="203" t="str">
        <f>IF((AZ14=""),"",VLOOKUP(AZ14,RB!$B:$Y,24,0))</f>
        <v/>
      </c>
    </row>
    <row r="15" spans="1:56" ht="12.75" customHeight="1">
      <c r="A15" s="31" t="s">
        <v>215</v>
      </c>
      <c r="B15" s="117" t="str">
        <f>'Draft Board'!C18</f>
        <v/>
      </c>
      <c r="C15" s="111" t="e">
        <f>VLOOKUP(B15,WR!$B:$W,2,0)</f>
        <v>#VALUE!</v>
      </c>
      <c r="D15" s="111" t="e">
        <f>VLOOKUP(C15,Settings!$M$2:$N$33,2,0)</f>
        <v>#VALUE!</v>
      </c>
      <c r="E15" s="184" t="str">
        <f>+IF((B15=""),"",(F15-Settings!$AA$5))</f>
        <v/>
      </c>
      <c r="F15" s="203" t="str">
        <f>IF((B15=""),"",VLOOKUP(B15,WR!$B:$W,22,0))</f>
        <v/>
      </c>
      <c r="G15" s="117" t="str">
        <f>'Draft Board'!I18</f>
        <v/>
      </c>
      <c r="H15" s="111" t="e">
        <f>VLOOKUP(G15,WR!$B:$W,2,0)</f>
        <v>#VALUE!</v>
      </c>
      <c r="I15" s="111" t="e">
        <f>VLOOKUP(H15,Settings!$M$2:$N$33,2,0)</f>
        <v>#VALUE!</v>
      </c>
      <c r="J15" s="184" t="str">
        <f>+IF((G15=""),"",(K15-Settings!$AA$5))</f>
        <v/>
      </c>
      <c r="K15" s="203" t="str">
        <f>IF((G15=""),"",VLOOKUP(G15,WR!$B:$W,22,0))</f>
        <v/>
      </c>
      <c r="L15" s="117" t="str">
        <f>'Draft Board'!O18</f>
        <v/>
      </c>
      <c r="M15" s="111" t="e">
        <f>VLOOKUP(L15,WR!$B:$W,2,0)</f>
        <v>#VALUE!</v>
      </c>
      <c r="N15" s="111" t="e">
        <f>VLOOKUP(M15,Settings!$M$2:$N$33,2,0)</f>
        <v>#VALUE!</v>
      </c>
      <c r="O15" s="184" t="str">
        <f>+IF((L15=""),"",(P15-Settings!$AA$5))</f>
        <v/>
      </c>
      <c r="P15" s="203" t="str">
        <f>IF((L15=""),"",VLOOKUP(L15,WR!$B:$W,22,0))</f>
        <v/>
      </c>
      <c r="Q15" s="117" t="str">
        <f>'Draft Board'!U18</f>
        <v/>
      </c>
      <c r="R15" s="111" t="e">
        <f>VLOOKUP(Q15,WR!$B:$W,2,0)</f>
        <v>#VALUE!</v>
      </c>
      <c r="S15" s="111" t="e">
        <f>VLOOKUP(R15,Settings!$M$2:$N$33,2,0)</f>
        <v>#VALUE!</v>
      </c>
      <c r="T15" s="184" t="str">
        <f>+IF((Q15=""),"",(U15-Settings!$AA$5))</f>
        <v/>
      </c>
      <c r="U15" s="203" t="str">
        <f>IF((Q15=""),"",VLOOKUP(Q15,WR!$B:$W,22,0))</f>
        <v/>
      </c>
      <c r="V15" s="117" t="str">
        <f>'Draft Board'!AA18</f>
        <v/>
      </c>
      <c r="W15" s="111" t="e">
        <f>VLOOKUP(V15,WR!$B:$W,2,0)</f>
        <v>#VALUE!</v>
      </c>
      <c r="X15" s="111" t="e">
        <f>VLOOKUP(W15,Settings!$M$2:$N$33,2,0)</f>
        <v>#VALUE!</v>
      </c>
      <c r="Y15" s="184" t="str">
        <f>+IF((V15=""),"",(Z15-Settings!$AA$5))</f>
        <v/>
      </c>
      <c r="Z15" s="203" t="str">
        <f>IF((V15=""),"",VLOOKUP(V15,WR!$B:$W,22,0))</f>
        <v/>
      </c>
      <c r="AA15" s="117" t="str">
        <f>'Draft Board'!AG18</f>
        <v/>
      </c>
      <c r="AB15" s="111" t="e">
        <f>VLOOKUP(AA15,WR!$B:$W,2,0)</f>
        <v>#VALUE!</v>
      </c>
      <c r="AC15" s="111" t="e">
        <f>VLOOKUP(AB15,Settings!$M$2:$N$33,2,0)</f>
        <v>#VALUE!</v>
      </c>
      <c r="AD15" s="184" t="str">
        <f>+IF((AA15=""),"",(AE15-Settings!$AA$5))</f>
        <v/>
      </c>
      <c r="AE15" s="203" t="str">
        <f>IF((AA15=""),"",VLOOKUP(AA15,WR!$B:$W,22,0))</f>
        <v/>
      </c>
      <c r="AF15" s="117" t="str">
        <f>'Draft Board'!AM18</f>
        <v/>
      </c>
      <c r="AG15" s="111" t="e">
        <f>VLOOKUP(AF15,WR!$B:$W,2,0)</f>
        <v>#VALUE!</v>
      </c>
      <c r="AH15" s="111" t="e">
        <f>VLOOKUP(AG15,Settings!$M$2:$N$33,2,0)</f>
        <v>#VALUE!</v>
      </c>
      <c r="AI15" s="184" t="str">
        <f>+IF((AF15=""),"",(AJ15-Settings!$AA$5))</f>
        <v/>
      </c>
      <c r="AJ15" s="203" t="str">
        <f>IF((AF15=""),"",VLOOKUP(AF15,WR!$B:$W,22,0))</f>
        <v/>
      </c>
      <c r="AK15" s="117" t="str">
        <f>'Draft Board'!AS18</f>
        <v/>
      </c>
      <c r="AL15" s="111" t="e">
        <f>VLOOKUP(AK15,WR!$B:$W,2,0)</f>
        <v>#VALUE!</v>
      </c>
      <c r="AM15" s="111" t="e">
        <f>VLOOKUP(AL15,Settings!$M$2:$N$33,2,0)</f>
        <v>#VALUE!</v>
      </c>
      <c r="AN15" s="184" t="str">
        <f>+IF((AK15=""),"",(AO15-Settings!$AA$5))</f>
        <v/>
      </c>
      <c r="AO15" s="203" t="str">
        <f>IF((AK15=""),"",VLOOKUP(AK15,WR!$B:$W,22,0))</f>
        <v/>
      </c>
      <c r="AP15" s="117" t="str">
        <f>'Draft Board'!AY18</f>
        <v/>
      </c>
      <c r="AQ15" s="111" t="e">
        <f>VLOOKUP(AP15,WR!$B:$W,2,0)</f>
        <v>#VALUE!</v>
      </c>
      <c r="AR15" s="111" t="e">
        <f>VLOOKUP(AQ15,Settings!$M$2:$N$33,2,0)</f>
        <v>#VALUE!</v>
      </c>
      <c r="AS15" s="184" t="str">
        <f>+IF((AP15=""),"",(AT15-Settings!$AA$5))</f>
        <v/>
      </c>
      <c r="AT15" s="203" t="str">
        <f>IF((AP15=""),"",VLOOKUP(AP15,WR!$B:$W,22,0))</f>
        <v/>
      </c>
      <c r="AU15" s="117" t="str">
        <f>'Draft Board'!BE18</f>
        <v/>
      </c>
      <c r="AV15" s="111" t="e">
        <f>VLOOKUP(AU15,WR!$B:$W,2,0)</f>
        <v>#VALUE!</v>
      </c>
      <c r="AW15" s="111" t="e">
        <f>VLOOKUP(AV15,Settings!$M$2:$N$33,2,0)</f>
        <v>#VALUE!</v>
      </c>
      <c r="AX15" s="184" t="str">
        <f>+IF((AU15=""),"",(AY15-Settings!$AA$5))</f>
        <v/>
      </c>
      <c r="AY15" s="203" t="str">
        <f>IF((AU15=""),"",VLOOKUP(AU15,WR!$B:$W,22,0))</f>
        <v/>
      </c>
      <c r="AZ15" s="117" t="str">
        <f>'Draft Board'!BK18</f>
        <v/>
      </c>
      <c r="BA15" s="111" t="e">
        <f>VLOOKUP(AZ15,WR!$B:$W,2,0)</f>
        <v>#VALUE!</v>
      </c>
      <c r="BB15" s="111" t="e">
        <f>VLOOKUP(BA15,Settings!$M$2:$N$33,2,0)</f>
        <v>#VALUE!</v>
      </c>
      <c r="BC15" s="184" t="str">
        <f>+IF((AZ15=""),"",(BD15-Settings!$AA$5))</f>
        <v/>
      </c>
      <c r="BD15" s="111" t="str">
        <f>IF((AZ15=""),"",VLOOKUP(AZ15,WR!$B:$W,22,0))</f>
        <v/>
      </c>
    </row>
    <row r="16" spans="1:56" ht="12.75" customHeight="1">
      <c r="A16" s="31" t="s">
        <v>216</v>
      </c>
      <c r="B16" s="117" t="str">
        <f>'Draft Board'!C19</f>
        <v/>
      </c>
      <c r="C16" s="111" t="e">
        <f>VLOOKUP(B16,WR!$B:$W,2,0)</f>
        <v>#VALUE!</v>
      </c>
      <c r="D16" s="111" t="e">
        <f>VLOOKUP(C16,Settings!$M$2:$N$33,2,0)</f>
        <v>#VALUE!</v>
      </c>
      <c r="E16" s="184" t="str">
        <f>+IF((B16=""),"",(F16-Settings!$AA$5))</f>
        <v/>
      </c>
      <c r="F16" s="203" t="str">
        <f>IF((B16=""),"",VLOOKUP(B16,WR!$B:$W,22,0))</f>
        <v/>
      </c>
      <c r="G16" s="117" t="str">
        <f>'Draft Board'!I19</f>
        <v/>
      </c>
      <c r="H16" s="111" t="e">
        <f>VLOOKUP(G16,WR!$B:$W,2,0)</f>
        <v>#VALUE!</v>
      </c>
      <c r="I16" s="111" t="e">
        <f>VLOOKUP(H16,Settings!$M$2:$N$33,2,0)</f>
        <v>#VALUE!</v>
      </c>
      <c r="J16" s="184" t="str">
        <f>+IF((G16=""),"",(K16-Settings!$AA$5))</f>
        <v/>
      </c>
      <c r="K16" s="203" t="str">
        <f>IF((G16=""),"",VLOOKUP(G16,WR!$B:$W,22,0))</f>
        <v/>
      </c>
      <c r="L16" s="117" t="str">
        <f>'Draft Board'!O19</f>
        <v/>
      </c>
      <c r="M16" s="111" t="e">
        <f>VLOOKUP(L16,WR!$B:$W,2,0)</f>
        <v>#VALUE!</v>
      </c>
      <c r="N16" s="111" t="e">
        <f>VLOOKUP(M16,Settings!$M$2:$N$33,2,0)</f>
        <v>#VALUE!</v>
      </c>
      <c r="O16" s="184" t="str">
        <f>+IF((L16=""),"",(P16-Settings!$AA$5))</f>
        <v/>
      </c>
      <c r="P16" s="203" t="str">
        <f>IF((L16=""),"",VLOOKUP(L16,WR!$B:$W,22,0))</f>
        <v/>
      </c>
      <c r="Q16" s="117" t="str">
        <f>'Draft Board'!U19</f>
        <v/>
      </c>
      <c r="R16" s="111" t="e">
        <f>VLOOKUP(Q16,WR!$B:$W,2,0)</f>
        <v>#VALUE!</v>
      </c>
      <c r="S16" s="111" t="e">
        <f>VLOOKUP(R16,Settings!$M$2:$N$33,2,0)</f>
        <v>#VALUE!</v>
      </c>
      <c r="T16" s="184" t="str">
        <f>+IF((Q16=""),"",(U16-Settings!$AA$5))</f>
        <v/>
      </c>
      <c r="U16" s="203" t="str">
        <f>IF((Q16=""),"",VLOOKUP(Q16,WR!$B:$W,22,0))</f>
        <v/>
      </c>
      <c r="V16" s="117" t="str">
        <f>'Draft Board'!AA19</f>
        <v/>
      </c>
      <c r="W16" s="111" t="e">
        <f>VLOOKUP(V16,WR!$B:$W,2,0)</f>
        <v>#VALUE!</v>
      </c>
      <c r="X16" s="111" t="e">
        <f>VLOOKUP(W16,Settings!$M$2:$N$33,2,0)</f>
        <v>#VALUE!</v>
      </c>
      <c r="Y16" s="184" t="str">
        <f>+IF((V16=""),"",(Z16-Settings!$AA$5))</f>
        <v/>
      </c>
      <c r="Z16" s="203" t="str">
        <f>IF((V16=""),"",VLOOKUP(V16,WR!$B:$W,22,0))</f>
        <v/>
      </c>
      <c r="AA16" s="117" t="str">
        <f>'Draft Board'!AG19</f>
        <v/>
      </c>
      <c r="AB16" s="111" t="e">
        <f>VLOOKUP(AA16,WR!$B:$W,2,0)</f>
        <v>#VALUE!</v>
      </c>
      <c r="AC16" s="111" t="e">
        <f>VLOOKUP(AB16,Settings!$M$2:$N$33,2,0)</f>
        <v>#VALUE!</v>
      </c>
      <c r="AD16" s="184" t="str">
        <f>+IF((AA16=""),"",(AE16-Settings!$AA$5))</f>
        <v/>
      </c>
      <c r="AE16" s="203" t="str">
        <f>IF((AA16=""),"",VLOOKUP(AA16,WR!$B:$W,22,0))</f>
        <v/>
      </c>
      <c r="AF16" s="117" t="str">
        <f>'Draft Board'!AM19</f>
        <v/>
      </c>
      <c r="AG16" s="111" t="e">
        <f>VLOOKUP(AF16,WR!$B:$W,2,0)</f>
        <v>#VALUE!</v>
      </c>
      <c r="AH16" s="111" t="e">
        <f>VLOOKUP(AG16,Settings!$M$2:$N$33,2,0)</f>
        <v>#VALUE!</v>
      </c>
      <c r="AI16" s="184" t="str">
        <f>+IF((AF16=""),"",(AJ16-Settings!$AA$5))</f>
        <v/>
      </c>
      <c r="AJ16" s="203" t="str">
        <f>IF((AF16=""),"",VLOOKUP(AF16,WR!$B:$W,22,0))</f>
        <v/>
      </c>
      <c r="AK16" s="117" t="str">
        <f>'Draft Board'!AS19</f>
        <v/>
      </c>
      <c r="AL16" s="111" t="e">
        <f>VLOOKUP(AK16,WR!$B:$W,2,0)</f>
        <v>#VALUE!</v>
      </c>
      <c r="AM16" s="111" t="e">
        <f>VLOOKUP(AL16,Settings!$M$2:$N$33,2,0)</f>
        <v>#VALUE!</v>
      </c>
      <c r="AN16" s="184" t="str">
        <f>+IF((AK16=""),"",(AO16-Settings!$AA$5))</f>
        <v/>
      </c>
      <c r="AO16" s="203" t="str">
        <f>IF((AK16=""),"",VLOOKUP(AK16,WR!$B:$W,22,0))</f>
        <v/>
      </c>
      <c r="AP16" s="117" t="str">
        <f>'Draft Board'!AY19</f>
        <v/>
      </c>
      <c r="AQ16" s="111" t="e">
        <f>VLOOKUP(AP16,WR!$B:$W,2,0)</f>
        <v>#VALUE!</v>
      </c>
      <c r="AR16" s="111" t="e">
        <f>VLOOKUP(AQ16,Settings!$M$2:$N$33,2,0)</f>
        <v>#VALUE!</v>
      </c>
      <c r="AS16" s="184" t="str">
        <f>+IF((AP16=""),"",(AT16-Settings!$AA$5))</f>
        <v/>
      </c>
      <c r="AT16" s="203" t="str">
        <f>IF((AP16=""),"",VLOOKUP(AP16,WR!$B:$W,22,0))</f>
        <v/>
      </c>
      <c r="AU16" s="117" t="str">
        <f>'Draft Board'!BE19</f>
        <v/>
      </c>
      <c r="AV16" s="111" t="e">
        <f>VLOOKUP(AU16,WR!$B:$W,2,0)</f>
        <v>#VALUE!</v>
      </c>
      <c r="AW16" s="111" t="e">
        <f>VLOOKUP(AV16,Settings!$M$2:$N$33,2,0)</f>
        <v>#VALUE!</v>
      </c>
      <c r="AX16" s="184" t="str">
        <f>+IF((AU16=""),"",(AY16-Settings!$AA$5))</f>
        <v/>
      </c>
      <c r="AY16" s="203" t="str">
        <f>IF((AU16=""),"",VLOOKUP(AU16,WR!$B:$W,22,0))</f>
        <v/>
      </c>
      <c r="AZ16" s="117" t="str">
        <f>'Draft Board'!BK19</f>
        <v/>
      </c>
      <c r="BA16" s="111" t="e">
        <f>VLOOKUP(AZ16,WR!$B:$W,2,0)</f>
        <v>#VALUE!</v>
      </c>
      <c r="BB16" s="111" t="e">
        <f>VLOOKUP(BA16,Settings!$M$2:$N$33,2,0)</f>
        <v>#VALUE!</v>
      </c>
      <c r="BC16" s="184" t="str">
        <f>+IF((AZ16=""),"",(BD16-Settings!$AA$5))</f>
        <v/>
      </c>
      <c r="BD16" s="111" t="str">
        <f>IF((AZ16=""),"",VLOOKUP(AZ16,WR!$B:$W,22,0))</f>
        <v/>
      </c>
    </row>
    <row r="17" spans="1:56" ht="12.75" customHeight="1">
      <c r="A17" s="31" t="s">
        <v>217</v>
      </c>
      <c r="B17" s="117" t="str">
        <f>'Draft Board'!C20</f>
        <v/>
      </c>
      <c r="C17" s="111" t="e">
        <f>VLOOKUP(B17,WR!$B:$W,2,0)</f>
        <v>#VALUE!</v>
      </c>
      <c r="D17" s="111" t="e">
        <f>VLOOKUP(C17,Settings!$M$2:$N$33,2,0)</f>
        <v>#VALUE!</v>
      </c>
      <c r="E17" s="184" t="str">
        <f>+IF((B17=""),"",(F17-Settings!$AA$5))</f>
        <v/>
      </c>
      <c r="F17" s="203" t="str">
        <f>IF((B17=""),"",VLOOKUP(B17,WR!$B:$W,22,0))</f>
        <v/>
      </c>
      <c r="G17" s="117" t="str">
        <f>'Draft Board'!I20</f>
        <v/>
      </c>
      <c r="H17" s="111" t="e">
        <f>VLOOKUP(G17,WR!$B:$W,2,0)</f>
        <v>#VALUE!</v>
      </c>
      <c r="I17" s="111" t="e">
        <f>VLOOKUP(H17,Settings!$M$2:$N$33,2,0)</f>
        <v>#VALUE!</v>
      </c>
      <c r="J17" s="184" t="str">
        <f>+IF((G17=""),"",(K17-Settings!$AA$5))</f>
        <v/>
      </c>
      <c r="K17" s="203" t="str">
        <f>IF((G17=""),"",VLOOKUP(G17,WR!$B:$W,22,0))</f>
        <v/>
      </c>
      <c r="L17" s="117" t="str">
        <f>'Draft Board'!O20</f>
        <v/>
      </c>
      <c r="M17" s="111" t="e">
        <f>VLOOKUP(L17,WR!$B:$W,2,0)</f>
        <v>#VALUE!</v>
      </c>
      <c r="N17" s="111" t="e">
        <f>VLOOKUP(M17,Settings!$M$2:$N$33,2,0)</f>
        <v>#VALUE!</v>
      </c>
      <c r="O17" s="184" t="str">
        <f>+IF((L17=""),"",(P17-Settings!$AA$5))</f>
        <v/>
      </c>
      <c r="P17" s="203" t="str">
        <f>IF((L17=""),"",VLOOKUP(L17,WR!$B:$W,22,0))</f>
        <v/>
      </c>
      <c r="Q17" s="117" t="str">
        <f>'Draft Board'!U20</f>
        <v/>
      </c>
      <c r="R17" s="111" t="e">
        <f>VLOOKUP(Q17,WR!$B:$W,2,0)</f>
        <v>#VALUE!</v>
      </c>
      <c r="S17" s="111" t="e">
        <f>VLOOKUP(R17,Settings!$M$2:$N$33,2,0)</f>
        <v>#VALUE!</v>
      </c>
      <c r="T17" s="184" t="str">
        <f>+IF((Q17=""),"",(U17-Settings!$AA$5))</f>
        <v/>
      </c>
      <c r="U17" s="203" t="str">
        <f>IF((Q17=""),"",VLOOKUP(Q17,WR!$B:$W,22,0))</f>
        <v/>
      </c>
      <c r="V17" s="117" t="str">
        <f>'Draft Board'!AA20</f>
        <v/>
      </c>
      <c r="W17" s="111" t="e">
        <f>VLOOKUP(V17,WR!$B:$W,2,0)</f>
        <v>#VALUE!</v>
      </c>
      <c r="X17" s="111" t="e">
        <f>VLOOKUP(W17,Settings!$M$2:$N$33,2,0)</f>
        <v>#VALUE!</v>
      </c>
      <c r="Y17" s="184" t="str">
        <f>+IF((V17=""),"",(Z17-Settings!$AA$5))</f>
        <v/>
      </c>
      <c r="Z17" s="203" t="str">
        <f>IF((V17=""),"",VLOOKUP(V17,WR!$B:$W,22,0))</f>
        <v/>
      </c>
      <c r="AA17" s="117" t="str">
        <f>'Draft Board'!AG20</f>
        <v/>
      </c>
      <c r="AB17" s="111" t="e">
        <f>VLOOKUP(AA17,WR!$B:$W,2,0)</f>
        <v>#VALUE!</v>
      </c>
      <c r="AC17" s="111" t="e">
        <f>VLOOKUP(AB17,Settings!$M$2:$N$33,2,0)</f>
        <v>#VALUE!</v>
      </c>
      <c r="AD17" s="184" t="str">
        <f>+IF((AA17=""),"",(AE17-Settings!$AA$5))</f>
        <v/>
      </c>
      <c r="AE17" s="203" t="str">
        <f>IF((AA17=""),"",VLOOKUP(AA17,WR!$B:$W,22,0))</f>
        <v/>
      </c>
      <c r="AF17" s="117" t="str">
        <f>'Draft Board'!AM20</f>
        <v/>
      </c>
      <c r="AG17" s="111" t="e">
        <f>VLOOKUP(AF17,WR!$B:$W,2,0)</f>
        <v>#VALUE!</v>
      </c>
      <c r="AH17" s="111" t="e">
        <f>VLOOKUP(AG17,Settings!$M$2:$N$33,2,0)</f>
        <v>#VALUE!</v>
      </c>
      <c r="AI17" s="184" t="str">
        <f>+IF((AF17=""),"",(AJ17-Settings!$AA$5))</f>
        <v/>
      </c>
      <c r="AJ17" s="203" t="str">
        <f>IF((AF17=""),"",VLOOKUP(AF17,WR!$B:$W,22,0))</f>
        <v/>
      </c>
      <c r="AK17" s="117" t="str">
        <f>'Draft Board'!AS20</f>
        <v/>
      </c>
      <c r="AL17" s="111" t="e">
        <f>VLOOKUP(AK17,WR!$B:$W,2,0)</f>
        <v>#VALUE!</v>
      </c>
      <c r="AM17" s="111" t="e">
        <f>VLOOKUP(AL17,Settings!$M$2:$N$33,2,0)</f>
        <v>#VALUE!</v>
      </c>
      <c r="AN17" s="184" t="str">
        <f>+IF((AK17=""),"",(AO17-Settings!$AA$5))</f>
        <v/>
      </c>
      <c r="AO17" s="203" t="str">
        <f>IF((AK17=""),"",VLOOKUP(AK17,WR!$B:$W,22,0))</f>
        <v/>
      </c>
      <c r="AP17" s="117" t="str">
        <f>'Draft Board'!AY20</f>
        <v/>
      </c>
      <c r="AQ17" s="111" t="e">
        <f>VLOOKUP(AP17,WR!$B:$W,2,0)</f>
        <v>#VALUE!</v>
      </c>
      <c r="AR17" s="111" t="e">
        <f>VLOOKUP(AQ17,Settings!$M$2:$N$33,2,0)</f>
        <v>#VALUE!</v>
      </c>
      <c r="AS17" s="184" t="str">
        <f>+IF((AP17=""),"",(AT17-Settings!$AA$5))</f>
        <v/>
      </c>
      <c r="AT17" s="203" t="str">
        <f>IF((AP17=""),"",VLOOKUP(AP17,WR!$B:$W,22,0))</f>
        <v/>
      </c>
      <c r="AU17" s="117" t="str">
        <f>'Draft Board'!BE20</f>
        <v/>
      </c>
      <c r="AV17" s="111" t="e">
        <f>VLOOKUP(AU17,WR!$B:$W,2,0)</f>
        <v>#VALUE!</v>
      </c>
      <c r="AW17" s="111" t="e">
        <f>VLOOKUP(AV17,Settings!$M$2:$N$33,2,0)</f>
        <v>#VALUE!</v>
      </c>
      <c r="AX17" s="184" t="str">
        <f>+IF((AU17=""),"",(AY17-Settings!$AA$5))</f>
        <v/>
      </c>
      <c r="AY17" s="203" t="str">
        <f>IF((AU17=""),"",VLOOKUP(AU17,WR!$B:$W,22,0))</f>
        <v/>
      </c>
      <c r="AZ17" s="117" t="str">
        <f>'Draft Board'!BK20</f>
        <v/>
      </c>
      <c r="BA17" s="111" t="e">
        <f>VLOOKUP(AZ17,WR!$B:$W,2,0)</f>
        <v>#VALUE!</v>
      </c>
      <c r="BB17" s="111" t="e">
        <f>VLOOKUP(BA17,Settings!$M$2:$N$33,2,0)</f>
        <v>#VALUE!</v>
      </c>
      <c r="BC17" s="184" t="str">
        <f>+IF((AZ17=""),"",(BD17-Settings!$AA$5))</f>
        <v/>
      </c>
      <c r="BD17" s="111" t="str">
        <f>IF((AZ17=""),"",VLOOKUP(AZ17,WR!$B:$W,22,0))</f>
        <v/>
      </c>
    </row>
    <row r="18" spans="1:56" ht="12.75" customHeight="1">
      <c r="A18" s="31" t="s">
        <v>218</v>
      </c>
      <c r="B18" s="117" t="str">
        <f>'Draft Board'!C21</f>
        <v/>
      </c>
      <c r="C18" s="111" t="e">
        <f>VLOOKUP(B18,WR!$B:$W,2,0)</f>
        <v>#VALUE!</v>
      </c>
      <c r="D18" s="111" t="e">
        <f>VLOOKUP(C18,Settings!$M$2:$N$33,2,0)</f>
        <v>#VALUE!</v>
      </c>
      <c r="E18" s="184" t="str">
        <f>+IF((B18=""),"",(F18-Settings!$AA$5))</f>
        <v/>
      </c>
      <c r="F18" s="203" t="str">
        <f>IF((B18=""),"",VLOOKUP(B18,WR!$B:$W,22,0))</f>
        <v/>
      </c>
      <c r="G18" s="117" t="str">
        <f>'Draft Board'!I21</f>
        <v/>
      </c>
      <c r="H18" s="111" t="e">
        <f>VLOOKUP(G18,WR!$B:$W,2,0)</f>
        <v>#VALUE!</v>
      </c>
      <c r="I18" s="111" t="e">
        <f>VLOOKUP(H18,Settings!$M$2:$N$33,2,0)</f>
        <v>#VALUE!</v>
      </c>
      <c r="J18" s="184" t="str">
        <f>+IF((G18=""),"",(K18-Settings!$AA$5))</f>
        <v/>
      </c>
      <c r="K18" s="203" t="str">
        <f>IF((G18=""),"",VLOOKUP(G18,WR!$B:$W,22,0))</f>
        <v/>
      </c>
      <c r="L18" s="117" t="str">
        <f>'Draft Board'!O21</f>
        <v/>
      </c>
      <c r="M18" s="111" t="e">
        <f>VLOOKUP(L18,WR!$B:$W,2,0)</f>
        <v>#VALUE!</v>
      </c>
      <c r="N18" s="111" t="e">
        <f>VLOOKUP(M18,Settings!$M$2:$N$33,2,0)</f>
        <v>#VALUE!</v>
      </c>
      <c r="O18" s="184" t="str">
        <f>+IF((L18=""),"",(P18-Settings!$AA$5))</f>
        <v/>
      </c>
      <c r="P18" s="203" t="str">
        <f>IF((L18=""),"",VLOOKUP(L18,WR!$B:$W,22,0))</f>
        <v/>
      </c>
      <c r="Q18" s="117" t="str">
        <f>'Draft Board'!U21</f>
        <v/>
      </c>
      <c r="R18" s="111" t="e">
        <f>VLOOKUP(Q18,WR!$B:$W,2,0)</f>
        <v>#VALUE!</v>
      </c>
      <c r="S18" s="111" t="e">
        <f>VLOOKUP(R18,Settings!$M$2:$N$33,2,0)</f>
        <v>#VALUE!</v>
      </c>
      <c r="T18" s="184" t="str">
        <f>+IF((Q18=""),"",(U18-Settings!$AA$5))</f>
        <v/>
      </c>
      <c r="U18" s="203" t="str">
        <f>IF((Q18=""),"",VLOOKUP(Q18,WR!$B:$W,22,0))</f>
        <v/>
      </c>
      <c r="V18" s="117" t="str">
        <f>'Draft Board'!AA21</f>
        <v/>
      </c>
      <c r="W18" s="111" t="e">
        <f>VLOOKUP(V18,WR!$B:$W,2,0)</f>
        <v>#VALUE!</v>
      </c>
      <c r="X18" s="111" t="e">
        <f>VLOOKUP(W18,Settings!$M$2:$N$33,2,0)</f>
        <v>#VALUE!</v>
      </c>
      <c r="Y18" s="184" t="str">
        <f>+IF((V18=""),"",(Z18-Settings!$AA$5))</f>
        <v/>
      </c>
      <c r="Z18" s="203" t="str">
        <f>IF((V18=""),"",VLOOKUP(V18,WR!$B:$W,22,0))</f>
        <v/>
      </c>
      <c r="AA18" s="117" t="str">
        <f>'Draft Board'!AG21</f>
        <v/>
      </c>
      <c r="AB18" s="111" t="e">
        <f>VLOOKUP(AA18,WR!$B:$W,2,0)</f>
        <v>#VALUE!</v>
      </c>
      <c r="AC18" s="111" t="e">
        <f>VLOOKUP(AB18,Settings!$M$2:$N$33,2,0)</f>
        <v>#VALUE!</v>
      </c>
      <c r="AD18" s="184" t="str">
        <f>+IF((AA18=""),"",(AE18-Settings!$AA$5))</f>
        <v/>
      </c>
      <c r="AE18" s="203" t="str">
        <f>IF((AA18=""),"",VLOOKUP(AA18,WR!$B:$W,22,0))</f>
        <v/>
      </c>
      <c r="AF18" s="117" t="str">
        <f>'Draft Board'!AM21</f>
        <v/>
      </c>
      <c r="AG18" s="111" t="e">
        <f>VLOOKUP(AF18,WR!$B:$W,2,0)</f>
        <v>#VALUE!</v>
      </c>
      <c r="AH18" s="111" t="e">
        <f>VLOOKUP(AG18,Settings!$M$2:$N$33,2,0)</f>
        <v>#VALUE!</v>
      </c>
      <c r="AI18" s="184" t="str">
        <f>+IF((AF18=""),"",(AJ18-Settings!$AA$5))</f>
        <v/>
      </c>
      <c r="AJ18" s="203" t="str">
        <f>IF((AF18=""),"",VLOOKUP(AF18,WR!$B:$W,22,0))</f>
        <v/>
      </c>
      <c r="AK18" s="117" t="str">
        <f>'Draft Board'!AS21</f>
        <v/>
      </c>
      <c r="AL18" s="111" t="e">
        <f>VLOOKUP(AK18,WR!$B:$W,2,0)</f>
        <v>#VALUE!</v>
      </c>
      <c r="AM18" s="111" t="e">
        <f>VLOOKUP(AL18,Settings!$M$2:$N$33,2,0)</f>
        <v>#VALUE!</v>
      </c>
      <c r="AN18" s="184" t="str">
        <f>+IF((AK18=""),"",(AO18-Settings!$AA$5))</f>
        <v/>
      </c>
      <c r="AO18" s="203" t="str">
        <f>IF((AK18=""),"",VLOOKUP(AK18,WR!$B:$W,22,0))</f>
        <v/>
      </c>
      <c r="AP18" s="117" t="str">
        <f>'Draft Board'!AY21</f>
        <v/>
      </c>
      <c r="AQ18" s="111" t="e">
        <f>VLOOKUP(AP18,WR!$B:$W,2,0)</f>
        <v>#VALUE!</v>
      </c>
      <c r="AR18" s="111" t="e">
        <f>VLOOKUP(AQ18,Settings!$M$2:$N$33,2,0)</f>
        <v>#VALUE!</v>
      </c>
      <c r="AS18" s="184" t="str">
        <f>+IF((AP18=""),"",(AT18-Settings!$AA$5))</f>
        <v/>
      </c>
      <c r="AT18" s="203" t="str">
        <f>IF((AP18=""),"",VLOOKUP(AP18,WR!$B:$W,22,0))</f>
        <v/>
      </c>
      <c r="AU18" s="117" t="str">
        <f>'Draft Board'!BE21</f>
        <v/>
      </c>
      <c r="AV18" s="111" t="e">
        <f>VLOOKUP(AU18,WR!$B:$W,2,0)</f>
        <v>#VALUE!</v>
      </c>
      <c r="AW18" s="111" t="e">
        <f>VLOOKUP(AV18,Settings!$M$2:$N$33,2,0)</f>
        <v>#VALUE!</v>
      </c>
      <c r="AX18" s="184" t="str">
        <f>+IF((AU18=""),"",(AY18-Settings!$AA$5))</f>
        <v/>
      </c>
      <c r="AY18" s="203" t="str">
        <f>IF((AU18=""),"",VLOOKUP(AU18,WR!$B:$W,22,0))</f>
        <v/>
      </c>
      <c r="AZ18" s="117" t="str">
        <f>'Draft Board'!BK21</f>
        <v/>
      </c>
      <c r="BA18" s="111" t="e">
        <f>VLOOKUP(AZ18,WR!$B:$W,2,0)</f>
        <v>#VALUE!</v>
      </c>
      <c r="BB18" s="111" t="e">
        <f>VLOOKUP(BA18,Settings!$M$2:$N$33,2,0)</f>
        <v>#VALUE!</v>
      </c>
      <c r="BC18" s="184" t="str">
        <f>+IF((AZ18=""),"",(BD18-Settings!$AA$5))</f>
        <v/>
      </c>
      <c r="BD18" s="111" t="str">
        <f>IF((AZ18=""),"",VLOOKUP(AZ18,WR!$B:$W,22,0))</f>
        <v/>
      </c>
    </row>
    <row r="19" spans="1:56" ht="12.75" customHeight="1">
      <c r="A19" s="31" t="s">
        <v>219</v>
      </c>
      <c r="B19" s="117" t="str">
        <f>'Draft Board'!C22</f>
        <v/>
      </c>
      <c r="C19" s="111" t="e">
        <f>VLOOKUP(B19,WR!$B:$W,2,0)</f>
        <v>#VALUE!</v>
      </c>
      <c r="D19" s="111" t="e">
        <f>VLOOKUP(C19,Settings!$M$2:$N$33,2,0)</f>
        <v>#VALUE!</v>
      </c>
      <c r="E19" s="184" t="str">
        <f>+IF((B19=""),"",(F19-Settings!$AA$5))</f>
        <v/>
      </c>
      <c r="F19" s="203" t="str">
        <f>IF((B19=""),"",VLOOKUP(B19,WR!$B:$W,22,0))</f>
        <v/>
      </c>
      <c r="G19" s="117" t="str">
        <f>'Draft Board'!I22</f>
        <v/>
      </c>
      <c r="H19" s="111" t="e">
        <f>VLOOKUP(G19,WR!$B:$W,2,0)</f>
        <v>#VALUE!</v>
      </c>
      <c r="I19" s="111" t="e">
        <f>VLOOKUP(H19,Settings!$M$2:$N$33,2,0)</f>
        <v>#VALUE!</v>
      </c>
      <c r="J19" s="184" t="str">
        <f>+IF((G19=""),"",(K19-Settings!$AA$5))</f>
        <v/>
      </c>
      <c r="K19" s="203" t="str">
        <f>IF((G19=""),"",VLOOKUP(G19,WR!$B:$W,22,0))</f>
        <v/>
      </c>
      <c r="L19" s="117" t="str">
        <f>'Draft Board'!O22</f>
        <v/>
      </c>
      <c r="M19" s="111" t="e">
        <f>VLOOKUP(L19,WR!$B:$W,2,0)</f>
        <v>#VALUE!</v>
      </c>
      <c r="N19" s="111" t="e">
        <f>VLOOKUP(M19,Settings!$M$2:$N$33,2,0)</f>
        <v>#VALUE!</v>
      </c>
      <c r="O19" s="184" t="str">
        <f>+IF((L19=""),"",(P19-Settings!$AA$5))</f>
        <v/>
      </c>
      <c r="P19" s="203" t="str">
        <f>IF((L19=""),"",VLOOKUP(L19,WR!$B:$W,22,0))</f>
        <v/>
      </c>
      <c r="Q19" s="117" t="str">
        <f>'Draft Board'!U22</f>
        <v/>
      </c>
      <c r="R19" s="111" t="e">
        <f>VLOOKUP(Q19,WR!$B:$W,2,0)</f>
        <v>#VALUE!</v>
      </c>
      <c r="S19" s="111" t="e">
        <f>VLOOKUP(R19,Settings!$M$2:$N$33,2,0)</f>
        <v>#VALUE!</v>
      </c>
      <c r="T19" s="184" t="str">
        <f>+IF((Q19=""),"",(U19-Settings!$AA$5))</f>
        <v/>
      </c>
      <c r="U19" s="203" t="str">
        <f>IF((Q19=""),"",VLOOKUP(Q19,WR!$B:$W,22,0))</f>
        <v/>
      </c>
      <c r="V19" s="117" t="str">
        <f>'Draft Board'!AA22</f>
        <v/>
      </c>
      <c r="W19" s="111" t="e">
        <f>VLOOKUP(V19,WR!$B:$W,2,0)</f>
        <v>#VALUE!</v>
      </c>
      <c r="X19" s="111" t="e">
        <f>VLOOKUP(W19,Settings!$M$2:$N$33,2,0)</f>
        <v>#VALUE!</v>
      </c>
      <c r="Y19" s="184" t="str">
        <f>+IF((V19=""),"",(Z19-Settings!$AA$5))</f>
        <v/>
      </c>
      <c r="Z19" s="203" t="str">
        <f>IF((V19=""),"",VLOOKUP(V19,WR!$B:$W,22,0))</f>
        <v/>
      </c>
      <c r="AA19" s="117" t="str">
        <f>'Draft Board'!AG22</f>
        <v/>
      </c>
      <c r="AB19" s="111" t="e">
        <f>VLOOKUP(AA19,WR!$B:$W,2,0)</f>
        <v>#VALUE!</v>
      </c>
      <c r="AC19" s="111" t="e">
        <f>VLOOKUP(AB19,Settings!$M$2:$N$33,2,0)</f>
        <v>#VALUE!</v>
      </c>
      <c r="AD19" s="184" t="str">
        <f>+IF((AA19=""),"",(AE19-Settings!$AA$5))</f>
        <v/>
      </c>
      <c r="AE19" s="203" t="str">
        <f>IF((AA19=""),"",VLOOKUP(AA19,WR!$B:$W,22,0))</f>
        <v/>
      </c>
      <c r="AF19" s="117" t="str">
        <f>'Draft Board'!AM22</f>
        <v/>
      </c>
      <c r="AG19" s="111" t="e">
        <f>VLOOKUP(AF19,WR!$B:$W,2,0)</f>
        <v>#VALUE!</v>
      </c>
      <c r="AH19" s="111" t="e">
        <f>VLOOKUP(AG19,Settings!$M$2:$N$33,2,0)</f>
        <v>#VALUE!</v>
      </c>
      <c r="AI19" s="184" t="str">
        <f>+IF((AF19=""),"",(AJ19-Settings!$AA$5))</f>
        <v/>
      </c>
      <c r="AJ19" s="203" t="str">
        <f>IF((AF19=""),"",VLOOKUP(AF19,WR!$B:$W,22,0))</f>
        <v/>
      </c>
      <c r="AK19" s="117" t="str">
        <f>'Draft Board'!AS22</f>
        <v/>
      </c>
      <c r="AL19" s="111" t="e">
        <f>VLOOKUP(AK19,WR!$B:$W,2,0)</f>
        <v>#VALUE!</v>
      </c>
      <c r="AM19" s="111" t="e">
        <f>VLOOKUP(AL19,Settings!$M$2:$N$33,2,0)</f>
        <v>#VALUE!</v>
      </c>
      <c r="AN19" s="184" t="str">
        <f>+IF((AK19=""),"",(AO19-Settings!$AA$5))</f>
        <v/>
      </c>
      <c r="AO19" s="203" t="str">
        <f>IF((AK19=""),"",VLOOKUP(AK19,WR!$B:$W,22,0))</f>
        <v/>
      </c>
      <c r="AP19" s="117" t="str">
        <f>'Draft Board'!AY22</f>
        <v/>
      </c>
      <c r="AQ19" s="111" t="e">
        <f>VLOOKUP(AP19,WR!$B:$W,2,0)</f>
        <v>#VALUE!</v>
      </c>
      <c r="AR19" s="111" t="e">
        <f>VLOOKUP(AQ19,Settings!$M$2:$N$33,2,0)</f>
        <v>#VALUE!</v>
      </c>
      <c r="AS19" s="184" t="str">
        <f>+IF((AP19=""),"",(AT19-Settings!$AA$5))</f>
        <v/>
      </c>
      <c r="AT19" s="203" t="str">
        <f>IF((AP19=""),"",VLOOKUP(AP19,WR!$B:$W,22,0))</f>
        <v/>
      </c>
      <c r="AU19" s="117" t="str">
        <f>'Draft Board'!BE22</f>
        <v/>
      </c>
      <c r="AV19" s="111" t="e">
        <f>VLOOKUP(AU19,WR!$B:$W,2,0)</f>
        <v>#VALUE!</v>
      </c>
      <c r="AW19" s="111" t="e">
        <f>VLOOKUP(AV19,Settings!$M$2:$N$33,2,0)</f>
        <v>#VALUE!</v>
      </c>
      <c r="AX19" s="184" t="str">
        <f>+IF((AU19=""),"",(AY19-Settings!$AA$5))</f>
        <v/>
      </c>
      <c r="AY19" s="203" t="str">
        <f>IF((AU19=""),"",VLOOKUP(AU19,WR!$B:$W,22,0))</f>
        <v/>
      </c>
      <c r="AZ19" s="117" t="str">
        <f>'Draft Board'!BK22</f>
        <v/>
      </c>
      <c r="BA19" s="111" t="e">
        <f>VLOOKUP(AZ19,WR!$B:$W,2,0)</f>
        <v>#VALUE!</v>
      </c>
      <c r="BB19" s="111" t="e">
        <f>VLOOKUP(BA19,Settings!$M$2:$N$33,2,0)</f>
        <v>#VALUE!</v>
      </c>
      <c r="BC19" s="184" t="str">
        <f>+IF((AZ19=""),"",(BD19-Settings!$AA$5))</f>
        <v/>
      </c>
      <c r="BD19" s="111" t="str">
        <f>IF((AZ19=""),"",VLOOKUP(AZ19,WR!$B:$W,22,0))</f>
        <v/>
      </c>
    </row>
    <row r="20" spans="1:56" ht="12.75" customHeight="1">
      <c r="A20" s="31" t="s">
        <v>220</v>
      </c>
      <c r="B20" s="117" t="str">
        <f>'Draft Board'!C23</f>
        <v/>
      </c>
      <c r="C20" s="111" t="e">
        <f>VLOOKUP(B20,WR!$B:$W,2,0)</f>
        <v>#VALUE!</v>
      </c>
      <c r="D20" s="111" t="e">
        <f>VLOOKUP(C20,Settings!$M$2:$N$33,2,0)</f>
        <v>#VALUE!</v>
      </c>
      <c r="E20" s="184" t="str">
        <f>+IF((B20=""),"",(F20-Settings!$AA$5))</f>
        <v/>
      </c>
      <c r="F20" s="203" t="str">
        <f>IF((B20=""),"",VLOOKUP(B20,WR!$B:$W,22,0))</f>
        <v/>
      </c>
      <c r="G20" s="117" t="str">
        <f>'Draft Board'!I23</f>
        <v/>
      </c>
      <c r="H20" s="111" t="e">
        <f>VLOOKUP(G20,WR!$B:$W,2,0)</f>
        <v>#VALUE!</v>
      </c>
      <c r="I20" s="111" t="e">
        <f>VLOOKUP(H20,Settings!$M$2:$N$33,2,0)</f>
        <v>#VALUE!</v>
      </c>
      <c r="J20" s="184" t="str">
        <f>+IF((G20=""),"",(K20-Settings!$AA$5))</f>
        <v/>
      </c>
      <c r="K20" s="203" t="str">
        <f>IF((G20=""),"",VLOOKUP(G20,WR!$B:$W,22,0))</f>
        <v/>
      </c>
      <c r="L20" s="117" t="str">
        <f>'Draft Board'!O23</f>
        <v/>
      </c>
      <c r="M20" s="111" t="e">
        <f>VLOOKUP(L20,WR!$B:$W,2,0)</f>
        <v>#VALUE!</v>
      </c>
      <c r="N20" s="111" t="e">
        <f>VLOOKUP(M20,Settings!$M$2:$N$33,2,0)</f>
        <v>#VALUE!</v>
      </c>
      <c r="O20" s="184" t="str">
        <f>+IF((L20=""),"",(P20-Settings!$AA$5))</f>
        <v/>
      </c>
      <c r="P20" s="203" t="str">
        <f>IF((L20=""),"",VLOOKUP(L20,WR!$B:$W,22,0))</f>
        <v/>
      </c>
      <c r="Q20" s="117" t="str">
        <f>'Draft Board'!U23</f>
        <v/>
      </c>
      <c r="R20" s="111" t="e">
        <f>VLOOKUP(Q20,WR!$B:$W,2,0)</f>
        <v>#VALUE!</v>
      </c>
      <c r="S20" s="111" t="e">
        <f>VLOOKUP(R20,Settings!$M$2:$N$33,2,0)</f>
        <v>#VALUE!</v>
      </c>
      <c r="T20" s="184" t="str">
        <f>+IF((Q20=""),"",(U20-Settings!$AA$5))</f>
        <v/>
      </c>
      <c r="U20" s="203" t="str">
        <f>IF((Q20=""),"",VLOOKUP(Q20,WR!$B:$W,22,0))</f>
        <v/>
      </c>
      <c r="V20" s="117" t="str">
        <f>'Draft Board'!AA23</f>
        <v/>
      </c>
      <c r="W20" s="111" t="e">
        <f>VLOOKUP(V20,WR!$B:$W,2,0)</f>
        <v>#VALUE!</v>
      </c>
      <c r="X20" s="111" t="e">
        <f>VLOOKUP(W20,Settings!$M$2:$N$33,2,0)</f>
        <v>#VALUE!</v>
      </c>
      <c r="Y20" s="184" t="str">
        <f>+IF((V20=""),"",(Z20-Settings!$AA$5))</f>
        <v/>
      </c>
      <c r="Z20" s="203" t="str">
        <f>IF((V20=""),"",VLOOKUP(V20,WR!$B:$W,22,0))</f>
        <v/>
      </c>
      <c r="AA20" s="117" t="str">
        <f>'Draft Board'!AG23</f>
        <v/>
      </c>
      <c r="AB20" s="111" t="e">
        <f>VLOOKUP(AA20,WR!$B:$W,2,0)</f>
        <v>#VALUE!</v>
      </c>
      <c r="AC20" s="111" t="e">
        <f>VLOOKUP(AB20,Settings!$M$2:$N$33,2,0)</f>
        <v>#VALUE!</v>
      </c>
      <c r="AD20" s="184" t="str">
        <f>+IF((AA20=""),"",(AE20-Settings!$AA$5))</f>
        <v/>
      </c>
      <c r="AE20" s="203" t="str">
        <f>IF((AA20=""),"",VLOOKUP(AA20,WR!$B:$W,22,0))</f>
        <v/>
      </c>
      <c r="AF20" s="117" t="str">
        <f>'Draft Board'!AM23</f>
        <v/>
      </c>
      <c r="AG20" s="111" t="e">
        <f>VLOOKUP(AF20,WR!$B:$W,2,0)</f>
        <v>#VALUE!</v>
      </c>
      <c r="AH20" s="111" t="e">
        <f>VLOOKUP(AG20,Settings!$M$2:$N$33,2,0)</f>
        <v>#VALUE!</v>
      </c>
      <c r="AI20" s="184" t="str">
        <f>+IF((AF20=""),"",(AJ20-Settings!$AA$5))</f>
        <v/>
      </c>
      <c r="AJ20" s="203" t="str">
        <f>IF((AF20=""),"",VLOOKUP(AF20,WR!$B:$W,22,0))</f>
        <v/>
      </c>
      <c r="AK20" s="117" t="str">
        <f>'Draft Board'!AS23</f>
        <v/>
      </c>
      <c r="AL20" s="111" t="e">
        <f>VLOOKUP(AK20,WR!$B:$W,2,0)</f>
        <v>#VALUE!</v>
      </c>
      <c r="AM20" s="111" t="e">
        <f>VLOOKUP(AL20,Settings!$M$2:$N$33,2,0)</f>
        <v>#VALUE!</v>
      </c>
      <c r="AN20" s="184" t="str">
        <f>+IF((AK20=""),"",(AO20-Settings!$AA$5))</f>
        <v/>
      </c>
      <c r="AO20" s="203" t="str">
        <f>IF((AK20=""),"",VLOOKUP(AK20,WR!$B:$W,22,0))</f>
        <v/>
      </c>
      <c r="AP20" s="117" t="str">
        <f>'Draft Board'!AY23</f>
        <v/>
      </c>
      <c r="AQ20" s="111" t="e">
        <f>VLOOKUP(AP20,WR!$B:$W,2,0)</f>
        <v>#VALUE!</v>
      </c>
      <c r="AR20" s="111" t="e">
        <f>VLOOKUP(AQ20,Settings!$M$2:$N$33,2,0)</f>
        <v>#VALUE!</v>
      </c>
      <c r="AS20" s="184" t="str">
        <f>+IF((AP20=""),"",(AT20-Settings!$AA$5))</f>
        <v/>
      </c>
      <c r="AT20" s="203" t="str">
        <f>IF((AP20=""),"",VLOOKUP(AP20,WR!$B:$W,22,0))</f>
        <v/>
      </c>
      <c r="AU20" s="117" t="str">
        <f>'Draft Board'!BE23</f>
        <v/>
      </c>
      <c r="AV20" s="111" t="e">
        <f>VLOOKUP(AU20,WR!$B:$W,2,0)</f>
        <v>#VALUE!</v>
      </c>
      <c r="AW20" s="111" t="e">
        <f>VLOOKUP(AV20,Settings!$M$2:$N$33,2,0)</f>
        <v>#VALUE!</v>
      </c>
      <c r="AX20" s="184" t="str">
        <f>+IF((AU20=""),"",(AY20-Settings!$AA$5))</f>
        <v/>
      </c>
      <c r="AY20" s="203" t="str">
        <f>IF((AU20=""),"",VLOOKUP(AU20,WR!$B:$W,22,0))</f>
        <v/>
      </c>
      <c r="AZ20" s="117" t="str">
        <f>'Draft Board'!BK23</f>
        <v/>
      </c>
      <c r="BA20" s="111" t="e">
        <f>VLOOKUP(AZ20,WR!$B:$W,2,0)</f>
        <v>#VALUE!</v>
      </c>
      <c r="BB20" s="111" t="e">
        <f>VLOOKUP(BA20,Settings!$M$2:$N$33,2,0)</f>
        <v>#VALUE!</v>
      </c>
      <c r="BC20" s="184" t="str">
        <f>+IF((AZ20=""),"",(BD20-Settings!$AA$5))</f>
        <v/>
      </c>
      <c r="BD20" s="111" t="str">
        <f>IF((AZ20=""),"",VLOOKUP(AZ20,WR!$B:$W,22,0))</f>
        <v/>
      </c>
    </row>
    <row r="21" spans="1:56" ht="12.75" customHeight="1">
      <c r="A21" s="31" t="s">
        <v>221</v>
      </c>
      <c r="B21" s="117" t="str">
        <f>'Draft Board'!C24</f>
        <v/>
      </c>
      <c r="C21" s="111" t="e">
        <f>VLOOKUP(B21,WR!$B:$W,2,0)</f>
        <v>#VALUE!</v>
      </c>
      <c r="D21" s="111" t="e">
        <f>VLOOKUP(C21,Settings!$M$2:$N$33,2,0)</f>
        <v>#VALUE!</v>
      </c>
      <c r="E21" s="184" t="str">
        <f>+IF((B21=""),"",(F21-Settings!$AA$5))</f>
        <v/>
      </c>
      <c r="F21" s="203" t="str">
        <f>IF((B21=""),"",VLOOKUP(B21,WR!$B:$W,22,0))</f>
        <v/>
      </c>
      <c r="G21" s="117" t="str">
        <f>'Draft Board'!I24</f>
        <v/>
      </c>
      <c r="H21" s="111" t="e">
        <f>VLOOKUP(G21,WR!$B:$W,2,0)</f>
        <v>#VALUE!</v>
      </c>
      <c r="I21" s="111" t="e">
        <f>VLOOKUP(H21,Settings!$M$2:$N$33,2,0)</f>
        <v>#VALUE!</v>
      </c>
      <c r="J21" s="184" t="str">
        <f>+IF((G21=""),"",(K21-Settings!$AA$5))</f>
        <v/>
      </c>
      <c r="K21" s="203" t="str">
        <f>IF((G21=""),"",VLOOKUP(G21,WR!$B:$W,22,0))</f>
        <v/>
      </c>
      <c r="L21" s="117" t="str">
        <f>'Draft Board'!O24</f>
        <v/>
      </c>
      <c r="M21" s="111" t="e">
        <f>VLOOKUP(L21,WR!$B:$W,2,0)</f>
        <v>#VALUE!</v>
      </c>
      <c r="N21" s="111" t="e">
        <f>VLOOKUP(M21,Settings!$M$2:$N$33,2,0)</f>
        <v>#VALUE!</v>
      </c>
      <c r="O21" s="184" t="str">
        <f>+IF((L21=""),"",(P21-Settings!$AA$5))</f>
        <v/>
      </c>
      <c r="P21" s="203" t="str">
        <f>IF((L21=""),"",VLOOKUP(L21,WR!$B:$W,22,0))</f>
        <v/>
      </c>
      <c r="Q21" s="117" t="str">
        <f>'Draft Board'!U24</f>
        <v/>
      </c>
      <c r="R21" s="111" t="e">
        <f>VLOOKUP(Q21,WR!$B:$W,2,0)</f>
        <v>#VALUE!</v>
      </c>
      <c r="S21" s="111" t="e">
        <f>VLOOKUP(R21,Settings!$M$2:$N$33,2,0)</f>
        <v>#VALUE!</v>
      </c>
      <c r="T21" s="184" t="str">
        <f>+IF((Q21=""),"",(U21-Settings!$AA$5))</f>
        <v/>
      </c>
      <c r="U21" s="203" t="str">
        <f>IF((Q21=""),"",VLOOKUP(Q21,WR!$B:$W,22,0))</f>
        <v/>
      </c>
      <c r="V21" s="117" t="str">
        <f>'Draft Board'!AA24</f>
        <v/>
      </c>
      <c r="W21" s="111" t="e">
        <f>VLOOKUP(V21,WR!$B:$W,2,0)</f>
        <v>#VALUE!</v>
      </c>
      <c r="X21" s="111" t="e">
        <f>VLOOKUP(W21,Settings!$M$2:$N$33,2,0)</f>
        <v>#VALUE!</v>
      </c>
      <c r="Y21" s="184" t="str">
        <f>+IF((V21=""),"",(Z21-Settings!$AA$5))</f>
        <v/>
      </c>
      <c r="Z21" s="203" t="str">
        <f>IF((V21=""),"",VLOOKUP(V21,WR!$B:$W,22,0))</f>
        <v/>
      </c>
      <c r="AA21" s="117" t="str">
        <f>'Draft Board'!AG24</f>
        <v/>
      </c>
      <c r="AB21" s="111" t="e">
        <f>VLOOKUP(AA21,WR!$B:$W,2,0)</f>
        <v>#VALUE!</v>
      </c>
      <c r="AC21" s="111" t="e">
        <f>VLOOKUP(AB21,Settings!$M$2:$N$33,2,0)</f>
        <v>#VALUE!</v>
      </c>
      <c r="AD21" s="184" t="str">
        <f>+IF((AA21=""),"",(AE21-Settings!$AA$5))</f>
        <v/>
      </c>
      <c r="AE21" s="203" t="str">
        <f>IF((AA21=""),"",VLOOKUP(AA21,WR!$B:$W,22,0))</f>
        <v/>
      </c>
      <c r="AF21" s="117" t="str">
        <f>'Draft Board'!AM24</f>
        <v/>
      </c>
      <c r="AG21" s="111" t="e">
        <f>VLOOKUP(AF21,WR!$B:$W,2,0)</f>
        <v>#VALUE!</v>
      </c>
      <c r="AH21" s="111" t="e">
        <f>VLOOKUP(AG21,Settings!$M$2:$N$33,2,0)</f>
        <v>#VALUE!</v>
      </c>
      <c r="AI21" s="184" t="str">
        <f>+IF((AF21=""),"",(AJ21-Settings!$AA$5))</f>
        <v/>
      </c>
      <c r="AJ21" s="203" t="str">
        <f>IF((AF21=""),"",VLOOKUP(AF21,WR!$B:$W,22,0))</f>
        <v/>
      </c>
      <c r="AK21" s="117" t="str">
        <f>'Draft Board'!AS24</f>
        <v/>
      </c>
      <c r="AL21" s="111" t="e">
        <f>VLOOKUP(AK21,WR!$B:$W,2,0)</f>
        <v>#VALUE!</v>
      </c>
      <c r="AM21" s="111" t="e">
        <f>VLOOKUP(AL21,Settings!$M$2:$N$33,2,0)</f>
        <v>#VALUE!</v>
      </c>
      <c r="AN21" s="184" t="str">
        <f>+IF((AK21=""),"",(AO21-Settings!$AA$5))</f>
        <v/>
      </c>
      <c r="AO21" s="203" t="str">
        <f>IF((AK21=""),"",VLOOKUP(AK21,WR!$B:$W,22,0))</f>
        <v/>
      </c>
      <c r="AP21" s="117" t="str">
        <f>'Draft Board'!AY24</f>
        <v/>
      </c>
      <c r="AQ21" s="111" t="e">
        <f>VLOOKUP(AP21,WR!$B:$W,2,0)</f>
        <v>#VALUE!</v>
      </c>
      <c r="AR21" s="111" t="e">
        <f>VLOOKUP(AQ21,Settings!$M$2:$N$33,2,0)</f>
        <v>#VALUE!</v>
      </c>
      <c r="AS21" s="184" t="str">
        <f>+IF((AP21=""),"",(AT21-Settings!$AA$5))</f>
        <v/>
      </c>
      <c r="AT21" s="203" t="str">
        <f>IF((AP21=""),"",VLOOKUP(AP21,WR!$B:$W,22,0))</f>
        <v/>
      </c>
      <c r="AU21" s="117" t="str">
        <f>'Draft Board'!BE24</f>
        <v/>
      </c>
      <c r="AV21" s="111" t="e">
        <f>VLOOKUP(AU21,WR!$B:$W,2,0)</f>
        <v>#VALUE!</v>
      </c>
      <c r="AW21" s="111" t="e">
        <f>VLOOKUP(AV21,Settings!$M$2:$N$33,2,0)</f>
        <v>#VALUE!</v>
      </c>
      <c r="AX21" s="184" t="str">
        <f>+IF((AU21=""),"",(AY21-Settings!$AA$5))</f>
        <v/>
      </c>
      <c r="AY21" s="203" t="str">
        <f>IF((AU21=""),"",VLOOKUP(AU21,WR!$B:$W,22,0))</f>
        <v/>
      </c>
      <c r="AZ21" s="117" t="str">
        <f>'Draft Board'!BK24</f>
        <v/>
      </c>
      <c r="BA21" s="111" t="e">
        <f>VLOOKUP(AZ21,WR!$B:$W,2,0)</f>
        <v>#VALUE!</v>
      </c>
      <c r="BB21" s="111" t="e">
        <f>VLOOKUP(BA21,Settings!$M$2:$N$33,2,0)</f>
        <v>#VALUE!</v>
      </c>
      <c r="BC21" s="184" t="str">
        <f>+IF((AZ21=""),"",(BD21-Settings!$AA$5))</f>
        <v/>
      </c>
      <c r="BD21" s="111" t="str">
        <f>IF((AZ21=""),"",VLOOKUP(AZ21,WR!$B:$W,22,0))</f>
        <v/>
      </c>
    </row>
    <row r="22" spans="1:56" ht="12.75" customHeight="1">
      <c r="A22" s="31" t="s">
        <v>222</v>
      </c>
      <c r="B22" s="117" t="str">
        <f>'Draft Board'!C25</f>
        <v/>
      </c>
      <c r="C22" s="111" t="e">
        <f>VLOOKUP(B22,WR!$B:$W,2,0)</f>
        <v>#VALUE!</v>
      </c>
      <c r="D22" s="111" t="e">
        <f>VLOOKUP(C22,Settings!$M$2:$N$33,2,0)</f>
        <v>#VALUE!</v>
      </c>
      <c r="E22" s="184" t="str">
        <f>+IF((B22=""),"",(F22-Settings!$AA$5))</f>
        <v/>
      </c>
      <c r="F22" s="203" t="str">
        <f>IF((B22=""),"",VLOOKUP(B22,WR!$B:$W,22,0))</f>
        <v/>
      </c>
      <c r="G22" s="117" t="str">
        <f>'Draft Board'!I25</f>
        <v/>
      </c>
      <c r="H22" s="111" t="e">
        <f>VLOOKUP(G22,WR!$B:$W,2,0)</f>
        <v>#VALUE!</v>
      </c>
      <c r="I22" s="111" t="e">
        <f>VLOOKUP(H22,Settings!$M$2:$N$33,2,0)</f>
        <v>#VALUE!</v>
      </c>
      <c r="J22" s="184" t="str">
        <f>+IF((G22=""),"",(K22-Settings!$AA$5))</f>
        <v/>
      </c>
      <c r="K22" s="203" t="str">
        <f>IF((G22=""),"",VLOOKUP(G22,WR!$B:$W,22,0))</f>
        <v/>
      </c>
      <c r="L22" s="117" t="str">
        <f>'Draft Board'!O25</f>
        <v/>
      </c>
      <c r="M22" s="111" t="e">
        <f>VLOOKUP(L22,WR!$B:$W,2,0)</f>
        <v>#VALUE!</v>
      </c>
      <c r="N22" s="111" t="e">
        <f>VLOOKUP(M22,Settings!$M$2:$N$33,2,0)</f>
        <v>#VALUE!</v>
      </c>
      <c r="O22" s="184" t="str">
        <f>+IF((L22=""),"",(P22-Settings!$AA$5))</f>
        <v/>
      </c>
      <c r="P22" s="203" t="str">
        <f>IF((L22=""),"",VLOOKUP(L22,WR!$B:$W,22,0))</f>
        <v/>
      </c>
      <c r="Q22" s="117" t="str">
        <f>'Draft Board'!U25</f>
        <v/>
      </c>
      <c r="R22" s="111" t="e">
        <f>VLOOKUP(Q22,WR!$B:$W,2,0)</f>
        <v>#VALUE!</v>
      </c>
      <c r="S22" s="111" t="e">
        <f>VLOOKUP(R22,Settings!$M$2:$N$33,2,0)</f>
        <v>#VALUE!</v>
      </c>
      <c r="T22" s="184" t="str">
        <f>+IF((Q22=""),"",(U22-Settings!$AA$5))</f>
        <v/>
      </c>
      <c r="U22" s="203" t="str">
        <f>IF((Q22=""),"",VLOOKUP(Q22,WR!$B:$W,22,0))</f>
        <v/>
      </c>
      <c r="V22" s="117" t="str">
        <f>'Draft Board'!AA25</f>
        <v/>
      </c>
      <c r="W22" s="111" t="e">
        <f>VLOOKUP(V22,WR!$B:$W,2,0)</f>
        <v>#VALUE!</v>
      </c>
      <c r="X22" s="111" t="e">
        <f>VLOOKUP(W22,Settings!$M$2:$N$33,2,0)</f>
        <v>#VALUE!</v>
      </c>
      <c r="Y22" s="184" t="str">
        <f>+IF((V22=""),"",(Z22-Settings!$AA$5))</f>
        <v/>
      </c>
      <c r="Z22" s="203" t="str">
        <f>IF((V22=""),"",VLOOKUP(V22,WR!$B:$W,22,0))</f>
        <v/>
      </c>
      <c r="AA22" s="117" t="str">
        <f>'Draft Board'!AG25</f>
        <v/>
      </c>
      <c r="AB22" s="111" t="e">
        <f>VLOOKUP(AA22,WR!$B:$W,2,0)</f>
        <v>#VALUE!</v>
      </c>
      <c r="AC22" s="111" t="e">
        <f>VLOOKUP(AB22,Settings!$M$2:$N$33,2,0)</f>
        <v>#VALUE!</v>
      </c>
      <c r="AD22" s="184" t="str">
        <f>+IF((AA22=""),"",(AE22-Settings!$AA$5))</f>
        <v/>
      </c>
      <c r="AE22" s="203" t="str">
        <f>IF((AA22=""),"",VLOOKUP(AA22,WR!$B:$W,22,0))</f>
        <v/>
      </c>
      <c r="AF22" s="117" t="str">
        <f>'Draft Board'!AM25</f>
        <v/>
      </c>
      <c r="AG22" s="111" t="e">
        <f>VLOOKUP(AF22,WR!$B:$W,2,0)</f>
        <v>#VALUE!</v>
      </c>
      <c r="AH22" s="111" t="e">
        <f>VLOOKUP(AG22,Settings!$M$2:$N$33,2,0)</f>
        <v>#VALUE!</v>
      </c>
      <c r="AI22" s="184" t="str">
        <f>+IF((AF22=""),"",(AJ22-Settings!$AA$5))</f>
        <v/>
      </c>
      <c r="AJ22" s="203" t="str">
        <f>IF((AF22=""),"",VLOOKUP(AF22,WR!$B:$W,22,0))</f>
        <v/>
      </c>
      <c r="AK22" s="117" t="str">
        <f>'Draft Board'!AS25</f>
        <v/>
      </c>
      <c r="AL22" s="111" t="e">
        <f>VLOOKUP(AK22,WR!$B:$W,2,0)</f>
        <v>#VALUE!</v>
      </c>
      <c r="AM22" s="111" t="e">
        <f>VLOOKUP(AL22,Settings!$M$2:$N$33,2,0)</f>
        <v>#VALUE!</v>
      </c>
      <c r="AN22" s="184" t="str">
        <f>+IF((AK22=""),"",(AO22-Settings!$AA$5))</f>
        <v/>
      </c>
      <c r="AO22" s="203" t="str">
        <f>IF((AK22=""),"",VLOOKUP(AK22,WR!$B:$W,22,0))</f>
        <v/>
      </c>
      <c r="AP22" s="117" t="str">
        <f>'Draft Board'!AY25</f>
        <v/>
      </c>
      <c r="AQ22" s="111" t="e">
        <f>VLOOKUP(AP22,WR!$B:$W,2,0)</f>
        <v>#VALUE!</v>
      </c>
      <c r="AR22" s="111" t="e">
        <f>VLOOKUP(AQ22,Settings!$M$2:$N$33,2,0)</f>
        <v>#VALUE!</v>
      </c>
      <c r="AS22" s="184" t="str">
        <f>+IF((AP22=""),"",(AT22-Settings!$AA$5))</f>
        <v/>
      </c>
      <c r="AT22" s="203" t="str">
        <f>IF((AP22=""),"",VLOOKUP(AP22,WR!$B:$W,22,0))</f>
        <v/>
      </c>
      <c r="AU22" s="117" t="str">
        <f>'Draft Board'!BE25</f>
        <v/>
      </c>
      <c r="AV22" s="111" t="e">
        <f>VLOOKUP(AU22,WR!$B:$W,2,0)</f>
        <v>#VALUE!</v>
      </c>
      <c r="AW22" s="111" t="e">
        <f>VLOOKUP(AV22,Settings!$M$2:$N$33,2,0)</f>
        <v>#VALUE!</v>
      </c>
      <c r="AX22" s="184" t="str">
        <f>+IF((AU22=""),"",(AY22-Settings!$AA$5))</f>
        <v/>
      </c>
      <c r="AY22" s="203" t="str">
        <f>IF((AU22=""),"",VLOOKUP(AU22,WR!$B:$W,22,0))</f>
        <v/>
      </c>
      <c r="AZ22" s="117" t="str">
        <f>'Draft Board'!BK25</f>
        <v/>
      </c>
      <c r="BA22" s="111" t="e">
        <f>VLOOKUP(AZ22,WR!$B:$W,2,0)</f>
        <v>#VALUE!</v>
      </c>
      <c r="BB22" s="111" t="e">
        <f>VLOOKUP(BA22,Settings!$M$2:$N$33,2,0)</f>
        <v>#VALUE!</v>
      </c>
      <c r="BC22" s="184" t="str">
        <f>+IF((AZ22=""),"",(BD22-Settings!$AA$5))</f>
        <v/>
      </c>
      <c r="BD22" s="111" t="str">
        <f>IF((AZ22=""),"",VLOOKUP(AZ22,WR!$B:$W,22,0))</f>
        <v/>
      </c>
    </row>
    <row r="23" spans="1:56" ht="12.75" customHeight="1">
      <c r="A23" s="31" t="s">
        <v>224</v>
      </c>
      <c r="B23" s="117" t="str">
        <f>'Draft Board'!C27</f>
        <v/>
      </c>
      <c r="C23" s="111" t="e">
        <f>VLOOKUP(B23,TE!$B:$W,2,0)</f>
        <v>#VALUE!</v>
      </c>
      <c r="D23" s="111" t="e">
        <f>VLOOKUP(C23,Settings!$M$2:$N$33,2,0)</f>
        <v>#VALUE!</v>
      </c>
      <c r="E23" s="184" t="str">
        <f>+IF((B23=""),"",(F23-Settings!$AA$6))</f>
        <v/>
      </c>
      <c r="F23" s="203" t="str">
        <f>IF((B23=""),"",VLOOKUP(B23,TE!$B:$T,18,0))</f>
        <v/>
      </c>
      <c r="G23" s="117" t="str">
        <f>'Draft Board'!I27</f>
        <v/>
      </c>
      <c r="H23" s="111" t="e">
        <f>VLOOKUP(G23,TE!$B:$W,2,0)</f>
        <v>#VALUE!</v>
      </c>
      <c r="I23" s="111" t="e">
        <f>VLOOKUP(H23,Settings!$M$2:$N$33,2,0)</f>
        <v>#VALUE!</v>
      </c>
      <c r="J23" s="184" t="str">
        <f>+IF((G23=""),"",(K23-Settings!$AA$6))</f>
        <v/>
      </c>
      <c r="K23" s="203" t="str">
        <f>IF((G23=""),"",VLOOKUP(G23,TE!$B:$T,18,0))</f>
        <v/>
      </c>
      <c r="L23" s="117" t="str">
        <f>'Draft Board'!O27</f>
        <v/>
      </c>
      <c r="M23" s="111" t="e">
        <f>VLOOKUP(L23,TE!$B:$W,2,0)</f>
        <v>#VALUE!</v>
      </c>
      <c r="N23" s="111" t="e">
        <f>VLOOKUP(M23,Settings!$M$2:$N$33,2,0)</f>
        <v>#VALUE!</v>
      </c>
      <c r="O23" s="184" t="str">
        <f>+IF((L23=""),"",(P23-Settings!$AA$6))</f>
        <v/>
      </c>
      <c r="P23" s="203" t="str">
        <f>IF((L23=""),"",VLOOKUP(L23,TE!$B:$T,18,0))</f>
        <v/>
      </c>
      <c r="Q23" s="117" t="str">
        <f>'Draft Board'!U27</f>
        <v/>
      </c>
      <c r="R23" s="111" t="e">
        <f>VLOOKUP(Q23,TE!$B:$W,2,0)</f>
        <v>#VALUE!</v>
      </c>
      <c r="S23" s="111" t="e">
        <f>VLOOKUP(R23,Settings!$M$2:$N$33,2,0)</f>
        <v>#VALUE!</v>
      </c>
      <c r="T23" s="184" t="str">
        <f>+IF((Q23=""),"",(U23-Settings!$AA$6))</f>
        <v/>
      </c>
      <c r="U23" s="203" t="str">
        <f>IF((Q23=""),"",VLOOKUP(Q23,TE!$B:$T,18,0))</f>
        <v/>
      </c>
      <c r="V23" s="117" t="str">
        <f>'Draft Board'!AA27</f>
        <v/>
      </c>
      <c r="W23" s="111" t="e">
        <f>VLOOKUP(V23,TE!$B:$W,2,0)</f>
        <v>#VALUE!</v>
      </c>
      <c r="X23" s="111" t="e">
        <f>VLOOKUP(W23,Settings!$M$2:$N$33,2,0)</f>
        <v>#VALUE!</v>
      </c>
      <c r="Y23" s="184" t="str">
        <f>+IF((V23=""),"",(Z23-Settings!$AA$6))</f>
        <v/>
      </c>
      <c r="Z23" s="203" t="str">
        <f>IF((V23=""),"",VLOOKUP(V23,TE!$B:$T,18,0))</f>
        <v/>
      </c>
      <c r="AA23" s="117" t="str">
        <f>'Draft Board'!AG27</f>
        <v/>
      </c>
      <c r="AB23" s="111" t="e">
        <f>VLOOKUP(AA23,TE!$B:$W,2,0)</f>
        <v>#VALUE!</v>
      </c>
      <c r="AC23" s="111" t="e">
        <f>VLOOKUP(AB23,Settings!$M$2:$N$33,2,0)</f>
        <v>#VALUE!</v>
      </c>
      <c r="AD23" s="184" t="str">
        <f>+IF((AA23=""),"",(AE23-Settings!$AA$6))</f>
        <v/>
      </c>
      <c r="AE23" s="203" t="str">
        <f>IF((AA23=""),"",VLOOKUP(AA23,TE!$B:$T,18,0))</f>
        <v/>
      </c>
      <c r="AF23" s="117" t="str">
        <f>'Draft Board'!AM27</f>
        <v/>
      </c>
      <c r="AG23" s="111" t="e">
        <f>VLOOKUP(AF23,TE!$B:$W,2,0)</f>
        <v>#VALUE!</v>
      </c>
      <c r="AH23" s="111" t="e">
        <f>VLOOKUP(AG23,Settings!$M$2:$N$33,2,0)</f>
        <v>#VALUE!</v>
      </c>
      <c r="AI23" s="184" t="str">
        <f>+IF((AF23=""),"",(AJ23-Settings!$AA$6))</f>
        <v/>
      </c>
      <c r="AJ23" s="203" t="str">
        <f>IF((AF23=""),"",VLOOKUP(AF23,TE!$B:$T,18,0))</f>
        <v/>
      </c>
      <c r="AK23" s="117" t="str">
        <f>'Draft Board'!AS27</f>
        <v/>
      </c>
      <c r="AL23" s="111" t="e">
        <f>VLOOKUP(AK23,TE!$B:$W,2,0)</f>
        <v>#VALUE!</v>
      </c>
      <c r="AM23" s="111" t="e">
        <f>VLOOKUP(AL23,Settings!$M$2:$N$33,2,0)</f>
        <v>#VALUE!</v>
      </c>
      <c r="AN23" s="184" t="str">
        <f>+IF((AK23=""),"",(AO23-Settings!$AA$6))</f>
        <v/>
      </c>
      <c r="AO23" s="203" t="str">
        <f>IF((AK23=""),"",VLOOKUP(AK23,TE!$B:$T,18,0))</f>
        <v/>
      </c>
      <c r="AP23" s="117" t="str">
        <f>'Draft Board'!AY27</f>
        <v/>
      </c>
      <c r="AQ23" s="111" t="e">
        <f>VLOOKUP(AP23,TE!$B:$W,2,0)</f>
        <v>#VALUE!</v>
      </c>
      <c r="AR23" s="111" t="e">
        <f>VLOOKUP(AQ23,Settings!$M$2:$N$33,2,0)</f>
        <v>#VALUE!</v>
      </c>
      <c r="AS23" s="184" t="str">
        <f>+IF((AP23=""),"",(AT23-Settings!$AA$6))</f>
        <v/>
      </c>
      <c r="AT23" s="203" t="str">
        <f>IF((AP23=""),"",VLOOKUP(AP23,TE!$B:$T,18,0))</f>
        <v/>
      </c>
      <c r="AU23" s="117" t="str">
        <f>'Draft Board'!BE27</f>
        <v/>
      </c>
      <c r="AV23" s="111" t="e">
        <f>VLOOKUP(AU23,TE!$B:$W,2,0)</f>
        <v>#VALUE!</v>
      </c>
      <c r="AW23" s="111" t="e">
        <f>VLOOKUP(AV23,Settings!$M$2:$N$33,2,0)</f>
        <v>#VALUE!</v>
      </c>
      <c r="AX23" s="184" t="str">
        <f>+IF((AU23=""),"",(AY23-Settings!$AA$6))</f>
        <v/>
      </c>
      <c r="AY23" s="203" t="str">
        <f>IF((AU23=""),"",VLOOKUP(AU23,TE!$B:$T,18,0))</f>
        <v/>
      </c>
      <c r="AZ23" s="117" t="str">
        <f>'Draft Board'!BK27</f>
        <v/>
      </c>
      <c r="BA23" s="111" t="e">
        <f>VLOOKUP(AZ23,TE!$B:$W,2,0)</f>
        <v>#VALUE!</v>
      </c>
      <c r="BB23" s="111" t="e">
        <f>VLOOKUP(BA23,Settings!$M$2:$N$33,2,0)</f>
        <v>#VALUE!</v>
      </c>
      <c r="BC23" s="184" t="str">
        <f>+IF((AZ23=""),"",(BD23-Settings!$AA$6))</f>
        <v/>
      </c>
      <c r="BD23" s="111" t="str">
        <f>IF((AZ23=""),"",VLOOKUP(AZ23,TE!$B:$T,18,0))</f>
        <v/>
      </c>
    </row>
    <row r="24" spans="1:56" ht="12.75" customHeight="1">
      <c r="A24" s="31" t="s">
        <v>225</v>
      </c>
      <c r="B24" s="117" t="str">
        <f>'Draft Board'!C28</f>
        <v/>
      </c>
      <c r="C24" s="111" t="e">
        <f>VLOOKUP(B24,TE!$B:$W,2,0)</f>
        <v>#VALUE!</v>
      </c>
      <c r="D24" s="111" t="e">
        <f>VLOOKUP(C24,Settings!$M$2:$N$33,2,0)</f>
        <v>#VALUE!</v>
      </c>
      <c r="E24" s="184" t="str">
        <f>+IF((B24=""),"",(F24-Settings!$AA$6))</f>
        <v/>
      </c>
      <c r="F24" s="203" t="str">
        <f>IF((B24=""),"",VLOOKUP(B24,TE!$B:$T,18,0))</f>
        <v/>
      </c>
      <c r="G24" s="117" t="str">
        <f>'Draft Board'!I28</f>
        <v/>
      </c>
      <c r="H24" s="111" t="e">
        <f>VLOOKUP(G24,TE!$B:$W,2,0)</f>
        <v>#VALUE!</v>
      </c>
      <c r="I24" s="111" t="e">
        <f>VLOOKUP(H24,Settings!$M$2:$N$33,2,0)</f>
        <v>#VALUE!</v>
      </c>
      <c r="J24" s="184" t="str">
        <f>+IF((G24=""),"",(K24-Settings!$AA$6))</f>
        <v/>
      </c>
      <c r="K24" s="203" t="str">
        <f>IF((G24=""),"",VLOOKUP(G24,TE!$B:$T,18,0))</f>
        <v/>
      </c>
      <c r="L24" s="117" t="str">
        <f>'Draft Board'!O28</f>
        <v/>
      </c>
      <c r="M24" s="111" t="e">
        <f>VLOOKUP(L24,TE!$B:$W,2,0)</f>
        <v>#VALUE!</v>
      </c>
      <c r="N24" s="111" t="e">
        <f>VLOOKUP(M24,Settings!$M$2:$N$33,2,0)</f>
        <v>#VALUE!</v>
      </c>
      <c r="O24" s="184" t="str">
        <f>+IF((L24=""),"",(P24-Settings!$AA$6))</f>
        <v/>
      </c>
      <c r="P24" s="203" t="str">
        <f>IF((L24=""),"",VLOOKUP(L24,TE!$B:$T,18,0))</f>
        <v/>
      </c>
      <c r="Q24" s="117" t="str">
        <f>'Draft Board'!U28</f>
        <v/>
      </c>
      <c r="R24" s="111" t="e">
        <f>VLOOKUP(Q24,TE!$B:$W,2,0)</f>
        <v>#VALUE!</v>
      </c>
      <c r="S24" s="111" t="e">
        <f>VLOOKUP(R24,Settings!$M$2:$N$33,2,0)</f>
        <v>#VALUE!</v>
      </c>
      <c r="T24" s="184" t="str">
        <f>+IF((Q24=""),"",(U24-Settings!$AA$6))</f>
        <v/>
      </c>
      <c r="U24" s="203" t="str">
        <f>IF((Q24=""),"",VLOOKUP(Q24,TE!$B:$T,18,0))</f>
        <v/>
      </c>
      <c r="V24" s="117" t="str">
        <f>'Draft Board'!AA28</f>
        <v/>
      </c>
      <c r="W24" s="111" t="e">
        <f>VLOOKUP(V24,TE!$B:$W,2,0)</f>
        <v>#VALUE!</v>
      </c>
      <c r="X24" s="111" t="e">
        <f>VLOOKUP(W24,Settings!$M$2:$N$33,2,0)</f>
        <v>#VALUE!</v>
      </c>
      <c r="Y24" s="184" t="str">
        <f>+IF((V24=""),"",(Z24-Settings!$AA$6))</f>
        <v/>
      </c>
      <c r="Z24" s="203" t="str">
        <f>IF((V24=""),"",VLOOKUP(V24,TE!$B:$T,18,0))</f>
        <v/>
      </c>
      <c r="AA24" s="117" t="str">
        <f>'Draft Board'!AG28</f>
        <v/>
      </c>
      <c r="AB24" s="111" t="e">
        <f>VLOOKUP(AA24,TE!$B:$W,2,0)</f>
        <v>#VALUE!</v>
      </c>
      <c r="AC24" s="111" t="e">
        <f>VLOOKUP(AB24,Settings!$M$2:$N$33,2,0)</f>
        <v>#VALUE!</v>
      </c>
      <c r="AD24" s="184" t="str">
        <f>+IF((AA24=""),"",(AE24-Settings!$AA$6))</f>
        <v/>
      </c>
      <c r="AE24" s="203" t="str">
        <f>IF((AA24=""),"",VLOOKUP(AA24,TE!$B:$T,18,0))</f>
        <v/>
      </c>
      <c r="AF24" s="117" t="str">
        <f>'Draft Board'!AM28</f>
        <v/>
      </c>
      <c r="AG24" s="111" t="e">
        <f>VLOOKUP(AF24,TE!$B:$W,2,0)</f>
        <v>#VALUE!</v>
      </c>
      <c r="AH24" s="111" t="e">
        <f>VLOOKUP(AG24,Settings!$M$2:$N$33,2,0)</f>
        <v>#VALUE!</v>
      </c>
      <c r="AI24" s="184" t="str">
        <f>+IF((AF24=""),"",(AJ24-Settings!$AA$6))</f>
        <v/>
      </c>
      <c r="AJ24" s="203" t="str">
        <f>IF((AF24=""),"",VLOOKUP(AF24,TE!$B:$T,18,0))</f>
        <v/>
      </c>
      <c r="AK24" s="117" t="str">
        <f>'Draft Board'!AS28</f>
        <v/>
      </c>
      <c r="AL24" s="111" t="e">
        <f>VLOOKUP(AK24,TE!$B:$W,2,0)</f>
        <v>#VALUE!</v>
      </c>
      <c r="AM24" s="111" t="e">
        <f>VLOOKUP(AL24,Settings!$M$2:$N$33,2,0)</f>
        <v>#VALUE!</v>
      </c>
      <c r="AN24" s="184" t="str">
        <f>+IF((AK24=""),"",(AO24-Settings!$AA$6))</f>
        <v/>
      </c>
      <c r="AO24" s="203" t="str">
        <f>IF((AK24=""),"",VLOOKUP(AK24,TE!$B:$T,18,0))</f>
        <v/>
      </c>
      <c r="AP24" s="117" t="str">
        <f>'Draft Board'!AY28</f>
        <v/>
      </c>
      <c r="AQ24" s="111" t="e">
        <f>VLOOKUP(AP24,TE!$B:$W,2,0)</f>
        <v>#VALUE!</v>
      </c>
      <c r="AR24" s="111" t="e">
        <f>VLOOKUP(AQ24,Settings!$M$2:$N$33,2,0)</f>
        <v>#VALUE!</v>
      </c>
      <c r="AS24" s="184" t="str">
        <f>+IF((AP24=""),"",(AT24-Settings!$AA$6))</f>
        <v/>
      </c>
      <c r="AT24" s="203" t="str">
        <f>IF((AP24=""),"",VLOOKUP(AP24,TE!$B:$T,18,0))</f>
        <v/>
      </c>
      <c r="AU24" s="117" t="str">
        <f>'Draft Board'!BE28</f>
        <v/>
      </c>
      <c r="AV24" s="111" t="e">
        <f>VLOOKUP(AU24,TE!$B:$W,2,0)</f>
        <v>#VALUE!</v>
      </c>
      <c r="AW24" s="111" t="e">
        <f>VLOOKUP(AV24,Settings!$M$2:$N$33,2,0)</f>
        <v>#VALUE!</v>
      </c>
      <c r="AX24" s="184" t="str">
        <f>+IF((AU24=""),"",(AY24-Settings!$AA$6))</f>
        <v/>
      </c>
      <c r="AY24" s="203" t="str">
        <f>IF((AU24=""),"",VLOOKUP(AU24,TE!$B:$T,18,0))</f>
        <v/>
      </c>
      <c r="AZ24" s="117" t="str">
        <f>'Draft Board'!BK28</f>
        <v/>
      </c>
      <c r="BA24" s="111" t="e">
        <f>VLOOKUP(AZ24,TE!$B:$W,2,0)</f>
        <v>#VALUE!</v>
      </c>
      <c r="BB24" s="111" t="e">
        <f>VLOOKUP(BA24,Settings!$M$2:$N$33,2,0)</f>
        <v>#VALUE!</v>
      </c>
      <c r="BC24" s="184" t="str">
        <f>+IF((AZ24=""),"",(BD24-Settings!$AA$6))</f>
        <v/>
      </c>
      <c r="BD24" s="111" t="str">
        <f>IF((AZ24=""),"",VLOOKUP(AZ24,TE!$B:$T,18,0))</f>
        <v/>
      </c>
    </row>
    <row r="25" spans="1:56" ht="12.75" customHeight="1">
      <c r="A25" s="31" t="s">
        <v>226</v>
      </c>
      <c r="B25" s="117" t="str">
        <f>'Draft Board'!C29</f>
        <v/>
      </c>
      <c r="C25" s="111" t="e">
        <f>VLOOKUP(B25,TE!$B:$W,2,0)</f>
        <v>#VALUE!</v>
      </c>
      <c r="D25" s="111" t="e">
        <f>VLOOKUP(C25,Settings!$M$2:$N$33,2,0)</f>
        <v>#VALUE!</v>
      </c>
      <c r="E25" s="184" t="str">
        <f>+IF((B25=""),"",(F25-Settings!$AA$6))</f>
        <v/>
      </c>
      <c r="F25" s="203" t="str">
        <f>IF((B25=""),"",VLOOKUP(B25,TE!$B:$T,18,0))</f>
        <v/>
      </c>
      <c r="G25" s="117" t="str">
        <f>'Draft Board'!I29</f>
        <v/>
      </c>
      <c r="H25" s="111" t="e">
        <f>VLOOKUP(G25,TE!$B:$W,2,0)</f>
        <v>#VALUE!</v>
      </c>
      <c r="I25" s="111" t="e">
        <f>VLOOKUP(H25,Settings!$M$2:$N$33,2,0)</f>
        <v>#VALUE!</v>
      </c>
      <c r="J25" s="184" t="str">
        <f>+IF((G25=""),"",(K25-Settings!$AA$6))</f>
        <v/>
      </c>
      <c r="K25" s="203" t="str">
        <f>IF((G25=""),"",VLOOKUP(G25,TE!$B:$T,18,0))</f>
        <v/>
      </c>
      <c r="L25" s="117" t="str">
        <f>'Draft Board'!O29</f>
        <v/>
      </c>
      <c r="M25" s="111" t="e">
        <f>VLOOKUP(L25,TE!$B:$W,2,0)</f>
        <v>#VALUE!</v>
      </c>
      <c r="N25" s="111" t="e">
        <f>VLOOKUP(M25,Settings!$M$2:$N$33,2,0)</f>
        <v>#VALUE!</v>
      </c>
      <c r="O25" s="184" t="str">
        <f>+IF((L25=""),"",(P25-Settings!$AA$6))</f>
        <v/>
      </c>
      <c r="P25" s="203" t="str">
        <f>IF((L25=""),"",VLOOKUP(L25,TE!$B:$T,18,0))</f>
        <v/>
      </c>
      <c r="Q25" s="117" t="str">
        <f>'Draft Board'!U29</f>
        <v/>
      </c>
      <c r="R25" s="111" t="e">
        <f>VLOOKUP(Q25,TE!$B:$W,2,0)</f>
        <v>#VALUE!</v>
      </c>
      <c r="S25" s="111" t="e">
        <f>VLOOKUP(R25,Settings!$M$2:$N$33,2,0)</f>
        <v>#VALUE!</v>
      </c>
      <c r="T25" s="184" t="str">
        <f>+IF((Q25=""),"",(U25-Settings!$AA$6))</f>
        <v/>
      </c>
      <c r="U25" s="203" t="str">
        <f>IF((Q25=""),"",VLOOKUP(Q25,TE!$B:$T,18,0))</f>
        <v/>
      </c>
      <c r="V25" s="117" t="str">
        <f>'Draft Board'!AA29</f>
        <v/>
      </c>
      <c r="W25" s="111" t="e">
        <f>VLOOKUP(V25,TE!$B:$W,2,0)</f>
        <v>#VALUE!</v>
      </c>
      <c r="X25" s="111" t="e">
        <f>VLOOKUP(W25,Settings!$M$2:$N$33,2,0)</f>
        <v>#VALUE!</v>
      </c>
      <c r="Y25" s="184" t="str">
        <f>+IF((V25=""),"",(Z25-Settings!$AA$6))</f>
        <v/>
      </c>
      <c r="Z25" s="203" t="str">
        <f>IF((V25=""),"",VLOOKUP(V25,TE!$B:$T,18,0))</f>
        <v/>
      </c>
      <c r="AA25" s="117" t="str">
        <f>'Draft Board'!AG29</f>
        <v/>
      </c>
      <c r="AB25" s="111" t="e">
        <f>VLOOKUP(AA25,TE!$B:$W,2,0)</f>
        <v>#VALUE!</v>
      </c>
      <c r="AC25" s="111" t="e">
        <f>VLOOKUP(AB25,Settings!$M$2:$N$33,2,0)</f>
        <v>#VALUE!</v>
      </c>
      <c r="AD25" s="184" t="str">
        <f>+IF((AA25=""),"",(AE25-Settings!$AA$6))</f>
        <v/>
      </c>
      <c r="AE25" s="203" t="str">
        <f>IF((AA25=""),"",VLOOKUP(AA25,TE!$B:$T,18,0))</f>
        <v/>
      </c>
      <c r="AF25" s="117" t="str">
        <f>'Draft Board'!AM29</f>
        <v/>
      </c>
      <c r="AG25" s="111" t="e">
        <f>VLOOKUP(AF25,TE!$B:$W,2,0)</f>
        <v>#VALUE!</v>
      </c>
      <c r="AH25" s="111" t="e">
        <f>VLOOKUP(AG25,Settings!$M$2:$N$33,2,0)</f>
        <v>#VALUE!</v>
      </c>
      <c r="AI25" s="184" t="str">
        <f>+IF((AF25=""),"",(AJ25-Settings!$AA$6))</f>
        <v/>
      </c>
      <c r="AJ25" s="203" t="str">
        <f>IF((AF25=""),"",VLOOKUP(AF25,TE!$B:$T,18,0))</f>
        <v/>
      </c>
      <c r="AK25" s="117" t="str">
        <f>'Draft Board'!AS29</f>
        <v/>
      </c>
      <c r="AL25" s="111" t="e">
        <f>VLOOKUP(AK25,TE!$B:$W,2,0)</f>
        <v>#VALUE!</v>
      </c>
      <c r="AM25" s="111" t="e">
        <f>VLOOKUP(AL25,Settings!$M$2:$N$33,2,0)</f>
        <v>#VALUE!</v>
      </c>
      <c r="AN25" s="184" t="str">
        <f>+IF((AK25=""),"",(AO25-Settings!$AA$6))</f>
        <v/>
      </c>
      <c r="AO25" s="203" t="str">
        <f>IF((AK25=""),"",VLOOKUP(AK25,TE!$B:$T,18,0))</f>
        <v/>
      </c>
      <c r="AP25" s="117" t="str">
        <f>'Draft Board'!AY29</f>
        <v/>
      </c>
      <c r="AQ25" s="111" t="e">
        <f>VLOOKUP(AP25,TE!$B:$W,2,0)</f>
        <v>#VALUE!</v>
      </c>
      <c r="AR25" s="111" t="e">
        <f>VLOOKUP(AQ25,Settings!$M$2:$N$33,2,0)</f>
        <v>#VALUE!</v>
      </c>
      <c r="AS25" s="184" t="str">
        <f>+IF((AP25=""),"",(AT25-Settings!$AA$6))</f>
        <v/>
      </c>
      <c r="AT25" s="203" t="str">
        <f>IF((AP25=""),"",VLOOKUP(AP25,TE!$B:$T,18,0))</f>
        <v/>
      </c>
      <c r="AU25" s="117" t="str">
        <f>'Draft Board'!BE29</f>
        <v/>
      </c>
      <c r="AV25" s="111" t="e">
        <f>VLOOKUP(AU25,TE!$B:$W,2,0)</f>
        <v>#VALUE!</v>
      </c>
      <c r="AW25" s="111" t="e">
        <f>VLOOKUP(AV25,Settings!$M$2:$N$33,2,0)</f>
        <v>#VALUE!</v>
      </c>
      <c r="AX25" s="184" t="str">
        <f>+IF((AU25=""),"",(AY25-Settings!$AA$6))</f>
        <v/>
      </c>
      <c r="AY25" s="203" t="str">
        <f>IF((AU25=""),"",VLOOKUP(AU25,TE!$B:$T,18,0))</f>
        <v/>
      </c>
      <c r="AZ25" s="117" t="str">
        <f>'Draft Board'!BK29</f>
        <v/>
      </c>
      <c r="BA25" s="111" t="e">
        <f>VLOOKUP(AZ25,TE!$B:$W,2,0)</f>
        <v>#VALUE!</v>
      </c>
      <c r="BB25" s="111" t="e">
        <f>VLOOKUP(BA25,Settings!$M$2:$N$33,2,0)</f>
        <v>#VALUE!</v>
      </c>
      <c r="BC25" s="184" t="str">
        <f>+IF((AZ25=""),"",(BD25-Settings!$AA$6))</f>
        <v/>
      </c>
      <c r="BD25" s="111" t="str">
        <f>IF((AZ25=""),"",VLOOKUP(AZ25,TE!$B:$T,18,0))</f>
        <v/>
      </c>
    </row>
    <row r="26" spans="1:56" ht="12.75" customHeight="1">
      <c r="A26" s="31" t="s">
        <v>227</v>
      </c>
      <c r="B26" s="117" t="str">
        <f>'Draft Board'!C31</f>
        <v/>
      </c>
      <c r="C26" s="111" t="e">
        <f>VLOOKUP(B26,K!$B:$P,2,0)</f>
        <v>#VALUE!</v>
      </c>
      <c r="D26" s="111" t="e">
        <f>VLOOKUP(C26,Settings!$M$2:$N$33,2,0)</f>
        <v>#VALUE!</v>
      </c>
      <c r="E26" s="184" t="str">
        <f>+IF((B26=""),"",(F26-Settings!$AA$7))</f>
        <v/>
      </c>
      <c r="F26" s="203" t="str">
        <f>IF((B26=""),"",VLOOKUP(B26,K!$B:$P,15,0))</f>
        <v/>
      </c>
      <c r="G26" s="117" t="str">
        <f>'Draft Board'!I31</f>
        <v/>
      </c>
      <c r="H26" s="111" t="e">
        <f>VLOOKUP(G26,K!$B:$P,2,0)</f>
        <v>#VALUE!</v>
      </c>
      <c r="I26" s="111" t="e">
        <f>VLOOKUP(H26,Settings!$M$2:$N$33,2,0)</f>
        <v>#VALUE!</v>
      </c>
      <c r="J26" s="184" t="str">
        <f>+IF((G26=""),"",(K26-Settings!$AA$7))</f>
        <v/>
      </c>
      <c r="K26" s="203" t="str">
        <f>IF((G26=""),"",VLOOKUP(G26,K!$B:$P,15,0))</f>
        <v/>
      </c>
      <c r="L26" s="117" t="str">
        <f>'Draft Board'!O31</f>
        <v/>
      </c>
      <c r="M26" s="111" t="e">
        <f>VLOOKUP(L26,K!$B:$P,2,0)</f>
        <v>#VALUE!</v>
      </c>
      <c r="N26" s="111" t="e">
        <f>VLOOKUP(M26,Settings!$M$2:$N$33,2,0)</f>
        <v>#VALUE!</v>
      </c>
      <c r="O26" s="184" t="str">
        <f>+IF((L26=""),"",(P26-Settings!$AA$7))</f>
        <v/>
      </c>
      <c r="P26" s="203" t="str">
        <f>IF((L26=""),"",VLOOKUP(L26,K!$B:$P,15,0))</f>
        <v/>
      </c>
      <c r="Q26" s="117" t="str">
        <f>'Draft Board'!U31</f>
        <v/>
      </c>
      <c r="R26" s="111" t="e">
        <f>VLOOKUP(Q26,K!$B:$P,2,0)</f>
        <v>#VALUE!</v>
      </c>
      <c r="S26" s="111" t="e">
        <f>VLOOKUP(R26,Settings!$M$2:$N$33,2,0)</f>
        <v>#VALUE!</v>
      </c>
      <c r="T26" s="184" t="str">
        <f>+IF((Q26=""),"",(U26-Settings!$AA$7))</f>
        <v/>
      </c>
      <c r="U26" s="203" t="str">
        <f>IF((Q26=""),"",VLOOKUP(Q26,K!$B:$P,15,0))</f>
        <v/>
      </c>
      <c r="V26" s="117" t="str">
        <f>'Draft Board'!AA31</f>
        <v/>
      </c>
      <c r="W26" s="111" t="e">
        <f>VLOOKUP(V26,K!$B:$P,2,0)</f>
        <v>#VALUE!</v>
      </c>
      <c r="X26" s="111" t="e">
        <f>VLOOKUP(W26,Settings!$M$2:$N$33,2,0)</f>
        <v>#VALUE!</v>
      </c>
      <c r="Y26" s="184" t="str">
        <f>+IF((V26=""),"",(Z26-Settings!$AA$7))</f>
        <v/>
      </c>
      <c r="Z26" s="203" t="str">
        <f>IF((V26=""),"",VLOOKUP(V26,K!$B:$P,15,0))</f>
        <v/>
      </c>
      <c r="AA26" s="117" t="str">
        <f>'Draft Board'!AG31</f>
        <v/>
      </c>
      <c r="AB26" s="111" t="e">
        <f>VLOOKUP(AA26,K!$B:$P,2,0)</f>
        <v>#VALUE!</v>
      </c>
      <c r="AC26" s="111" t="e">
        <f>VLOOKUP(AB26,Settings!$M$2:$N$33,2,0)</f>
        <v>#VALUE!</v>
      </c>
      <c r="AD26" s="184" t="str">
        <f>+IF((AA26=""),"",(AE26-Settings!$AA$7))</f>
        <v/>
      </c>
      <c r="AE26" s="203" t="str">
        <f>IF((AA26=""),"",VLOOKUP(AA26,K!$B:$P,15,0))</f>
        <v/>
      </c>
      <c r="AF26" s="117" t="str">
        <f>'Draft Board'!AM31</f>
        <v/>
      </c>
      <c r="AG26" s="111" t="e">
        <f>VLOOKUP(AF26,K!$B:$P,2,0)</f>
        <v>#VALUE!</v>
      </c>
      <c r="AH26" s="111" t="e">
        <f>VLOOKUP(AG26,Settings!$M$2:$N$33,2,0)</f>
        <v>#VALUE!</v>
      </c>
      <c r="AI26" s="184" t="str">
        <f>+IF((AF26=""),"",(AJ26-Settings!$AA$7))</f>
        <v/>
      </c>
      <c r="AJ26" s="203" t="str">
        <f>IF((AF26=""),"",VLOOKUP(AF26,K!$B:$P,15,0))</f>
        <v/>
      </c>
      <c r="AK26" s="117" t="str">
        <f>'Draft Board'!AS31</f>
        <v/>
      </c>
      <c r="AL26" s="111" t="e">
        <f>VLOOKUP(AK26,K!$B:$P,2,0)</f>
        <v>#VALUE!</v>
      </c>
      <c r="AM26" s="111" t="e">
        <f>VLOOKUP(AL26,Settings!$M$2:$N$33,2,0)</f>
        <v>#VALUE!</v>
      </c>
      <c r="AN26" s="184" t="str">
        <f>+IF((AK26=""),"",(AO26-Settings!$AA$7))</f>
        <v/>
      </c>
      <c r="AO26" s="203" t="str">
        <f>IF((AK26=""),"",VLOOKUP(AK26,K!$B:$P,15,0))</f>
        <v/>
      </c>
      <c r="AP26" s="117" t="str">
        <f>'Draft Board'!AY31</f>
        <v/>
      </c>
      <c r="AQ26" s="111" t="e">
        <f>VLOOKUP(AP26,K!$B:$P,2,0)</f>
        <v>#VALUE!</v>
      </c>
      <c r="AR26" s="111" t="e">
        <f>VLOOKUP(AQ26,Settings!$M$2:$N$33,2,0)</f>
        <v>#VALUE!</v>
      </c>
      <c r="AS26" s="184" t="str">
        <f>+IF((AP26=""),"",(AT26-Settings!$AA$7))</f>
        <v/>
      </c>
      <c r="AT26" s="203" t="str">
        <f>IF((AP26=""),"",VLOOKUP(AP26,K!$B:$P,15,0))</f>
        <v/>
      </c>
      <c r="AU26" s="117" t="str">
        <f>'Draft Board'!BE31</f>
        <v/>
      </c>
      <c r="AV26" s="111" t="e">
        <f>VLOOKUP(AU26,K!$B:$P,2,0)</f>
        <v>#VALUE!</v>
      </c>
      <c r="AW26" s="111" t="e">
        <f>VLOOKUP(AV26,Settings!$M$2:$N$33,2,0)</f>
        <v>#VALUE!</v>
      </c>
      <c r="AX26" s="184" t="str">
        <f>+IF((AU26=""),"",(AY26-Settings!$AA$7))</f>
        <v/>
      </c>
      <c r="AY26" s="203" t="str">
        <f>IF((AU26=""),"",VLOOKUP(AU26,K!$B:$P,15,0))</f>
        <v/>
      </c>
      <c r="AZ26" s="117" t="str">
        <f>'Draft Board'!BK31</f>
        <v/>
      </c>
      <c r="BA26" s="111" t="e">
        <f>VLOOKUP(AZ26,K!$B:$P,2,0)</f>
        <v>#VALUE!</v>
      </c>
      <c r="BB26" s="111" t="e">
        <f>VLOOKUP(BA26,Settings!$M$2:$N$33,2,0)</f>
        <v>#VALUE!</v>
      </c>
      <c r="BC26" s="184" t="str">
        <f>+IF((AZ26=""),"",(BD26-Settings!$AA$7))</f>
        <v/>
      </c>
      <c r="BD26" s="111" t="str">
        <f>IF((AZ26=""),"",VLOOKUP(AZ26,K!$B:$P,15,0))</f>
        <v/>
      </c>
    </row>
    <row r="27" spans="1:56" ht="12.75" customHeight="1">
      <c r="A27" s="31" t="s">
        <v>228</v>
      </c>
      <c r="B27" s="117" t="str">
        <f>'Draft Board'!C32</f>
        <v/>
      </c>
      <c r="C27" s="111" t="e">
        <f>VLOOKUP(B27,K!$B:$P,2,0)</f>
        <v>#VALUE!</v>
      </c>
      <c r="D27" s="111" t="e">
        <f>VLOOKUP(C27,Settings!$M$2:$N$33,2,0)</f>
        <v>#VALUE!</v>
      </c>
      <c r="E27" s="184" t="str">
        <f>+IF((B27=""),"",(F27-Settings!$AA$7))</f>
        <v/>
      </c>
      <c r="F27" s="203" t="str">
        <f>IF((B27=""),"",VLOOKUP(B27,K!$B:$P,15,0))</f>
        <v/>
      </c>
      <c r="G27" s="117" t="str">
        <f>'Draft Board'!I32</f>
        <v/>
      </c>
      <c r="H27" s="111" t="e">
        <f>VLOOKUP(G27,K!$B:$P,2,0)</f>
        <v>#VALUE!</v>
      </c>
      <c r="I27" s="111" t="e">
        <f>VLOOKUP(H27,Settings!$M$2:$N$33,2,0)</f>
        <v>#VALUE!</v>
      </c>
      <c r="J27" s="184" t="str">
        <f>+IF((G27=""),"",(K27-Settings!$AA$7))</f>
        <v/>
      </c>
      <c r="K27" s="203" t="str">
        <f>IF((G27=""),"",VLOOKUP(G27,K!$B:$P,15,0))</f>
        <v/>
      </c>
      <c r="L27" s="117" t="str">
        <f>'Draft Board'!O32</f>
        <v/>
      </c>
      <c r="M27" s="111" t="e">
        <f>VLOOKUP(L27,K!$B:$P,2,0)</f>
        <v>#VALUE!</v>
      </c>
      <c r="N27" s="111" t="e">
        <f>VLOOKUP(M27,Settings!$M$2:$N$33,2,0)</f>
        <v>#VALUE!</v>
      </c>
      <c r="O27" s="184" t="str">
        <f>+IF((L27=""),"",(P27-Settings!$AA$7))</f>
        <v/>
      </c>
      <c r="P27" s="203" t="str">
        <f>IF((L27=""),"",VLOOKUP(L27,K!$B:$P,15,0))</f>
        <v/>
      </c>
      <c r="Q27" s="117" t="str">
        <f>'Draft Board'!U32</f>
        <v/>
      </c>
      <c r="R27" s="111" t="e">
        <f>VLOOKUP(Q27,K!$B:$P,2,0)</f>
        <v>#VALUE!</v>
      </c>
      <c r="S27" s="111" t="e">
        <f>VLOOKUP(R27,Settings!$M$2:$N$33,2,0)</f>
        <v>#VALUE!</v>
      </c>
      <c r="T27" s="184" t="str">
        <f>+IF((Q27=""),"",(U27-Settings!$AA$7))</f>
        <v/>
      </c>
      <c r="U27" s="203" t="str">
        <f>IF((Q27=""),"",VLOOKUP(Q27,K!$B:$P,15,0))</f>
        <v/>
      </c>
      <c r="V27" s="117" t="str">
        <f>'Draft Board'!AA32</f>
        <v/>
      </c>
      <c r="W27" s="111" t="e">
        <f>VLOOKUP(V27,K!$B:$P,2,0)</f>
        <v>#VALUE!</v>
      </c>
      <c r="X27" s="111" t="e">
        <f>VLOOKUP(W27,Settings!$M$2:$N$33,2,0)</f>
        <v>#VALUE!</v>
      </c>
      <c r="Y27" s="184" t="str">
        <f>+IF((V27=""),"",(Z27-Settings!$AA$7))</f>
        <v/>
      </c>
      <c r="Z27" s="203" t="str">
        <f>IF((V27=""),"",VLOOKUP(V27,K!$B:$P,15,0))</f>
        <v/>
      </c>
      <c r="AA27" s="117" t="str">
        <f>'Draft Board'!AG32</f>
        <v/>
      </c>
      <c r="AB27" s="111" t="e">
        <f>VLOOKUP(AA27,K!$B:$P,2,0)</f>
        <v>#VALUE!</v>
      </c>
      <c r="AC27" s="111" t="e">
        <f>VLOOKUP(AB27,Settings!$M$2:$N$33,2,0)</f>
        <v>#VALUE!</v>
      </c>
      <c r="AD27" s="184" t="str">
        <f>+IF((AA27=""),"",(AE27-Settings!$AA$7))</f>
        <v/>
      </c>
      <c r="AE27" s="203" t="str">
        <f>IF((AA27=""),"",VLOOKUP(AA27,K!$B:$P,15,0))</f>
        <v/>
      </c>
      <c r="AF27" s="117" t="str">
        <f>'Draft Board'!AM32</f>
        <v/>
      </c>
      <c r="AG27" s="111" t="e">
        <f>VLOOKUP(AF27,K!$B:$P,2,0)</f>
        <v>#VALUE!</v>
      </c>
      <c r="AH27" s="111" t="e">
        <f>VLOOKUP(AG27,Settings!$M$2:$N$33,2,0)</f>
        <v>#VALUE!</v>
      </c>
      <c r="AI27" s="184" t="str">
        <f>+IF((AF27=""),"",(AJ27-Settings!$AA$7))</f>
        <v/>
      </c>
      <c r="AJ27" s="203" t="str">
        <f>IF((AF27=""),"",VLOOKUP(AF27,K!$B:$P,15,0))</f>
        <v/>
      </c>
      <c r="AK27" s="117" t="str">
        <f>'Draft Board'!AS32</f>
        <v/>
      </c>
      <c r="AL27" s="111" t="e">
        <f>VLOOKUP(AK27,K!$B:$P,2,0)</f>
        <v>#VALUE!</v>
      </c>
      <c r="AM27" s="111" t="e">
        <f>VLOOKUP(AL27,Settings!$M$2:$N$33,2,0)</f>
        <v>#VALUE!</v>
      </c>
      <c r="AN27" s="184" t="str">
        <f>+IF((AK27=""),"",(AO27-Settings!$AA$7))</f>
        <v/>
      </c>
      <c r="AO27" s="203" t="str">
        <f>IF((AK27=""),"",VLOOKUP(AK27,K!$B:$P,15,0))</f>
        <v/>
      </c>
      <c r="AP27" s="117" t="str">
        <f>'Draft Board'!AY32</f>
        <v/>
      </c>
      <c r="AQ27" s="111" t="e">
        <f>VLOOKUP(AP27,K!$B:$P,2,0)</f>
        <v>#VALUE!</v>
      </c>
      <c r="AR27" s="111" t="e">
        <f>VLOOKUP(AQ27,Settings!$M$2:$N$33,2,0)</f>
        <v>#VALUE!</v>
      </c>
      <c r="AS27" s="184" t="str">
        <f>+IF((AP27=""),"",(AT27-Settings!$AA$7))</f>
        <v/>
      </c>
      <c r="AT27" s="203" t="str">
        <f>IF((AP27=""),"",VLOOKUP(AP27,K!$B:$P,15,0))</f>
        <v/>
      </c>
      <c r="AU27" s="117" t="str">
        <f>'Draft Board'!BE32</f>
        <v/>
      </c>
      <c r="AV27" s="111" t="e">
        <f>VLOOKUP(AU27,K!$B:$P,2,0)</f>
        <v>#VALUE!</v>
      </c>
      <c r="AW27" s="111" t="e">
        <f>VLOOKUP(AV27,Settings!$M$2:$N$33,2,0)</f>
        <v>#VALUE!</v>
      </c>
      <c r="AX27" s="184" t="str">
        <f>+IF((AU27=""),"",(AY27-Settings!$AA$7))</f>
        <v/>
      </c>
      <c r="AY27" s="203" t="str">
        <f>IF((AU27=""),"",VLOOKUP(AU27,K!$B:$P,15,0))</f>
        <v/>
      </c>
      <c r="AZ27" s="117" t="str">
        <f>'Draft Board'!BK32</f>
        <v/>
      </c>
      <c r="BA27" s="111" t="e">
        <f>VLOOKUP(AZ27,K!$B:$P,2,0)</f>
        <v>#VALUE!</v>
      </c>
      <c r="BB27" s="111" t="e">
        <f>VLOOKUP(BA27,Settings!$M$2:$N$33,2,0)</f>
        <v>#VALUE!</v>
      </c>
      <c r="BC27" s="184" t="str">
        <f>+IF((AZ27=""),"",(BD27-Settings!$AA$7))</f>
        <v/>
      </c>
      <c r="BD27" s="111" t="str">
        <f>IF((AZ27=""),"",VLOOKUP(AZ27,K!$B:$P,15,0))</f>
        <v/>
      </c>
    </row>
    <row r="28" spans="1:56" ht="12.75" customHeight="1">
      <c r="A28" s="31" t="s">
        <v>229</v>
      </c>
      <c r="B28" s="117" t="str">
        <f>'Draft Board'!C34</f>
        <v/>
      </c>
      <c r="C28" s="111" t="e">
        <f>VLOOKUP(B28,DST!$B:$U,2,0)</f>
        <v>#N/A</v>
      </c>
      <c r="D28" s="111" t="e">
        <f>VLOOKUP(C28,Settings!$M$2:$N$33,2,0)</f>
        <v>#N/A</v>
      </c>
      <c r="E28" s="184" t="str">
        <f>+IF((B28=""),"",(F28-Settings!$AA$8))</f>
        <v/>
      </c>
      <c r="F28" s="203" t="str">
        <f>IF((B28=""),"",VLOOKUP(B28,DST!$B:$U,20,0))</f>
        <v/>
      </c>
      <c r="G28" s="117" t="str">
        <f>'Draft Board'!I34</f>
        <v/>
      </c>
      <c r="H28" s="111" t="e">
        <f>VLOOKUP(G28,DST!$B:$U,2,0)</f>
        <v>#N/A</v>
      </c>
      <c r="I28" s="111" t="e">
        <f>VLOOKUP(H28,Settings!$M$2:$N$33,2,0)</f>
        <v>#N/A</v>
      </c>
      <c r="J28" s="184" t="str">
        <f>+IF((G28=""),"",(K28-Settings!$AA$8))</f>
        <v/>
      </c>
      <c r="K28" s="203" t="str">
        <f>IF((G28=""),"",VLOOKUP(G28,DST!$B:$U,20,0))</f>
        <v/>
      </c>
      <c r="L28" s="117" t="str">
        <f>'Draft Board'!O34</f>
        <v/>
      </c>
      <c r="M28" s="111" t="e">
        <f>VLOOKUP(L28,DST!$B:$U,2,0)</f>
        <v>#N/A</v>
      </c>
      <c r="N28" s="111" t="e">
        <f>VLOOKUP(M28,Settings!$M$2:$N$33,2,0)</f>
        <v>#N/A</v>
      </c>
      <c r="O28" s="184" t="str">
        <f>+IF((L28=""),"",(P28-Settings!$AA$8))</f>
        <v/>
      </c>
      <c r="P28" s="203" t="str">
        <f>IF((L28=""),"",VLOOKUP(L28,DST!$B:$U,20,0))</f>
        <v/>
      </c>
      <c r="Q28" s="117" t="str">
        <f>'Draft Board'!U34</f>
        <v/>
      </c>
      <c r="R28" s="111" t="e">
        <f>VLOOKUP(Q28,DST!$B:$U,2,0)</f>
        <v>#N/A</v>
      </c>
      <c r="S28" s="111" t="e">
        <f>VLOOKUP(R28,Settings!$M$2:$N$33,2,0)</f>
        <v>#N/A</v>
      </c>
      <c r="T28" s="184" t="str">
        <f>+IF((Q28=""),"",(U28-Settings!$AA$8))</f>
        <v/>
      </c>
      <c r="U28" s="203" t="str">
        <f>IF((Q28=""),"",VLOOKUP(Q28,DST!$B:$U,20,0))</f>
        <v/>
      </c>
      <c r="V28" s="117" t="str">
        <f>'Draft Board'!AA34</f>
        <v/>
      </c>
      <c r="W28" s="111" t="e">
        <f>VLOOKUP(V28,DST!$B:$U,2,0)</f>
        <v>#N/A</v>
      </c>
      <c r="X28" s="111" t="e">
        <f>VLOOKUP(W28,Settings!$M$2:$N$33,2,0)</f>
        <v>#N/A</v>
      </c>
      <c r="Y28" s="184" t="str">
        <f>+IF((V28=""),"",(Z28-Settings!$AA$8))</f>
        <v/>
      </c>
      <c r="Z28" s="203" t="str">
        <f>IF((V28=""),"",VLOOKUP(V28,DST!$B:$U,20,0))</f>
        <v/>
      </c>
      <c r="AA28" s="117" t="str">
        <f>'Draft Board'!AG34</f>
        <v/>
      </c>
      <c r="AB28" s="111" t="e">
        <f>VLOOKUP(AA28,DST!$B:$U,2,0)</f>
        <v>#N/A</v>
      </c>
      <c r="AC28" s="111" t="e">
        <f>VLOOKUP(AB28,Settings!$M$2:$N$33,2,0)</f>
        <v>#N/A</v>
      </c>
      <c r="AD28" s="184" t="str">
        <f>+IF((AA28=""),"",(AE28-Settings!$AA$8))</f>
        <v/>
      </c>
      <c r="AE28" s="203" t="str">
        <f>IF((AA28=""),"",VLOOKUP(AA28,DST!$B:$U,20,0))</f>
        <v/>
      </c>
      <c r="AF28" s="117" t="str">
        <f>'Draft Board'!AM34</f>
        <v/>
      </c>
      <c r="AG28" s="111" t="e">
        <f>VLOOKUP(AF28,DST!$B:$U,2,0)</f>
        <v>#N/A</v>
      </c>
      <c r="AH28" s="111" t="e">
        <f>VLOOKUP(AG28,Settings!$M$2:$N$33,2,0)</f>
        <v>#N/A</v>
      </c>
      <c r="AI28" s="184" t="str">
        <f>+IF((AF28=""),"",(AJ28-Settings!$AA$8))</f>
        <v/>
      </c>
      <c r="AJ28" s="203" t="str">
        <f>IF((AF28=""),"",VLOOKUP(AF28,DST!$B:$U,20,0))</f>
        <v/>
      </c>
      <c r="AK28" s="117" t="str">
        <f>'Draft Board'!AS34</f>
        <v/>
      </c>
      <c r="AL28" s="111" t="e">
        <f>VLOOKUP(AK28,DST!$B:$U,2,0)</f>
        <v>#N/A</v>
      </c>
      <c r="AM28" s="111" t="e">
        <f>VLOOKUP(AL28,Settings!$M$2:$N$33,2,0)</f>
        <v>#N/A</v>
      </c>
      <c r="AN28" s="184" t="str">
        <f>+IF((AK28=""),"",(AO28-Settings!$AA$8))</f>
        <v/>
      </c>
      <c r="AO28" s="203" t="str">
        <f>IF((AK28=""),"",VLOOKUP(AK28,DST!$B:$U,20,0))</f>
        <v/>
      </c>
      <c r="AP28" s="117" t="str">
        <f>'Draft Board'!AY34</f>
        <v/>
      </c>
      <c r="AQ28" s="111" t="e">
        <f>VLOOKUP(AP28,DST!$B:$U,2,0)</f>
        <v>#N/A</v>
      </c>
      <c r="AR28" s="111" t="e">
        <f>VLOOKUP(AQ28,Settings!$M$2:$N$33,2,0)</f>
        <v>#N/A</v>
      </c>
      <c r="AS28" s="184" t="str">
        <f>+IF((AP28=""),"",(AT28-Settings!$AA$8))</f>
        <v/>
      </c>
      <c r="AT28" s="203" t="str">
        <f>IF((AP28=""),"",VLOOKUP(AP28,DST!$B:$U,20,0))</f>
        <v/>
      </c>
      <c r="AU28" s="117" t="str">
        <f>'Draft Board'!BE34</f>
        <v/>
      </c>
      <c r="AV28" s="111" t="e">
        <f>VLOOKUP(AU28,DST!$B:$U,2,0)</f>
        <v>#N/A</v>
      </c>
      <c r="AW28" s="111" t="e">
        <f>VLOOKUP(AV28,Settings!$M$2:$N$33,2,0)</f>
        <v>#N/A</v>
      </c>
      <c r="AX28" s="184" t="str">
        <f>+IF((AU28=""),"",(AY28-Settings!$AA$8))</f>
        <v/>
      </c>
      <c r="AY28" s="203" t="str">
        <f>IF((AU28=""),"",VLOOKUP(AU28,DST!$B:$U,20,0))</f>
        <v/>
      </c>
      <c r="AZ28" s="117" t="str">
        <f>'Draft Board'!BK34</f>
        <v/>
      </c>
      <c r="BA28" s="111" t="e">
        <f>VLOOKUP(AZ28,DST!$B:$U,2,0)</f>
        <v>#N/A</v>
      </c>
      <c r="BB28" s="111" t="e">
        <f>VLOOKUP(BA28,Settings!$M$2:$N$33,2,0)</f>
        <v>#N/A</v>
      </c>
      <c r="BC28" s="184" t="str">
        <f>+IF((AZ28=""),"",(BD28-Settings!$AA$8))</f>
        <v/>
      </c>
      <c r="BD28" s="111" t="str">
        <f>IF((AZ28=""),"",VLOOKUP(AZ28,DST!$B:$U,20,0))</f>
        <v/>
      </c>
    </row>
    <row r="29" spans="1:56" ht="12.75" customHeight="1">
      <c r="A29" s="31" t="s">
        <v>230</v>
      </c>
      <c r="B29" s="117" t="str">
        <f>'Draft Board'!C35</f>
        <v/>
      </c>
      <c r="C29" s="111" t="e">
        <f>VLOOKUP(B29,DST!$B:$U,2,0)</f>
        <v>#N/A</v>
      </c>
      <c r="D29" s="111" t="e">
        <f>VLOOKUP(C29,Settings!$M$2:$N$33,2,0)</f>
        <v>#N/A</v>
      </c>
      <c r="E29" s="184" t="str">
        <f>+IF((B29=""),"",(F29-Settings!$AA$8))</f>
        <v/>
      </c>
      <c r="F29" s="203" t="str">
        <f>IF((B29=""),"",VLOOKUP(B29,DST!$B:$U,20,0))</f>
        <v/>
      </c>
      <c r="G29" s="117" t="str">
        <f>'Draft Board'!I35</f>
        <v/>
      </c>
      <c r="H29" s="111" t="e">
        <f>VLOOKUP(G29,DST!$B:$U,2,0)</f>
        <v>#N/A</v>
      </c>
      <c r="I29" s="111" t="e">
        <f>VLOOKUP(H29,Settings!$M$2:$N$33,2,0)</f>
        <v>#N/A</v>
      </c>
      <c r="J29" s="184" t="str">
        <f>+IF((G29=""),"",(K29-Settings!$AA$8))</f>
        <v/>
      </c>
      <c r="K29" s="203" t="str">
        <f>IF((G29=""),"",VLOOKUP(G29,DST!$B:$U,20,0))</f>
        <v/>
      </c>
      <c r="L29" s="117" t="str">
        <f>'Draft Board'!O35</f>
        <v/>
      </c>
      <c r="M29" s="111" t="e">
        <f>VLOOKUP(L29,DST!$B:$U,2,0)</f>
        <v>#N/A</v>
      </c>
      <c r="N29" s="111" t="e">
        <f>VLOOKUP(M29,Settings!$M$2:$N$33,2,0)</f>
        <v>#N/A</v>
      </c>
      <c r="O29" s="184" t="str">
        <f>+IF((L29=""),"",(P29-Settings!$AA$8))</f>
        <v/>
      </c>
      <c r="P29" s="203" t="str">
        <f>IF((L29=""),"",VLOOKUP(L29,DST!$B:$U,20,0))</f>
        <v/>
      </c>
      <c r="Q29" s="117" t="str">
        <f>'Draft Board'!U35</f>
        <v/>
      </c>
      <c r="R29" s="111" t="e">
        <f>VLOOKUP(Q29,DST!$B:$U,2,0)</f>
        <v>#N/A</v>
      </c>
      <c r="S29" s="111" t="e">
        <f>VLOOKUP(R29,Settings!$M$2:$N$33,2,0)</f>
        <v>#N/A</v>
      </c>
      <c r="T29" s="184" t="str">
        <f>+IF((Q29=""),"",(U29-Settings!$AA$8))</f>
        <v/>
      </c>
      <c r="U29" s="203" t="str">
        <f>IF((Q29=""),"",VLOOKUP(Q29,DST!$B:$U,20,0))</f>
        <v/>
      </c>
      <c r="V29" s="117" t="str">
        <f>'Draft Board'!AA35</f>
        <v/>
      </c>
      <c r="W29" s="111" t="e">
        <f>VLOOKUP(V29,DST!$B:$U,2,0)</f>
        <v>#N/A</v>
      </c>
      <c r="X29" s="111" t="e">
        <f>VLOOKUP(W29,Settings!$M$2:$N$33,2,0)</f>
        <v>#N/A</v>
      </c>
      <c r="Y29" s="184" t="str">
        <f>+IF((V29=""),"",(Z29-Settings!$AA$8))</f>
        <v/>
      </c>
      <c r="Z29" s="203" t="str">
        <f>IF((V29=""),"",VLOOKUP(V29,DST!$B:$U,20,0))</f>
        <v/>
      </c>
      <c r="AA29" s="117" t="str">
        <f>'Draft Board'!AG35</f>
        <v/>
      </c>
      <c r="AB29" s="111" t="e">
        <f>VLOOKUP(AA29,DST!$B:$U,2,0)</f>
        <v>#N/A</v>
      </c>
      <c r="AC29" s="111" t="e">
        <f>VLOOKUP(AB29,Settings!$M$2:$N$33,2,0)</f>
        <v>#N/A</v>
      </c>
      <c r="AD29" s="184" t="str">
        <f>+IF((AA29=""),"",(AE29-Settings!$AA$8))</f>
        <v/>
      </c>
      <c r="AE29" s="203" t="str">
        <f>IF((AA29=""),"",VLOOKUP(AA29,DST!$B:$U,20,0))</f>
        <v/>
      </c>
      <c r="AF29" s="117" t="str">
        <f>'Draft Board'!AM35</f>
        <v/>
      </c>
      <c r="AG29" s="111" t="e">
        <f>VLOOKUP(AF29,DST!$B:$U,2,0)</f>
        <v>#N/A</v>
      </c>
      <c r="AH29" s="111" t="e">
        <f>VLOOKUP(AG29,Settings!$M$2:$N$33,2,0)</f>
        <v>#N/A</v>
      </c>
      <c r="AI29" s="184" t="str">
        <f>+IF((AF29=""),"",(AJ29-Settings!$AA$8))</f>
        <v/>
      </c>
      <c r="AJ29" s="203" t="str">
        <f>IF((AF29=""),"",VLOOKUP(AF29,DST!$B:$U,20,0))</f>
        <v/>
      </c>
      <c r="AK29" s="117" t="str">
        <f>'Draft Board'!AS35</f>
        <v/>
      </c>
      <c r="AL29" s="111" t="e">
        <f>VLOOKUP(AK29,DST!$B:$U,2,0)</f>
        <v>#N/A</v>
      </c>
      <c r="AM29" s="111" t="e">
        <f>VLOOKUP(AL29,Settings!$M$2:$N$33,2,0)</f>
        <v>#N/A</v>
      </c>
      <c r="AN29" s="184" t="str">
        <f>+IF((AK29=""),"",(AO29-Settings!$AA$8))</f>
        <v/>
      </c>
      <c r="AO29" s="203" t="str">
        <f>IF((AK29=""),"",VLOOKUP(AK29,DST!$B:$U,20,0))</f>
        <v/>
      </c>
      <c r="AP29" s="117" t="str">
        <f>'Draft Board'!AY35</f>
        <v/>
      </c>
      <c r="AQ29" s="111" t="e">
        <f>VLOOKUP(AP29,DST!$B:$U,2,0)</f>
        <v>#N/A</v>
      </c>
      <c r="AR29" s="111" t="e">
        <f>VLOOKUP(AQ29,Settings!$M$2:$N$33,2,0)</f>
        <v>#N/A</v>
      </c>
      <c r="AS29" s="184" t="str">
        <f>+IF((AP29=""),"",(AT29-Settings!$AA$8))</f>
        <v/>
      </c>
      <c r="AT29" s="203" t="str">
        <f>IF((AP29=""),"",VLOOKUP(AP29,DST!$B:$U,20,0))</f>
        <v/>
      </c>
      <c r="AU29" s="117" t="str">
        <f>'Draft Board'!BE35</f>
        <v/>
      </c>
      <c r="AV29" s="111" t="e">
        <f>VLOOKUP(AU29,DST!$B:$U,2,0)</f>
        <v>#N/A</v>
      </c>
      <c r="AW29" s="111" t="e">
        <f>VLOOKUP(AV29,Settings!$M$2:$N$33,2,0)</f>
        <v>#N/A</v>
      </c>
      <c r="AX29" s="184" t="str">
        <f>+IF((AU29=""),"",(AY29-Settings!$AA$8))</f>
        <v/>
      </c>
      <c r="AY29" s="203" t="str">
        <f>IF((AU29=""),"",VLOOKUP(AU29,DST!$B:$U,20,0))</f>
        <v/>
      </c>
      <c r="AZ29" s="117" t="str">
        <f>'Draft Board'!BK35</f>
        <v/>
      </c>
      <c r="BA29" s="111" t="e">
        <f>VLOOKUP(AZ29,DST!$B:$U,2,0)</f>
        <v>#N/A</v>
      </c>
      <c r="BB29" s="111" t="e">
        <f>VLOOKUP(BA29,Settings!$M$2:$N$33,2,0)</f>
        <v>#N/A</v>
      </c>
      <c r="BC29" s="184" t="str">
        <f>+IF((AZ29=""),"",(BD29-Settings!$AA$8))</f>
        <v/>
      </c>
      <c r="BD29" s="111" t="str">
        <f>IF((AZ29=""),"",VLOOKUP(AZ29,DST!$B:$U,20,0))</f>
        <v/>
      </c>
    </row>
    <row r="30" spans="1:56" ht="12.75" customHeight="1">
      <c r="A30" s="31" t="s">
        <v>231</v>
      </c>
      <c r="B30" s="164" t="str">
        <f>'Draft Board'!C36</f>
        <v/>
      </c>
      <c r="C30" s="209" t="e">
        <f>VLOOKUP(B30,DST!$B:$U,2,0)</f>
        <v>#N/A</v>
      </c>
      <c r="D30" s="209" t="e">
        <f>VLOOKUP(C30,Settings!$M$2:$N$33,2,0)</f>
        <v>#N/A</v>
      </c>
      <c r="E30" s="120" t="str">
        <f>+IF((B30=""),"",(F30-Settings!$AA$8))</f>
        <v/>
      </c>
      <c r="F30" s="45" t="str">
        <f>IF((B30=""),"",VLOOKUP(B30,DST!$B:$U,20,0))</f>
        <v/>
      </c>
      <c r="G30" s="164" t="str">
        <f>'Draft Board'!I36</f>
        <v/>
      </c>
      <c r="H30" s="209" t="e">
        <f>VLOOKUP(G30,DST!$B:$U,2,0)</f>
        <v>#N/A</v>
      </c>
      <c r="I30" s="209" t="e">
        <f>VLOOKUP(H30,Settings!$M$2:$N$33,2,0)</f>
        <v>#N/A</v>
      </c>
      <c r="J30" s="120" t="str">
        <f>+IF((G30=""),"",(K30-Settings!$AA$8))</f>
        <v/>
      </c>
      <c r="K30" s="45" t="str">
        <f>IF((G30=""),"",VLOOKUP(G30,DST!$B:$U,20,0))</f>
        <v/>
      </c>
      <c r="L30" s="164" t="str">
        <f>'Draft Board'!O36</f>
        <v/>
      </c>
      <c r="M30" s="209" t="e">
        <f>VLOOKUP(L30,DST!$B:$U,2,0)</f>
        <v>#N/A</v>
      </c>
      <c r="N30" s="209" t="e">
        <f>VLOOKUP(M30,Settings!$M$2:$N$33,2,0)</f>
        <v>#N/A</v>
      </c>
      <c r="O30" s="120" t="str">
        <f>+IF((L30=""),"",(P30-Settings!$AA$8))</f>
        <v/>
      </c>
      <c r="P30" s="45" t="str">
        <f>IF((L30=""),"",VLOOKUP(L30,DST!$B:$U,20,0))</f>
        <v/>
      </c>
      <c r="Q30" s="164" t="str">
        <f>'Draft Board'!U36</f>
        <v/>
      </c>
      <c r="R30" s="209" t="e">
        <f>VLOOKUP(Q30,DST!$B:$U,2,0)</f>
        <v>#N/A</v>
      </c>
      <c r="S30" s="209" t="e">
        <f>VLOOKUP(R30,Settings!$M$2:$N$33,2,0)</f>
        <v>#N/A</v>
      </c>
      <c r="T30" s="120" t="str">
        <f>+IF((Q30=""),"",(U30-Settings!$AA$8))</f>
        <v/>
      </c>
      <c r="U30" s="45" t="str">
        <f>IF((Q30=""),"",VLOOKUP(Q30,DST!$B:$U,20,0))</f>
        <v/>
      </c>
      <c r="V30" s="164" t="str">
        <f>'Draft Board'!AA36</f>
        <v/>
      </c>
      <c r="W30" s="209" t="e">
        <f>VLOOKUP(V30,DST!$B:$U,2,0)</f>
        <v>#N/A</v>
      </c>
      <c r="X30" s="209" t="e">
        <f>VLOOKUP(W30,Settings!$M$2:$N$33,2,0)</f>
        <v>#N/A</v>
      </c>
      <c r="Y30" s="120" t="str">
        <f>+IF((V30=""),"",(Z30-Settings!$AA$8))</f>
        <v/>
      </c>
      <c r="Z30" s="45" t="str">
        <f>IF((V30=""),"",VLOOKUP(V30,DST!$B:$U,20,0))</f>
        <v/>
      </c>
      <c r="AA30" s="164" t="str">
        <f>'Draft Board'!AG36</f>
        <v/>
      </c>
      <c r="AB30" s="209" t="e">
        <f>VLOOKUP(AA30,DST!$B:$U,2,0)</f>
        <v>#N/A</v>
      </c>
      <c r="AC30" s="209" t="e">
        <f>VLOOKUP(AB30,Settings!$M$2:$N$33,2,0)</f>
        <v>#N/A</v>
      </c>
      <c r="AD30" s="120" t="str">
        <f>+IF((AA30=""),"",(AE30-Settings!$AA$8))</f>
        <v/>
      </c>
      <c r="AE30" s="45" t="str">
        <f>IF((AA30=""),"",VLOOKUP(AA30,DST!$B:$U,20,0))</f>
        <v/>
      </c>
      <c r="AF30" s="164" t="str">
        <f>'Draft Board'!AM36</f>
        <v/>
      </c>
      <c r="AG30" s="209" t="e">
        <f>VLOOKUP(AF30,DST!$B:$U,2,0)</f>
        <v>#N/A</v>
      </c>
      <c r="AH30" s="209" t="e">
        <f>VLOOKUP(AG30,Settings!$M$2:$N$33,2,0)</f>
        <v>#N/A</v>
      </c>
      <c r="AI30" s="120" t="str">
        <f>+IF((AF30=""),"",(AJ30-Settings!$AA$8))</f>
        <v/>
      </c>
      <c r="AJ30" s="45" t="str">
        <f>IF((AF30=""),"",VLOOKUP(AF30,DST!$B:$U,20,0))</f>
        <v/>
      </c>
      <c r="AK30" s="164" t="str">
        <f>'Draft Board'!AS36</f>
        <v/>
      </c>
      <c r="AL30" s="209" t="e">
        <f>VLOOKUP(AK30,DST!$B:$U,2,0)</f>
        <v>#N/A</v>
      </c>
      <c r="AM30" s="209" t="e">
        <f>VLOOKUP(AL30,Settings!$M$2:$N$33,2,0)</f>
        <v>#N/A</v>
      </c>
      <c r="AN30" s="120" t="str">
        <f>+IF((AK30=""),"",(AO30-Settings!$AA$8))</f>
        <v/>
      </c>
      <c r="AO30" s="45" t="str">
        <f>IF((AK30=""),"",VLOOKUP(AK30,DST!$B:$U,20,0))</f>
        <v/>
      </c>
      <c r="AP30" s="164" t="str">
        <f>'Draft Board'!AY36</f>
        <v/>
      </c>
      <c r="AQ30" s="209" t="e">
        <f>VLOOKUP(AP30,DST!$B:$U,2,0)</f>
        <v>#N/A</v>
      </c>
      <c r="AR30" s="209" t="e">
        <f>VLOOKUP(AQ30,Settings!$M$2:$N$33,2,0)</f>
        <v>#N/A</v>
      </c>
      <c r="AS30" s="120" t="str">
        <f>+IF((AP30=""),"",(AT30-Settings!$AA$8))</f>
        <v/>
      </c>
      <c r="AT30" s="45" t="str">
        <f>IF((AP30=""),"",VLOOKUP(AP30,DST!$B:$U,20,0))</f>
        <v/>
      </c>
      <c r="AU30" s="164" t="str">
        <f>'Draft Board'!BE36</f>
        <v/>
      </c>
      <c r="AV30" s="209" t="e">
        <f>VLOOKUP(AU30,DST!$B:$U,2,0)</f>
        <v>#N/A</v>
      </c>
      <c r="AW30" s="209" t="e">
        <f>VLOOKUP(AV30,Settings!$M$2:$N$33,2,0)</f>
        <v>#N/A</v>
      </c>
      <c r="AX30" s="120" t="str">
        <f>+IF((AU30=""),"",(AY30-Settings!$AA$8))</f>
        <v/>
      </c>
      <c r="AY30" s="45" t="str">
        <f>IF((AU30=""),"",VLOOKUP(AU30,DST!$B:$U,20,0))</f>
        <v/>
      </c>
      <c r="AZ30" s="164" t="str">
        <f>'Draft Board'!BK36</f>
        <v/>
      </c>
      <c r="BA30" s="209" t="e">
        <f>VLOOKUP(AZ30,DST!$B:$U,2,0)</f>
        <v>#N/A</v>
      </c>
      <c r="BB30" s="209" t="e">
        <f>VLOOKUP(BA30,Settings!$M$2:$N$33,2,0)</f>
        <v>#N/A</v>
      </c>
      <c r="BC30" s="120" t="str">
        <f>+IF((AZ30=""),"",(BD30-Settings!$AA$8))</f>
        <v/>
      </c>
      <c r="BD30" s="209" t="str">
        <f>IF((AZ30=""),"",VLOOKUP(AZ30,DST!$B:$U,20,0))</f>
        <v/>
      </c>
    </row>
    <row r="31" spans="1:56" ht="12.75" customHeight="1">
      <c r="A31" s="181"/>
      <c r="B31" s="91"/>
      <c r="C31" s="91"/>
      <c r="D31" s="91"/>
      <c r="E31" s="91"/>
      <c r="F31" s="91"/>
      <c r="G31" s="91"/>
      <c r="H31" s="91"/>
      <c r="I31" s="91"/>
      <c r="J31" s="91"/>
      <c r="K31" s="91"/>
      <c r="L31" s="91"/>
      <c r="M31" s="91"/>
      <c r="N31" s="91"/>
      <c r="O31" s="91"/>
      <c r="P31" s="91"/>
      <c r="Q31" s="91"/>
      <c r="R31" s="91"/>
      <c r="S31" s="91"/>
      <c r="T31" s="91"/>
      <c r="U31" s="91"/>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D31" s="118"/>
    </row>
    <row r="32" spans="1:56" ht="12.75" customHeight="1">
      <c r="A32" s="181"/>
      <c r="B32" s="33"/>
      <c r="C32" s="33"/>
      <c r="D32" s="33"/>
      <c r="E32" s="33"/>
      <c r="F32" s="33"/>
      <c r="G32" s="33"/>
      <c r="H32" s="33"/>
      <c r="I32" s="33"/>
      <c r="J32" s="33"/>
      <c r="K32" s="33"/>
      <c r="L32" s="33"/>
      <c r="M32" s="33"/>
      <c r="N32" s="33"/>
      <c r="O32" s="33"/>
      <c r="P32" s="33"/>
      <c r="Q32" s="33"/>
      <c r="R32" s="33"/>
      <c r="S32" s="33"/>
      <c r="T32" s="33"/>
      <c r="U32" s="33"/>
    </row>
    <row r="33" spans="1:56" ht="12.75" customHeight="1">
      <c r="A33" s="181"/>
      <c r="B33" s="33" t="s">
        <v>55</v>
      </c>
      <c r="C33" s="33"/>
      <c r="D33" s="33"/>
      <c r="E33" s="40">
        <f>SUM(E3,E8:E10,E15:E17,E23,E26,E28)</f>
        <v>0</v>
      </c>
      <c r="F33" s="70">
        <f>SUM(F3,F8:F10,F15:F17,F23,F26,F28)</f>
        <v>0</v>
      </c>
      <c r="G33" s="33" t="s">
        <v>55</v>
      </c>
      <c r="H33" s="33"/>
      <c r="I33" s="33"/>
      <c r="J33" s="40">
        <f>SUM(J3,J8:J10,J15:J17,J23,J26,J28)</f>
        <v>0</v>
      </c>
      <c r="K33" s="70">
        <f>SUM(K3,K8:K10,K15:K17,K23,K26,K28)</f>
        <v>0</v>
      </c>
      <c r="L33" s="33" t="s">
        <v>55</v>
      </c>
      <c r="M33" s="33"/>
      <c r="N33" s="33"/>
      <c r="O33" s="40">
        <f>SUM(O3,O8:O10,O15:O17,O23,O26,O28)</f>
        <v>0</v>
      </c>
      <c r="P33" s="70">
        <f>SUM(P3,P8:P10,P15:P17,P23,P26,P28)</f>
        <v>0</v>
      </c>
      <c r="Q33" s="33" t="s">
        <v>55</v>
      </c>
      <c r="R33" s="33"/>
      <c r="S33" s="33"/>
      <c r="T33" s="40">
        <f>SUM(T3,T8:T10,T15:T17,T23,T26,T28)</f>
        <v>0</v>
      </c>
      <c r="U33" s="70">
        <f>SUM(U3,U8:U10,U15:U17,U23,U26,U28)</f>
        <v>0</v>
      </c>
      <c r="V33" s="33" t="s">
        <v>55</v>
      </c>
      <c r="W33" s="33"/>
      <c r="X33" s="33"/>
      <c r="Y33" s="40">
        <f>SUM(Y3,Y8:Y10,Y15:Y17,Y23,Y26,Y28)</f>
        <v>0</v>
      </c>
      <c r="Z33" s="70">
        <f>SUM(Z3,Z8:Z10,Z15:Z17,Z23,Z26,Z28)</f>
        <v>0</v>
      </c>
      <c r="AA33" s="33" t="s">
        <v>55</v>
      </c>
      <c r="AB33" s="33"/>
      <c r="AC33" s="33"/>
      <c r="AD33" s="40">
        <f>SUM(AD3,AD8:AD10,AD15:AD17,AD23,AD26,AD28)</f>
        <v>0</v>
      </c>
      <c r="AE33" s="70">
        <f>SUM(AE3,AE8:AE10,AE15:AE17,AE23,AE26,AE28)</f>
        <v>0</v>
      </c>
      <c r="AF33" s="33" t="s">
        <v>55</v>
      </c>
      <c r="AG33" s="33"/>
      <c r="AH33" s="33"/>
      <c r="AI33" s="40">
        <f>SUM(AI3,AI8:AI10,AI15:AI17,AI23,AI26,AI28)</f>
        <v>0</v>
      </c>
      <c r="AJ33" s="70">
        <f>SUM(AJ3,AJ8:AJ10,AJ15:AJ17,AJ23,AJ26,AJ28)</f>
        <v>0</v>
      </c>
      <c r="AK33" s="33" t="s">
        <v>55</v>
      </c>
      <c r="AL33" s="33"/>
      <c r="AM33" s="33"/>
      <c r="AN33" s="40">
        <f>SUM(AN3,AN8:AN10,AN15:AN17,AN23,AN26,AN28)</f>
        <v>0</v>
      </c>
      <c r="AO33" s="70">
        <f>SUM(AO3,AO8:AO10,AO15:AO17,AO23,AO26,AO28)</f>
        <v>0</v>
      </c>
      <c r="AP33" s="33" t="s">
        <v>55</v>
      </c>
      <c r="AQ33" s="33"/>
      <c r="AR33" s="33"/>
      <c r="AS33" s="40">
        <f>SUM(AS3,AS8:AS10,AS15:AS17,AS23,AS26,AS28)</f>
        <v>0</v>
      </c>
      <c r="AT33" s="70">
        <f>SUM(AT3,AT8:AT10,AT15:AT17,AT23,AT26,AT28)</f>
        <v>0</v>
      </c>
      <c r="AU33" s="33" t="s">
        <v>55</v>
      </c>
      <c r="AV33" s="33"/>
      <c r="AW33" s="33"/>
      <c r="AX33" s="40">
        <f>SUM(AX3,AX8:AX10,AX15:AX17,AX23,AX26,AX28)</f>
        <v>0</v>
      </c>
      <c r="AY33" s="70">
        <f>SUM(AY3,AY8:AY10,AY15:AY17,AY23,AY26,AY28)</f>
        <v>0</v>
      </c>
      <c r="AZ33" s="33" t="s">
        <v>55</v>
      </c>
      <c r="BA33" s="33"/>
      <c r="BB33" s="33"/>
      <c r="BC33" s="40">
        <f>SUM(BC3,BC8:BC10,BC15:BC17,BC23,BC26,BC28)</f>
        <v>0</v>
      </c>
      <c r="BD33" s="70">
        <f>SUM(BD3,BD8:BD10,BD15:BD17,BD23,BD26,BD28)</f>
        <v>0</v>
      </c>
    </row>
    <row r="34" spans="1:56" ht="12.75" customHeight="1">
      <c r="A34" s="181"/>
      <c r="B34" s="33" t="s">
        <v>20</v>
      </c>
      <c r="C34" s="33"/>
      <c r="D34" s="33"/>
      <c r="E34" s="40">
        <f>SUM(E3:E30)</f>
        <v>0</v>
      </c>
      <c r="F34" s="70">
        <f>SUM(F3:F30)</f>
        <v>0</v>
      </c>
      <c r="G34" s="33" t="s">
        <v>20</v>
      </c>
      <c r="H34" s="33"/>
      <c r="I34" s="33"/>
      <c r="J34" s="40">
        <f>SUM(J3:J30)</f>
        <v>0</v>
      </c>
      <c r="K34" s="70">
        <f>SUM(K3:K30)</f>
        <v>0</v>
      </c>
      <c r="L34" s="33" t="s">
        <v>20</v>
      </c>
      <c r="M34" s="33"/>
      <c r="N34" s="33"/>
      <c r="O34" s="40">
        <f>SUM(O3:O30)</f>
        <v>0</v>
      </c>
      <c r="P34" s="70">
        <f>SUM(P3:P30)</f>
        <v>0</v>
      </c>
      <c r="Q34" s="33" t="s">
        <v>20</v>
      </c>
      <c r="R34" s="33"/>
      <c r="S34" s="33"/>
      <c r="T34" s="40">
        <f>SUM(T3:T30)</f>
        <v>0</v>
      </c>
      <c r="U34" s="70">
        <f>SUM(U3:U30)</f>
        <v>0</v>
      </c>
      <c r="V34" s="33" t="s">
        <v>20</v>
      </c>
      <c r="W34" s="33"/>
      <c r="X34" s="33"/>
      <c r="Y34" s="40">
        <f>SUM(Y3:Y30)</f>
        <v>0</v>
      </c>
      <c r="Z34" s="70">
        <f>SUM(Z3:Z30)</f>
        <v>0</v>
      </c>
      <c r="AA34" s="33" t="s">
        <v>20</v>
      </c>
      <c r="AB34" s="33"/>
      <c r="AC34" s="33"/>
      <c r="AD34" s="40">
        <f>SUM(AD3:AD30)</f>
        <v>0</v>
      </c>
      <c r="AE34" s="70">
        <f>SUM(AE3:AE30)</f>
        <v>0</v>
      </c>
      <c r="AF34" s="33" t="s">
        <v>20</v>
      </c>
      <c r="AG34" s="33"/>
      <c r="AH34" s="33"/>
      <c r="AI34" s="40">
        <f>SUM(AI3:AI30)</f>
        <v>0</v>
      </c>
      <c r="AJ34" s="70">
        <f>SUM(AJ3:AJ30)</f>
        <v>0</v>
      </c>
      <c r="AK34" s="33" t="s">
        <v>20</v>
      </c>
      <c r="AL34" s="33"/>
      <c r="AM34" s="33"/>
      <c r="AN34" s="40">
        <f>SUM(AN3:AN30)</f>
        <v>0</v>
      </c>
      <c r="AO34" s="70">
        <f>SUM(AO3:AO30)</f>
        <v>0</v>
      </c>
      <c r="AP34" s="33" t="s">
        <v>20</v>
      </c>
      <c r="AQ34" s="33"/>
      <c r="AR34" s="33"/>
      <c r="AS34" s="40">
        <f>SUM(AS3:AS30)</f>
        <v>0</v>
      </c>
      <c r="AT34" s="70">
        <f>SUM(AT3:AT30)</f>
        <v>0</v>
      </c>
      <c r="AU34" s="33" t="s">
        <v>20</v>
      </c>
      <c r="AV34" s="33"/>
      <c r="AW34" s="33"/>
      <c r="AX34" s="40">
        <f>SUM(AX3:AX30)</f>
        <v>0</v>
      </c>
      <c r="AY34" s="70">
        <f>SUM(AY3:AY30)</f>
        <v>0</v>
      </c>
      <c r="AZ34" s="33" t="s">
        <v>20</v>
      </c>
      <c r="BA34" s="33"/>
      <c r="BB34" s="33"/>
      <c r="BC34" s="40">
        <f>SUM(BC3:BC30)</f>
        <v>0</v>
      </c>
      <c r="BD34" s="70">
        <f>SUM(BD3:BD30)</f>
        <v>0</v>
      </c>
    </row>
    <row r="35" spans="1:56" ht="12.75" customHeight="1">
      <c r="A35" s="181"/>
      <c r="B35" s="33"/>
      <c r="C35" s="33"/>
      <c r="D35" s="33"/>
      <c r="E35" s="33"/>
      <c r="F35" s="33"/>
      <c r="G35" s="33"/>
      <c r="H35" s="33"/>
      <c r="I35" s="33"/>
      <c r="J35" s="33"/>
      <c r="K35" s="33"/>
      <c r="L35" s="33"/>
      <c r="M35" s="33"/>
      <c r="N35" s="33"/>
      <c r="O35" s="33"/>
      <c r="P35" s="33"/>
      <c r="Q35" s="33"/>
      <c r="R35" s="33"/>
      <c r="S35" s="33"/>
      <c r="T35" s="33"/>
      <c r="U35" s="33"/>
    </row>
    <row r="36" spans="1:56" ht="12.75" customHeight="1">
      <c r="A36" s="181"/>
      <c r="B36" s="33"/>
      <c r="C36" s="33"/>
      <c r="D36" s="33"/>
      <c r="E36" s="33"/>
      <c r="F36" s="33"/>
      <c r="G36" s="33"/>
      <c r="H36" s="33"/>
      <c r="I36" s="33"/>
      <c r="J36" s="33"/>
      <c r="K36" s="33"/>
      <c r="L36" s="33"/>
      <c r="M36" s="33"/>
      <c r="N36" s="33"/>
      <c r="O36" s="33"/>
      <c r="P36" s="33"/>
      <c r="Q36" s="33"/>
      <c r="R36" s="33"/>
      <c r="S36" s="33"/>
      <c r="T36" s="33"/>
      <c r="U36" s="33"/>
    </row>
    <row r="37" spans="1:56" ht="12.75" customHeight="1">
      <c r="A37" s="181"/>
      <c r="B37" s="33"/>
      <c r="C37" s="33"/>
      <c r="D37" s="33"/>
      <c r="E37" s="33"/>
      <c r="F37" s="33"/>
      <c r="G37" s="33"/>
      <c r="H37" s="33"/>
      <c r="I37" s="33"/>
      <c r="J37" s="33"/>
      <c r="K37" s="33"/>
      <c r="L37" s="33"/>
      <c r="M37" s="33"/>
      <c r="N37" s="33"/>
      <c r="O37" s="33"/>
      <c r="P37" s="33"/>
      <c r="Q37" s="33"/>
      <c r="R37" s="33"/>
      <c r="S37" s="33"/>
      <c r="T37" s="33"/>
      <c r="U37" s="33"/>
    </row>
    <row r="38" spans="1:56" ht="12.75" customHeight="1">
      <c r="A38" s="181"/>
      <c r="B38" s="33"/>
      <c r="C38" s="33"/>
      <c r="D38" s="33"/>
      <c r="E38" s="33"/>
      <c r="F38" s="33"/>
      <c r="G38" s="33"/>
      <c r="H38" s="33"/>
      <c r="I38" s="33"/>
      <c r="J38" s="33"/>
      <c r="K38" s="33"/>
      <c r="L38" s="33"/>
      <c r="M38" s="33"/>
      <c r="N38" s="33"/>
      <c r="O38" s="33"/>
      <c r="P38" s="33"/>
      <c r="Q38" s="33"/>
      <c r="R38" s="33"/>
      <c r="S38" s="33"/>
      <c r="T38" s="33"/>
      <c r="U38" s="33"/>
    </row>
    <row r="39" spans="1:56" ht="12.75" customHeight="1">
      <c r="A39" s="181"/>
      <c r="B39" s="33"/>
      <c r="C39" s="33"/>
      <c r="D39" s="33"/>
      <c r="E39" s="33"/>
      <c r="F39" s="33"/>
      <c r="G39" s="33"/>
      <c r="H39" s="33"/>
      <c r="I39" s="33"/>
      <c r="J39" s="33"/>
      <c r="K39" s="33"/>
      <c r="L39" s="33"/>
      <c r="M39" s="33"/>
      <c r="N39" s="33"/>
      <c r="O39" s="33"/>
      <c r="P39" s="33"/>
      <c r="Q39" s="33"/>
      <c r="R39" s="33"/>
      <c r="S39" s="33"/>
      <c r="T39" s="33"/>
      <c r="U39" s="33"/>
    </row>
    <row r="40" spans="1:56" ht="12.75" customHeight="1">
      <c r="A40" s="181"/>
      <c r="B40" s="33"/>
      <c r="C40" s="33"/>
      <c r="D40" s="33"/>
      <c r="E40" s="33"/>
      <c r="F40" s="33"/>
      <c r="G40" s="33"/>
      <c r="H40" s="33"/>
      <c r="I40" s="33"/>
      <c r="J40" s="33"/>
      <c r="K40" s="33"/>
      <c r="L40" s="33"/>
      <c r="M40" s="33"/>
      <c r="N40" s="33"/>
      <c r="O40" s="33"/>
      <c r="P40" s="33"/>
      <c r="Q40" s="33"/>
      <c r="R40" s="33"/>
      <c r="S40" s="33"/>
      <c r="T40" s="33"/>
      <c r="U40" s="33"/>
    </row>
    <row r="41" spans="1:56" ht="12.75" customHeight="1">
      <c r="A41" s="181"/>
      <c r="B41" s="33"/>
      <c r="C41" s="33"/>
      <c r="D41" s="33"/>
      <c r="E41" s="33"/>
      <c r="F41" s="33"/>
      <c r="G41" s="33"/>
      <c r="H41" s="33"/>
      <c r="I41" s="33"/>
      <c r="J41" s="33"/>
      <c r="K41" s="33"/>
      <c r="L41" s="33"/>
      <c r="M41" s="33"/>
      <c r="N41" s="33"/>
      <c r="O41" s="33"/>
      <c r="P41" s="33"/>
      <c r="Q41" s="33"/>
      <c r="R41" s="33"/>
      <c r="S41" s="33"/>
      <c r="T41" s="33"/>
      <c r="U41" s="33"/>
    </row>
    <row r="42" spans="1:56" ht="12.75" customHeight="1">
      <c r="A42" s="181"/>
      <c r="B42" s="33"/>
      <c r="C42" s="33"/>
      <c r="D42" s="33"/>
      <c r="E42" s="33"/>
      <c r="F42" s="33"/>
      <c r="G42" s="33"/>
      <c r="H42" s="33"/>
      <c r="I42" s="33"/>
      <c r="J42" s="33"/>
      <c r="K42" s="33"/>
      <c r="L42" s="33"/>
      <c r="M42" s="33"/>
      <c r="N42" s="33"/>
      <c r="O42" s="33"/>
      <c r="P42" s="33"/>
      <c r="Q42" s="33"/>
      <c r="R42" s="33"/>
      <c r="S42" s="33"/>
      <c r="T42" s="33"/>
      <c r="U42" s="33"/>
    </row>
    <row r="43" spans="1:56" ht="12.75" customHeight="1">
      <c r="A43" s="181"/>
      <c r="B43" s="33"/>
      <c r="C43" s="33"/>
      <c r="D43" s="33"/>
      <c r="E43" s="33"/>
      <c r="F43" s="33"/>
      <c r="G43" s="33"/>
      <c r="H43" s="33"/>
      <c r="I43" s="33"/>
      <c r="J43" s="33"/>
      <c r="K43" s="33"/>
      <c r="L43" s="33"/>
      <c r="M43" s="33"/>
      <c r="N43" s="33"/>
      <c r="O43" s="33"/>
      <c r="P43" s="33"/>
      <c r="Q43" s="33"/>
      <c r="R43" s="33"/>
      <c r="S43" s="33"/>
      <c r="T43" s="33"/>
      <c r="U43" s="33"/>
    </row>
    <row r="44" spans="1:56" ht="12.75" customHeight="1">
      <c r="A44" s="181"/>
      <c r="B44" s="33"/>
      <c r="C44" s="33"/>
      <c r="D44" s="33"/>
      <c r="E44" s="33"/>
      <c r="F44" s="33"/>
      <c r="G44" s="33"/>
      <c r="H44" s="33"/>
      <c r="I44" s="33"/>
      <c r="J44" s="33"/>
      <c r="K44" s="33"/>
      <c r="L44" s="33"/>
      <c r="M44" s="33"/>
      <c r="N44" s="33"/>
      <c r="O44" s="33"/>
      <c r="P44" s="33"/>
      <c r="Q44" s="33"/>
      <c r="R44" s="33"/>
      <c r="S44" s="33"/>
      <c r="T44" s="33"/>
      <c r="U44" s="33"/>
    </row>
    <row r="45" spans="1:56" ht="12.75" customHeight="1">
      <c r="A45" s="181"/>
      <c r="B45" s="33"/>
      <c r="C45" s="33"/>
      <c r="D45" s="33"/>
      <c r="E45" s="33"/>
      <c r="F45" s="33"/>
      <c r="G45" s="33"/>
      <c r="H45" s="33"/>
      <c r="I45" s="33"/>
      <c r="J45" s="33"/>
      <c r="K45" s="33"/>
      <c r="L45" s="33"/>
      <c r="M45" s="33"/>
      <c r="N45" s="33"/>
      <c r="O45" s="33"/>
      <c r="P45" s="33"/>
      <c r="Q45" s="33"/>
      <c r="R45" s="33"/>
      <c r="S45" s="33"/>
      <c r="T45" s="33"/>
      <c r="U45" s="33"/>
    </row>
    <row r="46" spans="1:56" ht="12.75" customHeight="1">
      <c r="A46" s="181"/>
      <c r="B46" s="33"/>
      <c r="C46" s="33"/>
      <c r="D46" s="33"/>
      <c r="E46" s="33"/>
      <c r="F46" s="33"/>
      <c r="G46" s="33"/>
      <c r="H46" s="33"/>
      <c r="I46" s="33"/>
      <c r="J46" s="33"/>
      <c r="K46" s="33"/>
      <c r="L46" s="33"/>
      <c r="M46" s="33"/>
      <c r="N46" s="33"/>
      <c r="O46" s="33"/>
      <c r="P46" s="33"/>
      <c r="Q46" s="33"/>
      <c r="R46" s="33"/>
      <c r="S46" s="33"/>
      <c r="T46" s="33"/>
      <c r="U46" s="33"/>
    </row>
    <row r="47" spans="1:56" ht="12.75" customHeight="1">
      <c r="A47" s="181"/>
      <c r="B47" s="33"/>
      <c r="C47" s="33"/>
      <c r="D47" s="33"/>
      <c r="E47" s="33"/>
      <c r="F47" s="33"/>
      <c r="G47" s="33"/>
      <c r="H47" s="33"/>
      <c r="I47" s="33"/>
      <c r="J47" s="33"/>
      <c r="K47" s="33"/>
      <c r="L47" s="33"/>
      <c r="M47" s="33"/>
      <c r="N47" s="33"/>
      <c r="O47" s="33"/>
      <c r="P47" s="33"/>
      <c r="Q47" s="33"/>
      <c r="R47" s="33"/>
      <c r="S47" s="33"/>
      <c r="T47" s="33"/>
      <c r="U47" s="33"/>
    </row>
    <row r="48" spans="1:56" ht="12.75" customHeight="1">
      <c r="A48" s="181"/>
      <c r="B48" s="33"/>
      <c r="C48" s="33"/>
      <c r="D48" s="33"/>
      <c r="E48" s="33"/>
      <c r="F48" s="33"/>
      <c r="G48" s="33"/>
      <c r="H48" s="33"/>
      <c r="I48" s="33"/>
      <c r="J48" s="33"/>
      <c r="K48" s="33"/>
      <c r="L48" s="33"/>
      <c r="M48" s="33"/>
      <c r="N48" s="33"/>
      <c r="O48" s="33"/>
      <c r="P48" s="33"/>
      <c r="Q48" s="33"/>
      <c r="R48" s="33"/>
      <c r="S48" s="33"/>
      <c r="T48" s="33"/>
      <c r="U48" s="33"/>
    </row>
    <row r="49" spans="1:21" ht="12.75" customHeight="1">
      <c r="A49" s="181"/>
      <c r="B49" s="33"/>
      <c r="C49" s="33"/>
      <c r="D49" s="33"/>
      <c r="E49" s="33"/>
      <c r="F49" s="33"/>
      <c r="G49" s="33"/>
      <c r="H49" s="33"/>
      <c r="I49" s="33"/>
      <c r="J49" s="33"/>
      <c r="K49" s="33"/>
      <c r="L49" s="33"/>
      <c r="M49" s="33"/>
      <c r="N49" s="33"/>
      <c r="O49" s="33"/>
      <c r="P49" s="33"/>
      <c r="Q49" s="33"/>
      <c r="R49" s="33"/>
      <c r="S49" s="33"/>
      <c r="T49" s="33"/>
      <c r="U49" s="33"/>
    </row>
    <row r="50" spans="1:21" ht="12.75" customHeight="1">
      <c r="A50" s="181"/>
      <c r="B50" s="33"/>
      <c r="C50" s="33"/>
      <c r="D50" s="33"/>
      <c r="E50" s="33"/>
      <c r="F50" s="33"/>
      <c r="G50" s="33"/>
      <c r="H50" s="33"/>
      <c r="I50" s="33"/>
      <c r="J50" s="33"/>
      <c r="K50" s="33"/>
      <c r="L50" s="33"/>
      <c r="M50" s="33"/>
      <c r="N50" s="33"/>
      <c r="O50" s="33"/>
      <c r="P50" s="33"/>
      <c r="Q50" s="33"/>
      <c r="R50" s="33"/>
      <c r="S50" s="33"/>
      <c r="T50" s="33"/>
      <c r="U50" s="33"/>
    </row>
    <row r="51" spans="1:21" ht="12.75" customHeight="1">
      <c r="A51" s="181"/>
      <c r="B51" s="33"/>
      <c r="C51" s="33"/>
      <c r="D51" s="33"/>
      <c r="E51" s="33"/>
      <c r="F51" s="33"/>
      <c r="G51" s="33"/>
      <c r="H51" s="33"/>
      <c r="I51" s="33"/>
      <c r="J51" s="33"/>
      <c r="K51" s="33"/>
      <c r="L51" s="33"/>
      <c r="M51" s="33"/>
      <c r="N51" s="33"/>
      <c r="O51" s="33"/>
      <c r="P51" s="33"/>
      <c r="Q51" s="33"/>
      <c r="R51" s="33"/>
      <c r="S51" s="33"/>
      <c r="T51" s="33"/>
      <c r="U51" s="33"/>
    </row>
    <row r="52" spans="1:21" ht="12.75" customHeight="1">
      <c r="A52" s="181"/>
      <c r="B52" s="33"/>
      <c r="C52" s="33"/>
      <c r="D52" s="33"/>
      <c r="E52" s="33"/>
      <c r="F52" s="33"/>
      <c r="G52" s="33"/>
      <c r="H52" s="33"/>
      <c r="I52" s="33"/>
      <c r="J52" s="33"/>
      <c r="K52" s="33"/>
      <c r="L52" s="33"/>
      <c r="M52" s="33"/>
      <c r="N52" s="33"/>
      <c r="O52" s="33"/>
      <c r="P52" s="33"/>
      <c r="Q52" s="33"/>
      <c r="R52" s="33"/>
      <c r="S52" s="33"/>
      <c r="T52" s="33"/>
      <c r="U52" s="33"/>
    </row>
    <row r="53" spans="1:21" ht="12.75" customHeight="1">
      <c r="A53" s="181"/>
      <c r="B53" s="33"/>
      <c r="C53" s="33"/>
      <c r="D53" s="33"/>
      <c r="E53" s="33"/>
      <c r="F53" s="33"/>
      <c r="G53" s="33"/>
      <c r="H53" s="33"/>
      <c r="I53" s="33"/>
      <c r="J53" s="33"/>
      <c r="K53" s="33"/>
      <c r="L53" s="33"/>
      <c r="M53" s="33"/>
      <c r="N53" s="33"/>
      <c r="O53" s="33"/>
      <c r="P53" s="33"/>
      <c r="Q53" s="33"/>
      <c r="R53" s="33"/>
      <c r="S53" s="33"/>
      <c r="T53" s="33"/>
      <c r="U53" s="33"/>
    </row>
    <row r="54" spans="1:21" ht="12.75" customHeight="1">
      <c r="A54" s="181"/>
      <c r="B54" s="33"/>
      <c r="C54" s="33"/>
      <c r="D54" s="33"/>
      <c r="E54" s="33"/>
      <c r="F54" s="33"/>
      <c r="G54" s="33"/>
      <c r="H54" s="33"/>
      <c r="I54" s="33"/>
      <c r="J54" s="33"/>
      <c r="K54" s="33"/>
      <c r="L54" s="33"/>
      <c r="M54" s="33"/>
      <c r="N54" s="33"/>
      <c r="O54" s="33"/>
      <c r="P54" s="33"/>
      <c r="Q54" s="33"/>
      <c r="R54" s="33"/>
      <c r="S54" s="33"/>
      <c r="T54" s="33"/>
      <c r="U54" s="33"/>
    </row>
    <row r="55" spans="1:21" ht="12.75" customHeight="1">
      <c r="A55" s="181"/>
      <c r="B55" s="33"/>
      <c r="C55" s="33"/>
      <c r="D55" s="33"/>
      <c r="E55" s="33"/>
      <c r="F55" s="33"/>
      <c r="G55" s="33"/>
      <c r="H55" s="33"/>
      <c r="I55" s="33"/>
      <c r="J55" s="33"/>
      <c r="K55" s="33"/>
      <c r="L55" s="33"/>
      <c r="M55" s="33"/>
      <c r="N55" s="33"/>
      <c r="O55" s="33"/>
      <c r="P55" s="33"/>
      <c r="Q55" s="33"/>
      <c r="R55" s="33"/>
      <c r="S55" s="33"/>
      <c r="T55" s="33"/>
      <c r="U55" s="33"/>
    </row>
    <row r="56" spans="1:21" ht="12.75" customHeight="1">
      <c r="A56" s="181"/>
      <c r="B56" s="33"/>
      <c r="C56" s="33"/>
      <c r="D56" s="33"/>
      <c r="E56" s="33"/>
      <c r="F56" s="33"/>
      <c r="G56" s="33"/>
      <c r="H56" s="33"/>
      <c r="I56" s="33"/>
      <c r="J56" s="33"/>
      <c r="K56" s="33"/>
      <c r="L56" s="33"/>
      <c r="M56" s="33"/>
      <c r="N56" s="33"/>
      <c r="O56" s="33"/>
      <c r="P56" s="33"/>
      <c r="Q56" s="33"/>
      <c r="R56" s="33"/>
      <c r="S56" s="33"/>
      <c r="T56" s="33"/>
      <c r="U56" s="33"/>
    </row>
    <row r="57" spans="1:21" ht="12.75" customHeight="1">
      <c r="A57" s="181"/>
      <c r="B57" s="33"/>
      <c r="C57" s="33"/>
      <c r="D57" s="33"/>
      <c r="E57" s="33"/>
      <c r="F57" s="33"/>
      <c r="G57" s="33"/>
      <c r="H57" s="33"/>
      <c r="I57" s="33"/>
      <c r="J57" s="33"/>
      <c r="K57" s="33"/>
      <c r="L57" s="33"/>
      <c r="M57" s="33"/>
      <c r="N57" s="33"/>
      <c r="O57" s="33"/>
      <c r="P57" s="33"/>
      <c r="Q57" s="33"/>
      <c r="R57" s="33"/>
      <c r="S57" s="33"/>
      <c r="T57" s="33"/>
      <c r="U57" s="33"/>
    </row>
    <row r="58" spans="1:21" ht="12.75" customHeight="1">
      <c r="A58" s="181"/>
      <c r="B58" s="33"/>
      <c r="C58" s="33"/>
      <c r="D58" s="33"/>
      <c r="E58" s="33"/>
      <c r="F58" s="33"/>
      <c r="G58" s="33"/>
      <c r="H58" s="33"/>
      <c r="I58" s="33"/>
      <c r="J58" s="33"/>
      <c r="K58" s="33"/>
      <c r="L58" s="33"/>
      <c r="M58" s="33"/>
      <c r="N58" s="33"/>
      <c r="O58" s="33"/>
      <c r="P58" s="33"/>
      <c r="Q58" s="33"/>
      <c r="R58" s="33"/>
      <c r="S58" s="33"/>
      <c r="T58" s="33"/>
      <c r="U58" s="33"/>
    </row>
    <row r="59" spans="1:21" ht="12.75" customHeight="1">
      <c r="A59" s="181"/>
      <c r="B59" s="33"/>
      <c r="C59" s="33"/>
      <c r="D59" s="33"/>
      <c r="E59" s="33"/>
      <c r="F59" s="33"/>
      <c r="G59" s="33"/>
      <c r="H59" s="33"/>
      <c r="I59" s="33"/>
      <c r="J59" s="33"/>
      <c r="K59" s="33"/>
      <c r="L59" s="33"/>
      <c r="M59" s="33"/>
      <c r="N59" s="33"/>
      <c r="O59" s="33"/>
      <c r="P59" s="33"/>
      <c r="Q59" s="33"/>
      <c r="R59" s="33"/>
      <c r="S59" s="33"/>
      <c r="T59" s="33"/>
      <c r="U59" s="33"/>
    </row>
    <row r="60" spans="1:21" ht="12.75" customHeight="1">
      <c r="A60" s="181"/>
      <c r="B60" s="33"/>
      <c r="C60" s="33"/>
      <c r="D60" s="33"/>
      <c r="E60" s="33"/>
      <c r="F60" s="33"/>
      <c r="G60" s="33"/>
      <c r="H60" s="33"/>
      <c r="I60" s="33"/>
      <c r="J60" s="33"/>
      <c r="K60" s="33"/>
      <c r="L60" s="33"/>
      <c r="M60" s="33"/>
      <c r="N60" s="33"/>
      <c r="O60" s="33"/>
      <c r="P60" s="33"/>
      <c r="Q60" s="33"/>
      <c r="R60" s="33"/>
      <c r="S60" s="33"/>
      <c r="T60" s="33"/>
      <c r="U60" s="33"/>
    </row>
    <row r="61" spans="1:21" ht="12.75" customHeight="1">
      <c r="A61" s="181"/>
      <c r="B61" s="33"/>
      <c r="C61" s="33"/>
      <c r="D61" s="33"/>
      <c r="E61" s="33"/>
      <c r="F61" s="33"/>
      <c r="G61" s="33"/>
      <c r="H61" s="33"/>
      <c r="I61" s="33"/>
      <c r="J61" s="33"/>
      <c r="K61" s="33"/>
      <c r="L61" s="33"/>
      <c r="M61" s="33"/>
      <c r="N61" s="33"/>
      <c r="O61" s="33"/>
      <c r="P61" s="33"/>
      <c r="Q61" s="33"/>
      <c r="R61" s="33"/>
      <c r="S61" s="33"/>
      <c r="T61" s="33"/>
      <c r="U61" s="33"/>
    </row>
    <row r="62" spans="1:21" ht="12.75" customHeight="1">
      <c r="A62" s="181"/>
      <c r="B62" s="33"/>
      <c r="C62" s="33"/>
      <c r="D62" s="33"/>
      <c r="E62" s="33"/>
      <c r="F62" s="33"/>
      <c r="G62" s="33"/>
      <c r="H62" s="33"/>
      <c r="I62" s="33"/>
      <c r="J62" s="33"/>
      <c r="K62" s="33"/>
      <c r="L62" s="33"/>
      <c r="M62" s="33"/>
      <c r="N62" s="33"/>
      <c r="O62" s="33"/>
      <c r="P62" s="33"/>
      <c r="Q62" s="33"/>
      <c r="R62" s="33"/>
      <c r="S62" s="33"/>
      <c r="T62" s="33"/>
      <c r="U62" s="33"/>
    </row>
    <row r="63" spans="1:21" ht="12.75" customHeight="1">
      <c r="A63" s="181"/>
      <c r="B63" s="33"/>
      <c r="C63" s="33"/>
      <c r="D63" s="33"/>
      <c r="E63" s="33"/>
      <c r="F63" s="33"/>
      <c r="G63" s="33"/>
      <c r="H63" s="33"/>
      <c r="I63" s="33"/>
      <c r="J63" s="33"/>
      <c r="K63" s="33"/>
      <c r="L63" s="33"/>
      <c r="M63" s="33"/>
      <c r="N63" s="33"/>
      <c r="O63" s="33"/>
      <c r="P63" s="33"/>
      <c r="Q63" s="33"/>
      <c r="R63" s="33"/>
      <c r="S63" s="33"/>
      <c r="T63" s="33"/>
      <c r="U63" s="33"/>
    </row>
    <row r="64" spans="1:21" ht="12.75" customHeight="1">
      <c r="A64" s="181"/>
      <c r="B64" s="33"/>
      <c r="C64" s="33"/>
      <c r="D64" s="33"/>
      <c r="E64" s="33"/>
      <c r="F64" s="33"/>
      <c r="G64" s="33"/>
      <c r="H64" s="33"/>
      <c r="I64" s="33"/>
      <c r="J64" s="33"/>
      <c r="K64" s="33"/>
      <c r="L64" s="33"/>
      <c r="M64" s="33"/>
      <c r="N64" s="33"/>
      <c r="O64" s="33"/>
      <c r="P64" s="33"/>
      <c r="Q64" s="33"/>
      <c r="R64" s="33"/>
      <c r="S64" s="33"/>
      <c r="T64" s="33"/>
      <c r="U64" s="33"/>
    </row>
    <row r="65" spans="1:21" ht="12.75" customHeight="1">
      <c r="A65" s="181"/>
      <c r="B65" s="33"/>
      <c r="C65" s="33"/>
      <c r="D65" s="33"/>
      <c r="E65" s="33"/>
      <c r="F65" s="33"/>
      <c r="G65" s="33"/>
      <c r="H65" s="33"/>
      <c r="I65" s="33"/>
      <c r="J65" s="33"/>
      <c r="K65" s="33"/>
      <c r="L65" s="33"/>
      <c r="M65" s="33"/>
      <c r="N65" s="33"/>
      <c r="O65" s="33"/>
      <c r="P65" s="33"/>
      <c r="Q65" s="33"/>
      <c r="R65" s="33"/>
      <c r="S65" s="33"/>
      <c r="T65" s="33"/>
      <c r="U65" s="33"/>
    </row>
    <row r="66" spans="1:21" ht="12.75" customHeight="1">
      <c r="A66" s="181"/>
      <c r="B66" s="33"/>
      <c r="C66" s="33"/>
      <c r="D66" s="33"/>
      <c r="E66" s="33"/>
      <c r="F66" s="33"/>
      <c r="G66" s="33"/>
      <c r="H66" s="33"/>
      <c r="I66" s="33"/>
      <c r="J66" s="33"/>
      <c r="K66" s="33"/>
      <c r="L66" s="33"/>
      <c r="M66" s="33"/>
      <c r="N66" s="33"/>
      <c r="O66" s="33"/>
      <c r="P66" s="33"/>
      <c r="Q66" s="33"/>
      <c r="R66" s="33"/>
      <c r="S66" s="33"/>
      <c r="T66" s="33"/>
      <c r="U66" s="33"/>
    </row>
    <row r="67" spans="1:21" ht="12.75" customHeight="1">
      <c r="A67" s="181"/>
      <c r="B67" s="33"/>
      <c r="C67" s="33"/>
      <c r="D67" s="33"/>
      <c r="E67" s="33"/>
      <c r="F67" s="33"/>
      <c r="G67" s="33"/>
      <c r="H67" s="33"/>
      <c r="I67" s="33"/>
      <c r="J67" s="33"/>
      <c r="K67" s="33"/>
      <c r="L67" s="33"/>
      <c r="M67" s="33"/>
      <c r="N67" s="33"/>
      <c r="O67" s="33"/>
      <c r="P67" s="33"/>
      <c r="Q67" s="33"/>
      <c r="R67" s="33"/>
      <c r="S67" s="33"/>
      <c r="T67" s="33"/>
      <c r="U67" s="33"/>
    </row>
    <row r="68" spans="1:21" ht="12.75" customHeight="1">
      <c r="A68" s="181"/>
      <c r="B68" s="33"/>
      <c r="C68" s="33"/>
      <c r="D68" s="33"/>
      <c r="E68" s="33"/>
      <c r="F68" s="33"/>
      <c r="G68" s="33"/>
      <c r="H68" s="33"/>
      <c r="I68" s="33"/>
      <c r="J68" s="33"/>
      <c r="K68" s="33"/>
      <c r="L68" s="33"/>
      <c r="M68" s="33"/>
      <c r="N68" s="33"/>
      <c r="O68" s="33"/>
      <c r="P68" s="33"/>
      <c r="Q68" s="33"/>
      <c r="R68" s="33"/>
      <c r="S68" s="33"/>
      <c r="T68" s="33"/>
      <c r="U68" s="33"/>
    </row>
    <row r="69" spans="1:21" ht="12.75" customHeight="1">
      <c r="A69" s="181"/>
      <c r="B69" s="33"/>
      <c r="C69" s="33"/>
      <c r="D69" s="33"/>
      <c r="E69" s="33"/>
      <c r="F69" s="33"/>
      <c r="G69" s="33"/>
      <c r="H69" s="33"/>
      <c r="I69" s="33"/>
      <c r="J69" s="33"/>
      <c r="K69" s="33"/>
      <c r="L69" s="33"/>
      <c r="M69" s="33"/>
      <c r="N69" s="33"/>
      <c r="O69" s="33"/>
      <c r="P69" s="33"/>
      <c r="Q69" s="33"/>
      <c r="R69" s="33"/>
      <c r="S69" s="33"/>
      <c r="T69" s="33"/>
      <c r="U69" s="33"/>
    </row>
    <row r="70" spans="1:21" ht="12.75" customHeight="1">
      <c r="A70" s="181"/>
      <c r="B70" s="33"/>
      <c r="C70" s="33"/>
      <c r="D70" s="33"/>
      <c r="E70" s="33"/>
      <c r="F70" s="33"/>
      <c r="G70" s="33"/>
      <c r="H70" s="33"/>
      <c r="I70" s="33"/>
      <c r="J70" s="33"/>
      <c r="K70" s="33"/>
      <c r="L70" s="33"/>
      <c r="M70" s="33"/>
      <c r="N70" s="33"/>
      <c r="O70" s="33"/>
      <c r="P70" s="33"/>
      <c r="Q70" s="33"/>
      <c r="R70" s="33"/>
      <c r="S70" s="33"/>
      <c r="T70" s="33"/>
      <c r="U70" s="33"/>
    </row>
    <row r="71" spans="1:21" ht="12.75" customHeight="1">
      <c r="A71" s="181"/>
      <c r="B71" s="33"/>
      <c r="C71" s="33"/>
      <c r="D71" s="33"/>
      <c r="E71" s="33"/>
      <c r="F71" s="33"/>
      <c r="G71" s="33"/>
      <c r="H71" s="33"/>
      <c r="I71" s="33"/>
      <c r="J71" s="33"/>
      <c r="K71" s="33"/>
      <c r="L71" s="33"/>
      <c r="M71" s="33"/>
      <c r="N71" s="33"/>
      <c r="O71" s="33"/>
      <c r="P71" s="33"/>
      <c r="Q71" s="33"/>
      <c r="R71" s="33"/>
      <c r="S71" s="33"/>
      <c r="T71" s="33"/>
      <c r="U71" s="33"/>
    </row>
    <row r="72" spans="1:21" ht="12.75" customHeight="1">
      <c r="A72" s="181"/>
      <c r="B72" s="33"/>
      <c r="C72" s="33"/>
      <c r="D72" s="33"/>
      <c r="E72" s="33"/>
      <c r="F72" s="33"/>
      <c r="G72" s="33"/>
      <c r="H72" s="33"/>
      <c r="I72" s="33"/>
      <c r="J72" s="33"/>
      <c r="K72" s="33"/>
      <c r="L72" s="33"/>
      <c r="M72" s="33"/>
      <c r="N72" s="33"/>
      <c r="O72" s="33"/>
      <c r="P72" s="33"/>
      <c r="Q72" s="33"/>
      <c r="R72" s="33"/>
      <c r="S72" s="33"/>
      <c r="T72" s="33"/>
      <c r="U72" s="33"/>
    </row>
    <row r="73" spans="1:21" ht="12.75" customHeight="1">
      <c r="A73" s="181"/>
      <c r="B73" s="33"/>
      <c r="C73" s="33"/>
      <c r="D73" s="33"/>
      <c r="E73" s="33"/>
      <c r="F73" s="33"/>
      <c r="G73" s="33"/>
      <c r="H73" s="33"/>
      <c r="I73" s="33"/>
      <c r="J73" s="33"/>
      <c r="K73" s="33"/>
      <c r="L73" s="33"/>
      <c r="M73" s="33"/>
      <c r="N73" s="33"/>
      <c r="O73" s="33"/>
      <c r="P73" s="33"/>
      <c r="Q73" s="33"/>
      <c r="R73" s="33"/>
      <c r="S73" s="33"/>
      <c r="T73" s="33"/>
      <c r="U73" s="33"/>
    </row>
    <row r="74" spans="1:21" ht="12.75" customHeight="1">
      <c r="A74" s="181"/>
      <c r="B74" s="33"/>
      <c r="C74" s="33"/>
      <c r="D74" s="33"/>
      <c r="E74" s="33"/>
      <c r="F74" s="33"/>
      <c r="G74" s="33"/>
      <c r="H74" s="33"/>
      <c r="I74" s="33"/>
      <c r="J74" s="33"/>
      <c r="K74" s="33"/>
      <c r="L74" s="33"/>
      <c r="M74" s="33"/>
      <c r="N74" s="33"/>
      <c r="O74" s="33"/>
      <c r="P74" s="33"/>
      <c r="Q74" s="33"/>
      <c r="R74" s="33"/>
      <c r="S74" s="33"/>
      <c r="T74" s="33"/>
      <c r="U74" s="33"/>
    </row>
    <row r="75" spans="1:21" ht="12.75" customHeight="1">
      <c r="A75" s="181"/>
      <c r="B75" s="33"/>
      <c r="C75" s="33"/>
      <c r="D75" s="33"/>
      <c r="E75" s="33"/>
      <c r="F75" s="33"/>
      <c r="G75" s="33"/>
      <c r="H75" s="33"/>
      <c r="I75" s="33"/>
      <c r="J75" s="33"/>
      <c r="K75" s="33"/>
      <c r="L75" s="33"/>
      <c r="M75" s="33"/>
      <c r="N75" s="33"/>
      <c r="O75" s="33"/>
      <c r="P75" s="33"/>
      <c r="Q75" s="33"/>
      <c r="R75" s="33"/>
      <c r="S75" s="33"/>
      <c r="T75" s="33"/>
      <c r="U75" s="33"/>
    </row>
    <row r="76" spans="1:21" ht="12.75" customHeight="1">
      <c r="A76" s="181"/>
      <c r="B76" s="33"/>
      <c r="C76" s="33"/>
      <c r="D76" s="33"/>
      <c r="E76" s="33"/>
      <c r="F76" s="33"/>
      <c r="G76" s="33"/>
      <c r="H76" s="33"/>
      <c r="I76" s="33"/>
      <c r="J76" s="33"/>
      <c r="K76" s="33"/>
      <c r="L76" s="33"/>
      <c r="M76" s="33"/>
      <c r="N76" s="33"/>
      <c r="O76" s="33"/>
      <c r="P76" s="33"/>
      <c r="Q76" s="33"/>
      <c r="R76" s="33"/>
      <c r="S76" s="33"/>
      <c r="T76" s="33"/>
      <c r="U76" s="33"/>
    </row>
    <row r="77" spans="1:21" ht="12.75" customHeight="1">
      <c r="A77" s="181"/>
      <c r="B77" s="33"/>
      <c r="C77" s="33"/>
      <c r="D77" s="33"/>
      <c r="E77" s="33"/>
      <c r="F77" s="33"/>
      <c r="G77" s="33"/>
      <c r="H77" s="33"/>
      <c r="I77" s="33"/>
      <c r="J77" s="33"/>
      <c r="K77" s="33"/>
      <c r="L77" s="33"/>
      <c r="M77" s="33"/>
      <c r="N77" s="33"/>
      <c r="O77" s="33"/>
      <c r="P77" s="33"/>
      <c r="Q77" s="33"/>
      <c r="R77" s="33"/>
      <c r="S77" s="33"/>
      <c r="T77" s="33"/>
      <c r="U77" s="33"/>
    </row>
    <row r="78" spans="1:21" ht="12.75" customHeight="1">
      <c r="A78" s="181"/>
      <c r="B78" s="33"/>
      <c r="C78" s="33"/>
      <c r="D78" s="33"/>
      <c r="E78" s="33"/>
      <c r="F78" s="33"/>
      <c r="G78" s="33"/>
      <c r="H78" s="33"/>
      <c r="I78" s="33"/>
      <c r="J78" s="33"/>
      <c r="K78" s="33"/>
      <c r="L78" s="33"/>
      <c r="M78" s="33"/>
      <c r="N78" s="33"/>
      <c r="O78" s="33"/>
      <c r="P78" s="33"/>
      <c r="Q78" s="33"/>
      <c r="R78" s="33"/>
      <c r="S78" s="33"/>
      <c r="T78" s="33"/>
      <c r="U78" s="33"/>
    </row>
    <row r="79" spans="1:21" ht="12.75" customHeight="1">
      <c r="A79" s="181"/>
      <c r="B79" s="33"/>
      <c r="C79" s="33"/>
      <c r="D79" s="33"/>
      <c r="E79" s="33"/>
      <c r="F79" s="33"/>
      <c r="G79" s="33"/>
      <c r="H79" s="33"/>
      <c r="I79" s="33"/>
      <c r="J79" s="33"/>
      <c r="K79" s="33"/>
      <c r="L79" s="33"/>
      <c r="M79" s="33"/>
      <c r="N79" s="33"/>
      <c r="O79" s="33"/>
      <c r="P79" s="33"/>
      <c r="Q79" s="33"/>
      <c r="R79" s="33"/>
      <c r="S79" s="33"/>
      <c r="T79" s="33"/>
      <c r="U79" s="33"/>
    </row>
    <row r="80" spans="1:21" ht="12.75" customHeight="1">
      <c r="A80" s="181"/>
      <c r="B80" s="33"/>
      <c r="C80" s="33"/>
      <c r="D80" s="33"/>
      <c r="E80" s="33"/>
      <c r="F80" s="33"/>
      <c r="G80" s="33"/>
      <c r="H80" s="33"/>
      <c r="I80" s="33"/>
      <c r="J80" s="33"/>
      <c r="K80" s="33"/>
      <c r="L80" s="33"/>
      <c r="M80" s="33"/>
      <c r="N80" s="33"/>
      <c r="O80" s="33"/>
      <c r="P80" s="33"/>
      <c r="Q80" s="33"/>
      <c r="R80" s="33"/>
      <c r="S80" s="33"/>
      <c r="T80" s="33"/>
      <c r="U80" s="33"/>
    </row>
    <row r="81" spans="1:21" ht="12.75" customHeight="1">
      <c r="A81" s="181"/>
      <c r="B81" s="33"/>
      <c r="C81" s="33"/>
      <c r="D81" s="33"/>
      <c r="E81" s="33"/>
      <c r="F81" s="33"/>
      <c r="G81" s="33"/>
      <c r="H81" s="33"/>
      <c r="I81" s="33"/>
      <c r="J81" s="33"/>
      <c r="K81" s="33"/>
      <c r="L81" s="33"/>
      <c r="M81" s="33"/>
      <c r="N81" s="33"/>
      <c r="O81" s="33"/>
      <c r="P81" s="33"/>
      <c r="Q81" s="33"/>
      <c r="R81" s="33"/>
      <c r="S81" s="33"/>
      <c r="T81" s="33"/>
      <c r="U81" s="33"/>
    </row>
    <row r="82" spans="1:21" ht="12.75" customHeight="1">
      <c r="A82" s="181"/>
      <c r="B82" s="33"/>
      <c r="C82" s="33"/>
      <c r="D82" s="33"/>
      <c r="E82" s="33"/>
      <c r="F82" s="33"/>
      <c r="G82" s="33"/>
      <c r="H82" s="33"/>
      <c r="I82" s="33"/>
      <c r="J82" s="33"/>
      <c r="K82" s="33"/>
      <c r="L82" s="33"/>
      <c r="M82" s="33"/>
      <c r="N82" s="33"/>
      <c r="O82" s="33"/>
      <c r="P82" s="33"/>
      <c r="Q82" s="33"/>
      <c r="R82" s="33"/>
      <c r="S82" s="33"/>
      <c r="T82" s="33"/>
      <c r="U82" s="33"/>
    </row>
    <row r="83" spans="1:21" ht="12.75" customHeight="1">
      <c r="A83" s="181"/>
      <c r="B83" s="33"/>
      <c r="C83" s="33"/>
      <c r="D83" s="33"/>
      <c r="E83" s="33"/>
      <c r="F83" s="33"/>
      <c r="G83" s="33"/>
      <c r="H83" s="33"/>
      <c r="I83" s="33"/>
      <c r="J83" s="33"/>
      <c r="K83" s="33"/>
      <c r="L83" s="33"/>
      <c r="M83" s="33"/>
      <c r="N83" s="33"/>
      <c r="O83" s="33"/>
      <c r="P83" s="33"/>
      <c r="Q83" s="33"/>
      <c r="R83" s="33"/>
      <c r="S83" s="33"/>
      <c r="T83" s="33"/>
      <c r="U83" s="33"/>
    </row>
    <row r="84" spans="1:21" ht="12.75" customHeight="1">
      <c r="A84" s="181"/>
      <c r="B84" s="33"/>
      <c r="C84" s="33"/>
      <c r="D84" s="33"/>
      <c r="E84" s="33"/>
      <c r="F84" s="33"/>
      <c r="G84" s="33"/>
      <c r="H84" s="33"/>
      <c r="I84" s="33"/>
      <c r="J84" s="33"/>
      <c r="K84" s="33"/>
      <c r="L84" s="33"/>
      <c r="M84" s="33"/>
      <c r="N84" s="33"/>
      <c r="O84" s="33"/>
      <c r="P84" s="33"/>
      <c r="Q84" s="33"/>
      <c r="R84" s="33"/>
      <c r="S84" s="33"/>
      <c r="T84" s="33"/>
      <c r="U84" s="33"/>
    </row>
    <row r="85" spans="1:21" ht="12.75" customHeight="1">
      <c r="A85" s="181"/>
      <c r="B85" s="33"/>
      <c r="C85" s="33"/>
      <c r="D85" s="33"/>
      <c r="E85" s="33"/>
      <c r="F85" s="33"/>
      <c r="G85" s="33"/>
      <c r="H85" s="33"/>
      <c r="I85" s="33"/>
      <c r="J85" s="33"/>
      <c r="K85" s="33"/>
      <c r="L85" s="33"/>
      <c r="M85" s="33"/>
      <c r="N85" s="33"/>
      <c r="O85" s="33"/>
      <c r="P85" s="33"/>
      <c r="Q85" s="33"/>
      <c r="R85" s="33"/>
      <c r="S85" s="33"/>
      <c r="T85" s="33"/>
      <c r="U85" s="33"/>
    </row>
    <row r="86" spans="1:21" ht="12.75" customHeight="1">
      <c r="A86" s="181"/>
      <c r="B86" s="33"/>
      <c r="C86" s="33"/>
      <c r="D86" s="33"/>
      <c r="E86" s="33"/>
      <c r="F86" s="33"/>
      <c r="G86" s="33"/>
      <c r="H86" s="33"/>
      <c r="I86" s="33"/>
      <c r="J86" s="33"/>
      <c r="K86" s="33"/>
      <c r="L86" s="33"/>
      <c r="M86" s="33"/>
      <c r="N86" s="33"/>
      <c r="O86" s="33"/>
      <c r="P86" s="33"/>
      <c r="Q86" s="33"/>
      <c r="R86" s="33"/>
      <c r="S86" s="33"/>
      <c r="T86" s="33"/>
      <c r="U86" s="33"/>
    </row>
    <row r="87" spans="1:21" ht="12.75" customHeight="1">
      <c r="A87" s="181"/>
      <c r="B87" s="33"/>
      <c r="C87" s="33"/>
      <c r="D87" s="33"/>
      <c r="E87" s="33"/>
      <c r="F87" s="33"/>
      <c r="G87" s="33"/>
      <c r="H87" s="33"/>
      <c r="I87" s="33"/>
      <c r="J87" s="33"/>
      <c r="K87" s="33"/>
      <c r="L87" s="33"/>
      <c r="M87" s="33"/>
      <c r="N87" s="33"/>
      <c r="O87" s="33"/>
      <c r="P87" s="33"/>
      <c r="Q87" s="33"/>
      <c r="R87" s="33"/>
      <c r="S87" s="33"/>
      <c r="T87" s="33"/>
      <c r="U87" s="33"/>
    </row>
    <row r="88" spans="1:21" ht="12.75" customHeight="1">
      <c r="A88" s="181"/>
      <c r="B88" s="33"/>
      <c r="C88" s="33"/>
      <c r="D88" s="33"/>
      <c r="E88" s="33"/>
      <c r="F88" s="33"/>
      <c r="G88" s="33"/>
      <c r="H88" s="33"/>
      <c r="I88" s="33"/>
      <c r="J88" s="33"/>
      <c r="K88" s="33"/>
      <c r="L88" s="33"/>
      <c r="M88" s="33"/>
      <c r="N88" s="33"/>
      <c r="O88" s="33"/>
      <c r="P88" s="33"/>
      <c r="Q88" s="33"/>
      <c r="R88" s="33"/>
      <c r="S88" s="33"/>
      <c r="T88" s="33"/>
      <c r="U88" s="33"/>
    </row>
    <row r="89" spans="1:21" ht="12.75" customHeight="1">
      <c r="A89" s="181"/>
      <c r="B89" s="33"/>
      <c r="C89" s="33"/>
      <c r="D89" s="33"/>
      <c r="E89" s="33"/>
      <c r="F89" s="33"/>
      <c r="G89" s="33"/>
      <c r="H89" s="33"/>
      <c r="I89" s="33"/>
      <c r="J89" s="33"/>
      <c r="K89" s="33"/>
      <c r="L89" s="33"/>
      <c r="M89" s="33"/>
      <c r="N89" s="33"/>
      <c r="O89" s="33"/>
      <c r="P89" s="33"/>
      <c r="Q89" s="33"/>
      <c r="R89" s="33"/>
      <c r="S89" s="33"/>
      <c r="T89" s="33"/>
      <c r="U89" s="33"/>
    </row>
    <row r="90" spans="1:21" ht="12.75" customHeight="1">
      <c r="A90" s="181"/>
      <c r="B90" s="33"/>
      <c r="C90" s="33"/>
      <c r="D90" s="33"/>
      <c r="E90" s="33"/>
      <c r="F90" s="33"/>
      <c r="G90" s="33"/>
      <c r="H90" s="33"/>
      <c r="I90" s="33"/>
      <c r="J90" s="33"/>
      <c r="K90" s="33"/>
      <c r="L90" s="33"/>
      <c r="M90" s="33"/>
      <c r="N90" s="33"/>
      <c r="O90" s="33"/>
      <c r="P90" s="33"/>
      <c r="Q90" s="33"/>
      <c r="R90" s="33"/>
      <c r="S90" s="33"/>
      <c r="T90" s="33"/>
      <c r="U90" s="33"/>
    </row>
    <row r="91" spans="1:21" ht="12.75" customHeight="1">
      <c r="A91" s="181"/>
      <c r="B91" s="33"/>
      <c r="C91" s="33"/>
      <c r="D91" s="33"/>
      <c r="E91" s="33"/>
      <c r="F91" s="33"/>
      <c r="G91" s="33"/>
      <c r="H91" s="33"/>
      <c r="I91" s="33"/>
      <c r="J91" s="33"/>
      <c r="K91" s="33"/>
      <c r="L91" s="33"/>
      <c r="M91" s="33"/>
      <c r="N91" s="33"/>
      <c r="O91" s="33"/>
      <c r="P91" s="33"/>
      <c r="Q91" s="33"/>
      <c r="R91" s="33"/>
      <c r="S91" s="33"/>
      <c r="T91" s="33"/>
      <c r="U91" s="33"/>
    </row>
    <row r="92" spans="1:21" ht="12.75" customHeight="1">
      <c r="A92" s="181"/>
      <c r="B92" s="33"/>
      <c r="C92" s="33"/>
      <c r="D92" s="33"/>
      <c r="E92" s="33"/>
      <c r="F92" s="33"/>
      <c r="G92" s="33"/>
      <c r="H92" s="33"/>
      <c r="I92" s="33"/>
      <c r="J92" s="33"/>
      <c r="K92" s="33"/>
      <c r="L92" s="33"/>
      <c r="M92" s="33"/>
      <c r="N92" s="33"/>
      <c r="O92" s="33"/>
      <c r="P92" s="33"/>
      <c r="Q92" s="33"/>
      <c r="R92" s="33"/>
      <c r="S92" s="33"/>
      <c r="T92" s="33"/>
      <c r="U92" s="33"/>
    </row>
    <row r="93" spans="1:21" ht="12.75" customHeight="1">
      <c r="A93" s="181"/>
      <c r="B93" s="33"/>
      <c r="C93" s="33"/>
      <c r="D93" s="33"/>
      <c r="E93" s="33"/>
      <c r="F93" s="33"/>
      <c r="G93" s="33"/>
      <c r="H93" s="33"/>
      <c r="I93" s="33"/>
      <c r="J93" s="33"/>
      <c r="K93" s="33"/>
      <c r="L93" s="33"/>
      <c r="M93" s="33"/>
      <c r="N93" s="33"/>
      <c r="O93" s="33"/>
      <c r="P93" s="33"/>
      <c r="Q93" s="33"/>
      <c r="R93" s="33"/>
      <c r="S93" s="33"/>
      <c r="T93" s="33"/>
      <c r="U93" s="33"/>
    </row>
    <row r="94" spans="1:21" ht="12.75" customHeight="1">
      <c r="A94" s="181"/>
      <c r="B94" s="33"/>
      <c r="C94" s="33"/>
      <c r="D94" s="33"/>
      <c r="E94" s="33"/>
      <c r="F94" s="33"/>
      <c r="G94" s="33"/>
      <c r="H94" s="33"/>
      <c r="I94" s="33"/>
      <c r="J94" s="33"/>
      <c r="K94" s="33"/>
      <c r="L94" s="33"/>
      <c r="M94" s="33"/>
      <c r="N94" s="33"/>
      <c r="O94" s="33"/>
      <c r="P94" s="33"/>
      <c r="Q94" s="33"/>
      <c r="R94" s="33"/>
      <c r="S94" s="33"/>
      <c r="T94" s="33"/>
      <c r="U94" s="33"/>
    </row>
    <row r="95" spans="1:21" ht="12.75" customHeight="1">
      <c r="A95" s="181"/>
      <c r="B95" s="33"/>
      <c r="C95" s="33"/>
      <c r="D95" s="33"/>
      <c r="E95" s="33"/>
      <c r="F95" s="33"/>
      <c r="G95" s="33"/>
      <c r="H95" s="33"/>
      <c r="I95" s="33"/>
      <c r="J95" s="33"/>
      <c r="K95" s="33"/>
      <c r="L95" s="33"/>
      <c r="M95" s="33"/>
      <c r="N95" s="33"/>
      <c r="O95" s="33"/>
      <c r="P95" s="33"/>
      <c r="Q95" s="33"/>
      <c r="R95" s="33"/>
      <c r="S95" s="33"/>
      <c r="T95" s="33"/>
      <c r="U95" s="33"/>
    </row>
    <row r="96" spans="1:21" ht="12.75" customHeight="1">
      <c r="A96" s="181"/>
      <c r="B96" s="33"/>
      <c r="C96" s="33"/>
      <c r="D96" s="33"/>
      <c r="E96" s="33"/>
      <c r="F96" s="33"/>
      <c r="G96" s="33"/>
      <c r="H96" s="33"/>
      <c r="I96" s="33"/>
      <c r="J96" s="33"/>
      <c r="K96" s="33"/>
      <c r="L96" s="33"/>
      <c r="M96" s="33"/>
      <c r="N96" s="33"/>
      <c r="O96" s="33"/>
      <c r="P96" s="33"/>
      <c r="Q96" s="33"/>
      <c r="R96" s="33"/>
      <c r="S96" s="33"/>
      <c r="T96" s="33"/>
      <c r="U96" s="33"/>
    </row>
    <row r="97" spans="1:21" ht="12.75" customHeight="1">
      <c r="A97" s="181"/>
      <c r="B97" s="33"/>
      <c r="C97" s="33"/>
      <c r="D97" s="33"/>
      <c r="E97" s="33"/>
      <c r="F97" s="33"/>
      <c r="G97" s="33"/>
      <c r="H97" s="33"/>
      <c r="I97" s="33"/>
      <c r="J97" s="33"/>
      <c r="K97" s="33"/>
      <c r="L97" s="33"/>
      <c r="M97" s="33"/>
      <c r="N97" s="33"/>
      <c r="O97" s="33"/>
      <c r="P97" s="33"/>
      <c r="Q97" s="33"/>
      <c r="R97" s="33"/>
      <c r="S97" s="33"/>
      <c r="T97" s="33"/>
      <c r="U97" s="33"/>
    </row>
    <row r="98" spans="1:21" ht="12.75" customHeight="1">
      <c r="A98" s="181"/>
      <c r="B98" s="33"/>
      <c r="C98" s="33"/>
      <c r="D98" s="33"/>
      <c r="E98" s="33"/>
      <c r="F98" s="33"/>
      <c r="G98" s="33"/>
      <c r="H98" s="33"/>
      <c r="I98" s="33"/>
      <c r="J98" s="33"/>
      <c r="K98" s="33"/>
      <c r="L98" s="33"/>
      <c r="M98" s="33"/>
      <c r="N98" s="33"/>
      <c r="O98" s="33"/>
      <c r="P98" s="33"/>
      <c r="Q98" s="33"/>
      <c r="R98" s="33"/>
      <c r="S98" s="33"/>
      <c r="T98" s="33"/>
      <c r="U98" s="33"/>
    </row>
    <row r="99" spans="1:21" ht="12.75" customHeight="1">
      <c r="A99" s="181"/>
      <c r="B99" s="33"/>
      <c r="C99" s="33"/>
      <c r="D99" s="33"/>
      <c r="E99" s="33"/>
      <c r="F99" s="33"/>
      <c r="G99" s="33"/>
      <c r="H99" s="33"/>
      <c r="I99" s="33"/>
      <c r="J99" s="33"/>
      <c r="K99" s="33"/>
      <c r="L99" s="33"/>
      <c r="M99" s="33"/>
      <c r="N99" s="33"/>
      <c r="O99" s="33"/>
      <c r="P99" s="33"/>
      <c r="Q99" s="33"/>
      <c r="R99" s="33"/>
      <c r="S99" s="33"/>
      <c r="T99" s="33"/>
      <c r="U99" s="33"/>
    </row>
    <row r="100" spans="1:21" ht="12.75" customHeight="1">
      <c r="A100" s="181"/>
      <c r="B100" s="33"/>
      <c r="C100" s="33"/>
      <c r="D100" s="33"/>
      <c r="E100" s="33"/>
      <c r="F100" s="33"/>
      <c r="G100" s="33"/>
      <c r="H100" s="33"/>
      <c r="I100" s="33"/>
      <c r="J100" s="33"/>
      <c r="K100" s="33"/>
      <c r="L100" s="33"/>
      <c r="M100" s="33"/>
      <c r="N100" s="33"/>
      <c r="O100" s="33"/>
      <c r="P100" s="33"/>
      <c r="Q100" s="33"/>
      <c r="R100" s="33"/>
      <c r="S100" s="33"/>
      <c r="T100" s="33"/>
      <c r="U100" s="33"/>
    </row>
  </sheetData>
  <mergeCells count="11">
    <mergeCell ref="AZ1:BD1"/>
    <mergeCell ref="AA1:AE1"/>
    <mergeCell ref="AF1:AJ1"/>
    <mergeCell ref="AK1:AO1"/>
    <mergeCell ref="AP1:AT1"/>
    <mergeCell ref="AU1:AY1"/>
    <mergeCell ref="B1:F1"/>
    <mergeCell ref="G1:K1"/>
    <mergeCell ref="L1:P1"/>
    <mergeCell ref="Q1:U1"/>
    <mergeCell ref="V1:Z1"/>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4"/>
  <sheetViews>
    <sheetView showGridLines="0" workbookViewId="0">
      <selection sqref="A1:C1"/>
    </sheetView>
  </sheetViews>
  <sheetFormatPr baseColWidth="10" defaultColWidth="17.1640625" defaultRowHeight="12.75" customHeight="1" x14ac:dyDescent="0"/>
  <cols>
    <col min="1" max="1" width="5.33203125" customWidth="1"/>
    <col min="2" max="2" width="4.1640625" customWidth="1"/>
    <col min="3" max="3" width="18" customWidth="1"/>
    <col min="4" max="4" width="1.83203125" customWidth="1"/>
    <col min="5" max="5" width="5.83203125" customWidth="1"/>
    <col min="6" max="6" width="4.1640625" customWidth="1"/>
    <col min="7" max="7" width="14.5" customWidth="1"/>
    <col min="8" max="8" width="2.1640625" customWidth="1"/>
    <col min="9" max="9" width="5.83203125" customWidth="1"/>
    <col min="10" max="10" width="4.1640625" customWidth="1"/>
    <col min="11" max="11" width="14" customWidth="1"/>
  </cols>
  <sheetData>
    <row r="1" spans="1:20" ht="12.75" customHeight="1">
      <c r="A1" s="220" t="s">
        <v>81</v>
      </c>
      <c r="B1" s="220"/>
      <c r="C1" s="220"/>
      <c r="D1" s="145"/>
      <c r="E1" s="220" t="s">
        <v>95</v>
      </c>
      <c r="F1" s="220"/>
      <c r="G1" s="220"/>
      <c r="H1" s="145"/>
      <c r="I1" s="220" t="s">
        <v>98</v>
      </c>
      <c r="J1" s="220"/>
      <c r="K1" s="220"/>
      <c r="L1" s="145"/>
      <c r="M1" s="145"/>
      <c r="N1" s="145"/>
      <c r="O1" s="145"/>
      <c r="P1" s="145"/>
      <c r="Q1" s="145"/>
      <c r="R1" s="145"/>
      <c r="S1" s="145"/>
      <c r="T1" s="145"/>
    </row>
    <row r="2" spans="1:20" ht="12.75" customHeight="1">
      <c r="A2" s="145" t="s">
        <v>232</v>
      </c>
      <c r="B2" s="145" t="s">
        <v>233</v>
      </c>
      <c r="C2" s="145" t="s">
        <v>6</v>
      </c>
      <c r="D2" s="145"/>
      <c r="E2" s="145" t="s">
        <v>232</v>
      </c>
      <c r="F2" s="145" t="s">
        <v>233</v>
      </c>
      <c r="G2" s="145" t="s">
        <v>6</v>
      </c>
      <c r="H2" s="145"/>
      <c r="I2" s="145" t="s">
        <v>232</v>
      </c>
      <c r="J2" s="145" t="s">
        <v>233</v>
      </c>
      <c r="K2" s="145" t="s">
        <v>6</v>
      </c>
      <c r="L2" s="145"/>
      <c r="M2" s="145"/>
      <c r="N2" s="145"/>
      <c r="O2" s="145"/>
      <c r="P2" s="145"/>
      <c r="Q2" s="145"/>
      <c r="R2" s="145"/>
      <c r="S2" s="145"/>
      <c r="T2" s="145"/>
    </row>
    <row r="3" spans="1:20" ht="12.75" customHeight="1">
      <c r="A3" t="s">
        <v>203</v>
      </c>
      <c r="B3" t="s">
        <v>203</v>
      </c>
      <c r="C3" t="s">
        <v>234</v>
      </c>
      <c r="E3" t="s">
        <v>203</v>
      </c>
      <c r="F3" t="s">
        <v>203</v>
      </c>
      <c r="G3" t="s">
        <v>235</v>
      </c>
      <c r="I3" t="s">
        <v>203</v>
      </c>
      <c r="J3" t="s">
        <v>203</v>
      </c>
      <c r="K3" t="s">
        <v>236</v>
      </c>
    </row>
    <row r="4" spans="1:20" ht="12.75" customHeight="1">
      <c r="A4" t="s">
        <v>204</v>
      </c>
      <c r="B4" t="s">
        <v>204</v>
      </c>
      <c r="C4" t="s">
        <v>237</v>
      </c>
      <c r="E4" t="s">
        <v>204</v>
      </c>
      <c r="F4" t="s">
        <v>204</v>
      </c>
      <c r="G4" t="s">
        <v>238</v>
      </c>
      <c r="I4" t="s">
        <v>204</v>
      </c>
      <c r="J4" t="s">
        <v>204</v>
      </c>
      <c r="K4" t="s">
        <v>239</v>
      </c>
    </row>
    <row r="5" spans="1:20" ht="12.75" customHeight="1">
      <c r="A5" t="s">
        <v>205</v>
      </c>
      <c r="B5" t="s">
        <v>205</v>
      </c>
      <c r="C5" t="s">
        <v>240</v>
      </c>
      <c r="E5" t="s">
        <v>205</v>
      </c>
      <c r="F5" t="s">
        <v>205</v>
      </c>
      <c r="G5" t="s">
        <v>241</v>
      </c>
    </row>
    <row r="7" spans="1:20" ht="12.75" customHeight="1">
      <c r="A7" t="s">
        <v>207</v>
      </c>
      <c r="B7" t="s">
        <v>207</v>
      </c>
      <c r="C7" t="s">
        <v>242</v>
      </c>
      <c r="E7" t="s">
        <v>207</v>
      </c>
      <c r="F7" t="s">
        <v>207</v>
      </c>
      <c r="G7" t="s">
        <v>243</v>
      </c>
      <c r="I7" t="s">
        <v>207</v>
      </c>
      <c r="J7" t="s">
        <v>207</v>
      </c>
      <c r="K7" t="s">
        <v>244</v>
      </c>
    </row>
    <row r="8" spans="1:20" ht="12.75" customHeight="1">
      <c r="A8" t="s">
        <v>208</v>
      </c>
      <c r="B8" t="s">
        <v>209</v>
      </c>
      <c r="C8" t="s">
        <v>245</v>
      </c>
      <c r="E8" t="s">
        <v>208</v>
      </c>
      <c r="F8" t="s">
        <v>208</v>
      </c>
      <c r="G8" t="s">
        <v>246</v>
      </c>
      <c r="I8" t="s">
        <v>208</v>
      </c>
      <c r="J8" t="s">
        <v>208</v>
      </c>
      <c r="K8" t="s">
        <v>247</v>
      </c>
    </row>
    <row r="9" spans="1:20" ht="12.75" customHeight="1">
      <c r="A9" t="s">
        <v>209</v>
      </c>
      <c r="B9" t="s">
        <v>208</v>
      </c>
      <c r="C9" t="s">
        <v>248</v>
      </c>
      <c r="E9" t="s">
        <v>209</v>
      </c>
      <c r="F9" t="s">
        <v>209</v>
      </c>
      <c r="G9" t="s">
        <v>249</v>
      </c>
      <c r="I9" t="s">
        <v>209</v>
      </c>
      <c r="J9" t="s">
        <v>209</v>
      </c>
      <c r="K9" t="s">
        <v>250</v>
      </c>
    </row>
    <row r="10" spans="1:20" ht="12.75" customHeight="1">
      <c r="A10" t="s">
        <v>210</v>
      </c>
      <c r="B10" t="s">
        <v>210</v>
      </c>
      <c r="C10" t="s">
        <v>251</v>
      </c>
      <c r="E10" t="s">
        <v>210</v>
      </c>
      <c r="F10" t="s">
        <v>252</v>
      </c>
      <c r="G10" t="s">
        <v>253</v>
      </c>
      <c r="I10" t="s">
        <v>210</v>
      </c>
      <c r="J10" t="s">
        <v>210</v>
      </c>
      <c r="K10" t="s">
        <v>254</v>
      </c>
    </row>
    <row r="11" spans="1:20" ht="12.75" customHeight="1">
      <c r="A11" t="s">
        <v>211</v>
      </c>
      <c r="B11" t="s">
        <v>252</v>
      </c>
      <c r="C11" t="s">
        <v>255</v>
      </c>
      <c r="I11" t="s">
        <v>211</v>
      </c>
      <c r="J11" t="s">
        <v>252</v>
      </c>
      <c r="K11" t="s">
        <v>256</v>
      </c>
    </row>
    <row r="12" spans="1:20" ht="12.75" customHeight="1">
      <c r="I12" t="s">
        <v>212</v>
      </c>
      <c r="J12" t="s">
        <v>257</v>
      </c>
      <c r="K12" t="s">
        <v>258</v>
      </c>
    </row>
    <row r="13" spans="1:20" ht="12.75" customHeight="1">
      <c r="I13" t="s">
        <v>213</v>
      </c>
      <c r="J13" t="s">
        <v>211</v>
      </c>
      <c r="K13" t="s">
        <v>259</v>
      </c>
    </row>
    <row r="15" spans="1:20" ht="12.75" customHeight="1">
      <c r="A15" t="s">
        <v>215</v>
      </c>
      <c r="B15" t="s">
        <v>215</v>
      </c>
      <c r="C15" t="s">
        <v>260</v>
      </c>
      <c r="E15" t="s">
        <v>215</v>
      </c>
      <c r="F15" t="s">
        <v>215</v>
      </c>
      <c r="G15" t="s">
        <v>261</v>
      </c>
      <c r="I15" t="s">
        <v>215</v>
      </c>
      <c r="J15" t="s">
        <v>215</v>
      </c>
      <c r="K15" t="s">
        <v>262</v>
      </c>
    </row>
    <row r="16" spans="1:20" ht="12.75" customHeight="1">
      <c r="A16" t="s">
        <v>216</v>
      </c>
      <c r="B16" t="s">
        <v>216</v>
      </c>
      <c r="C16" t="s">
        <v>263</v>
      </c>
      <c r="E16" t="s">
        <v>216</v>
      </c>
      <c r="F16" t="s">
        <v>216</v>
      </c>
      <c r="G16" t="s">
        <v>264</v>
      </c>
      <c r="I16" t="s">
        <v>216</v>
      </c>
      <c r="J16" t="s">
        <v>216</v>
      </c>
      <c r="K16" t="s">
        <v>264</v>
      </c>
    </row>
    <row r="17" spans="1:20" ht="12.75" customHeight="1">
      <c r="A17" t="s">
        <v>217</v>
      </c>
      <c r="B17" t="s">
        <v>217</v>
      </c>
      <c r="C17" t="s">
        <v>265</v>
      </c>
      <c r="E17" t="s">
        <v>217</v>
      </c>
      <c r="F17" t="s">
        <v>217</v>
      </c>
      <c r="G17" t="s">
        <v>266</v>
      </c>
      <c r="I17" t="s">
        <v>217</v>
      </c>
      <c r="J17" t="s">
        <v>217</v>
      </c>
      <c r="K17" t="s">
        <v>267</v>
      </c>
    </row>
    <row r="18" spans="1:20" ht="12.75" customHeight="1">
      <c r="A18" t="s">
        <v>218</v>
      </c>
      <c r="B18" t="s">
        <v>218</v>
      </c>
      <c r="C18" t="s">
        <v>268</v>
      </c>
      <c r="E18" t="s">
        <v>218</v>
      </c>
      <c r="F18" t="s">
        <v>218</v>
      </c>
      <c r="G18" t="s">
        <v>238</v>
      </c>
      <c r="I18" t="s">
        <v>218</v>
      </c>
      <c r="J18" t="s">
        <v>218</v>
      </c>
      <c r="K18" t="s">
        <v>269</v>
      </c>
    </row>
    <row r="19" spans="1:20" ht="12.75" customHeight="1">
      <c r="A19" t="s">
        <v>219</v>
      </c>
      <c r="B19" t="s">
        <v>219</v>
      </c>
      <c r="C19" t="s">
        <v>270</v>
      </c>
      <c r="E19" t="s">
        <v>219</v>
      </c>
      <c r="F19" t="s">
        <v>219</v>
      </c>
      <c r="G19" t="s">
        <v>271</v>
      </c>
      <c r="I19" t="s">
        <v>219</v>
      </c>
      <c r="J19" t="s">
        <v>219</v>
      </c>
      <c r="K19" t="s">
        <v>272</v>
      </c>
    </row>
    <row r="20" spans="1:20" ht="12.75" customHeight="1">
      <c r="A20" t="s">
        <v>220</v>
      </c>
      <c r="B20" t="s">
        <v>220</v>
      </c>
      <c r="C20" t="s">
        <v>273</v>
      </c>
      <c r="I20" t="s">
        <v>220</v>
      </c>
      <c r="J20" t="s">
        <v>220</v>
      </c>
      <c r="K20" t="s">
        <v>274</v>
      </c>
    </row>
    <row r="22" spans="1:20" ht="12.75" customHeight="1">
      <c r="A22" t="s">
        <v>224</v>
      </c>
      <c r="B22" t="s">
        <v>224</v>
      </c>
      <c r="C22" t="s">
        <v>275</v>
      </c>
      <c r="E22" t="s">
        <v>224</v>
      </c>
      <c r="F22" t="s">
        <v>224</v>
      </c>
      <c r="G22" t="s">
        <v>276</v>
      </c>
      <c r="I22" t="s">
        <v>224</v>
      </c>
      <c r="J22" t="s">
        <v>225</v>
      </c>
      <c r="K22" t="s">
        <v>277</v>
      </c>
    </row>
    <row r="23" spans="1:20" ht="12.75" customHeight="1">
      <c r="A23" t="s">
        <v>225</v>
      </c>
      <c r="B23" t="s">
        <v>225</v>
      </c>
      <c r="C23" t="s">
        <v>278</v>
      </c>
      <c r="E23" t="s">
        <v>225</v>
      </c>
      <c r="F23" t="s">
        <v>225</v>
      </c>
      <c r="G23" t="s">
        <v>279</v>
      </c>
      <c r="I23" t="s">
        <v>225</v>
      </c>
      <c r="J23" t="s">
        <v>226</v>
      </c>
      <c r="K23" t="s">
        <v>280</v>
      </c>
    </row>
    <row r="24" spans="1:20" ht="12.75" customHeight="1">
      <c r="A24" t="s">
        <v>226</v>
      </c>
      <c r="B24" t="s">
        <v>226</v>
      </c>
      <c r="C24" t="s">
        <v>281</v>
      </c>
      <c r="E24" t="s">
        <v>226</v>
      </c>
      <c r="F24" t="s">
        <v>226</v>
      </c>
      <c r="G24" t="s">
        <v>282</v>
      </c>
      <c r="I24" t="s">
        <v>226</v>
      </c>
      <c r="J24" t="s">
        <v>283</v>
      </c>
      <c r="K24" t="s">
        <v>284</v>
      </c>
    </row>
    <row r="25" spans="1:20" ht="12.75" customHeight="1">
      <c r="A25" t="s">
        <v>283</v>
      </c>
      <c r="B25" t="s">
        <v>283</v>
      </c>
      <c r="C25" t="s">
        <v>285</v>
      </c>
      <c r="I25" t="s">
        <v>283</v>
      </c>
      <c r="J25" t="s">
        <v>224</v>
      </c>
      <c r="K25" t="s">
        <v>286</v>
      </c>
    </row>
    <row r="27" spans="1:20" ht="12.75" customHeight="1">
      <c r="A27" t="s">
        <v>227</v>
      </c>
      <c r="B27" t="s">
        <v>227</v>
      </c>
      <c r="C27" t="s">
        <v>287</v>
      </c>
      <c r="E27" t="s">
        <v>227</v>
      </c>
      <c r="F27" t="s">
        <v>227</v>
      </c>
      <c r="G27" t="s">
        <v>288</v>
      </c>
      <c r="I27" t="s">
        <v>227</v>
      </c>
      <c r="J27" t="s">
        <v>227</v>
      </c>
      <c r="K27" t="s">
        <v>289</v>
      </c>
    </row>
    <row r="30" spans="1:20" ht="12.75" customHeight="1">
      <c r="A30" s="220" t="s">
        <v>101</v>
      </c>
      <c r="B30" s="220"/>
      <c r="C30" s="220"/>
      <c r="D30" s="145"/>
      <c r="E30" s="220" t="s">
        <v>105</v>
      </c>
      <c r="F30" s="220"/>
      <c r="G30" s="220"/>
      <c r="H30" s="145"/>
      <c r="I30" s="220" t="s">
        <v>108</v>
      </c>
      <c r="J30" s="220"/>
      <c r="K30" s="220"/>
      <c r="L30" s="145"/>
      <c r="M30" s="145"/>
      <c r="N30" s="145"/>
      <c r="O30" s="145"/>
      <c r="P30" s="145"/>
      <c r="Q30" s="145"/>
      <c r="R30" s="145"/>
      <c r="S30" s="145"/>
      <c r="T30" s="145"/>
    </row>
    <row r="31" spans="1:20" ht="12.75" customHeight="1">
      <c r="A31" s="145" t="s">
        <v>232</v>
      </c>
      <c r="B31" s="145" t="s">
        <v>233</v>
      </c>
      <c r="C31" s="145" t="s">
        <v>6</v>
      </c>
      <c r="D31" s="145"/>
      <c r="E31" s="145" t="s">
        <v>232</v>
      </c>
      <c r="F31" s="145" t="s">
        <v>233</v>
      </c>
      <c r="G31" s="145" t="s">
        <v>6</v>
      </c>
      <c r="H31" s="145"/>
      <c r="I31" s="145" t="s">
        <v>232</v>
      </c>
      <c r="J31" s="145" t="s">
        <v>233</v>
      </c>
      <c r="K31" s="145" t="s">
        <v>6</v>
      </c>
      <c r="L31" s="145"/>
      <c r="M31" s="145"/>
      <c r="N31" s="145"/>
      <c r="O31" s="145"/>
      <c r="P31" s="145"/>
      <c r="Q31" s="145"/>
      <c r="R31" s="145"/>
      <c r="S31" s="145"/>
      <c r="T31" s="145"/>
    </row>
    <row r="32" spans="1:20" ht="12.75" customHeight="1">
      <c r="A32" t="s">
        <v>203</v>
      </c>
      <c r="B32" t="s">
        <v>203</v>
      </c>
      <c r="C32" t="s">
        <v>290</v>
      </c>
      <c r="E32" t="s">
        <v>203</v>
      </c>
      <c r="F32" t="s">
        <v>203</v>
      </c>
      <c r="G32" t="s">
        <v>291</v>
      </c>
      <c r="I32" t="s">
        <v>203</v>
      </c>
      <c r="J32" t="s">
        <v>203</v>
      </c>
      <c r="K32" t="s">
        <v>292</v>
      </c>
    </row>
    <row r="33" spans="1:11" ht="12.75" customHeight="1">
      <c r="A33" t="s">
        <v>204</v>
      </c>
      <c r="B33" t="s">
        <v>204</v>
      </c>
      <c r="C33" t="s">
        <v>293</v>
      </c>
      <c r="E33" t="s">
        <v>204</v>
      </c>
      <c r="F33" t="s">
        <v>204</v>
      </c>
      <c r="G33" t="s">
        <v>294</v>
      </c>
      <c r="I33" t="s">
        <v>204</v>
      </c>
      <c r="J33" t="s">
        <v>204</v>
      </c>
      <c r="K33" t="s">
        <v>295</v>
      </c>
    </row>
    <row r="34" spans="1:11" ht="12.75" customHeight="1">
      <c r="A34" t="s">
        <v>205</v>
      </c>
      <c r="B34" t="s">
        <v>205</v>
      </c>
      <c r="C34" t="s">
        <v>296</v>
      </c>
      <c r="E34" t="s">
        <v>205</v>
      </c>
      <c r="F34" t="s">
        <v>205</v>
      </c>
      <c r="G34" t="s">
        <v>297</v>
      </c>
      <c r="I34" t="s">
        <v>205</v>
      </c>
      <c r="J34" t="s">
        <v>205</v>
      </c>
      <c r="K34" t="s">
        <v>298</v>
      </c>
    </row>
    <row r="36" spans="1:11" ht="12.75" customHeight="1">
      <c r="A36" t="s">
        <v>207</v>
      </c>
      <c r="B36" t="s">
        <v>207</v>
      </c>
      <c r="C36" t="s">
        <v>299</v>
      </c>
      <c r="E36" t="s">
        <v>207</v>
      </c>
      <c r="F36" t="s">
        <v>207</v>
      </c>
      <c r="G36" t="s">
        <v>300</v>
      </c>
      <c r="I36" t="s">
        <v>207</v>
      </c>
      <c r="J36" t="s">
        <v>207</v>
      </c>
      <c r="K36" t="s">
        <v>301</v>
      </c>
    </row>
    <row r="37" spans="1:11" ht="12.75" customHeight="1">
      <c r="A37" t="s">
        <v>208</v>
      </c>
      <c r="B37" t="s">
        <v>208</v>
      </c>
      <c r="C37" t="s">
        <v>302</v>
      </c>
      <c r="E37" t="s">
        <v>208</v>
      </c>
      <c r="F37" t="s">
        <v>208</v>
      </c>
      <c r="G37" t="s">
        <v>303</v>
      </c>
      <c r="I37" t="s">
        <v>208</v>
      </c>
      <c r="J37" t="s">
        <v>208</v>
      </c>
      <c r="K37" t="s">
        <v>304</v>
      </c>
    </row>
    <row r="38" spans="1:11" ht="12.75" customHeight="1">
      <c r="A38" t="s">
        <v>209</v>
      </c>
      <c r="B38" t="s">
        <v>209</v>
      </c>
      <c r="C38" t="s">
        <v>305</v>
      </c>
      <c r="E38" t="s">
        <v>209</v>
      </c>
      <c r="F38" t="s">
        <v>209</v>
      </c>
      <c r="G38" t="s">
        <v>306</v>
      </c>
      <c r="I38" t="s">
        <v>209</v>
      </c>
      <c r="J38" t="s">
        <v>209</v>
      </c>
      <c r="K38" t="s">
        <v>254</v>
      </c>
    </row>
    <row r="39" spans="1:11" ht="12.75" customHeight="1">
      <c r="A39" t="s">
        <v>210</v>
      </c>
      <c r="B39" t="s">
        <v>252</v>
      </c>
      <c r="C39" t="s">
        <v>307</v>
      </c>
      <c r="E39" t="s">
        <v>210</v>
      </c>
      <c r="F39" t="s">
        <v>210</v>
      </c>
      <c r="G39" t="s">
        <v>308</v>
      </c>
      <c r="I39" t="s">
        <v>210</v>
      </c>
      <c r="J39" t="s">
        <v>252</v>
      </c>
      <c r="K39" t="s">
        <v>309</v>
      </c>
    </row>
    <row r="41" spans="1:11" ht="12.75" customHeight="1">
      <c r="A41" t="s">
        <v>215</v>
      </c>
      <c r="B41" t="s">
        <v>215</v>
      </c>
      <c r="C41" t="s">
        <v>310</v>
      </c>
      <c r="E41" t="s">
        <v>215</v>
      </c>
      <c r="F41" t="s">
        <v>215</v>
      </c>
      <c r="G41" t="s">
        <v>311</v>
      </c>
      <c r="I41" t="s">
        <v>215</v>
      </c>
      <c r="J41" t="s">
        <v>215</v>
      </c>
      <c r="K41" t="s">
        <v>312</v>
      </c>
    </row>
    <row r="42" spans="1:11" ht="12.75" customHeight="1">
      <c r="A42" t="s">
        <v>216</v>
      </c>
      <c r="B42" t="s">
        <v>216</v>
      </c>
      <c r="C42" t="s">
        <v>313</v>
      </c>
      <c r="E42" t="s">
        <v>216</v>
      </c>
      <c r="F42" t="s">
        <v>216</v>
      </c>
      <c r="G42" t="s">
        <v>314</v>
      </c>
      <c r="I42" t="s">
        <v>216</v>
      </c>
      <c r="J42" t="s">
        <v>216</v>
      </c>
      <c r="K42" t="s">
        <v>315</v>
      </c>
    </row>
    <row r="43" spans="1:11" ht="12.75" customHeight="1">
      <c r="A43" t="s">
        <v>217</v>
      </c>
      <c r="B43" t="s">
        <v>217</v>
      </c>
      <c r="C43" t="s">
        <v>316</v>
      </c>
      <c r="E43" t="s">
        <v>217</v>
      </c>
      <c r="F43" t="s">
        <v>217</v>
      </c>
      <c r="G43" t="s">
        <v>317</v>
      </c>
      <c r="I43" t="s">
        <v>217</v>
      </c>
      <c r="J43" t="s">
        <v>217</v>
      </c>
      <c r="K43" t="s">
        <v>318</v>
      </c>
    </row>
    <row r="44" spans="1:11" ht="12.75" customHeight="1">
      <c r="A44" t="s">
        <v>218</v>
      </c>
      <c r="B44" t="s">
        <v>218</v>
      </c>
      <c r="C44" t="s">
        <v>319</v>
      </c>
      <c r="E44" t="s">
        <v>218</v>
      </c>
      <c r="F44" t="s">
        <v>218</v>
      </c>
      <c r="G44" t="s">
        <v>320</v>
      </c>
      <c r="I44" t="s">
        <v>218</v>
      </c>
      <c r="J44" t="s">
        <v>218</v>
      </c>
      <c r="K44" t="s">
        <v>321</v>
      </c>
    </row>
    <row r="45" spans="1:11" ht="12.75" customHeight="1">
      <c r="A45" t="s">
        <v>219</v>
      </c>
      <c r="B45" t="s">
        <v>219</v>
      </c>
      <c r="C45" t="s">
        <v>322</v>
      </c>
      <c r="E45" t="s">
        <v>219</v>
      </c>
      <c r="F45" t="s">
        <v>219</v>
      </c>
      <c r="G45" t="s">
        <v>323</v>
      </c>
      <c r="I45" t="s">
        <v>219</v>
      </c>
      <c r="J45" t="s">
        <v>219</v>
      </c>
      <c r="K45" t="s">
        <v>324</v>
      </c>
    </row>
    <row r="46" spans="1:11" ht="12.75" customHeight="1">
      <c r="A46" t="s">
        <v>220</v>
      </c>
      <c r="B46" t="s">
        <v>220</v>
      </c>
      <c r="C46" t="s">
        <v>325</v>
      </c>
      <c r="E46" t="s">
        <v>220</v>
      </c>
      <c r="F46" t="s">
        <v>220</v>
      </c>
      <c r="G46" t="s">
        <v>326</v>
      </c>
      <c r="I46" t="s">
        <v>220</v>
      </c>
      <c r="J46" t="s">
        <v>220</v>
      </c>
      <c r="K46" t="s">
        <v>327</v>
      </c>
    </row>
    <row r="47" spans="1:11" ht="12.75" customHeight="1">
      <c r="A47" t="s">
        <v>221</v>
      </c>
      <c r="B47" t="s">
        <v>221</v>
      </c>
      <c r="C47" t="s">
        <v>328</v>
      </c>
      <c r="E47" t="s">
        <v>221</v>
      </c>
      <c r="F47" t="s">
        <v>221</v>
      </c>
      <c r="G47" t="s">
        <v>329</v>
      </c>
      <c r="I47" t="s">
        <v>222</v>
      </c>
      <c r="J47" t="s">
        <v>222</v>
      </c>
      <c r="K47" t="s">
        <v>330</v>
      </c>
    </row>
    <row r="49" spans="1:20" ht="12.75" customHeight="1">
      <c r="A49" t="s">
        <v>224</v>
      </c>
      <c r="B49" t="s">
        <v>224</v>
      </c>
      <c r="C49" t="s">
        <v>331</v>
      </c>
      <c r="E49" t="s">
        <v>224</v>
      </c>
      <c r="F49" t="s">
        <v>224</v>
      </c>
      <c r="G49" t="s">
        <v>332</v>
      </c>
      <c r="I49" t="s">
        <v>224</v>
      </c>
      <c r="J49" t="s">
        <v>224</v>
      </c>
      <c r="K49" t="s">
        <v>333</v>
      </c>
    </row>
    <row r="50" spans="1:20" ht="12.75" customHeight="1">
      <c r="A50" t="s">
        <v>225</v>
      </c>
      <c r="B50" t="s">
        <v>225</v>
      </c>
      <c r="C50" t="s">
        <v>334</v>
      </c>
      <c r="E50" t="s">
        <v>225</v>
      </c>
      <c r="F50" t="s">
        <v>225</v>
      </c>
      <c r="G50" t="s">
        <v>335</v>
      </c>
    </row>
    <row r="51" spans="1:20" ht="12.75" customHeight="1">
      <c r="A51" t="s">
        <v>226</v>
      </c>
      <c r="B51" t="s">
        <v>226</v>
      </c>
      <c r="C51" t="s">
        <v>336</v>
      </c>
    </row>
    <row r="52" spans="1:20" ht="12.75" customHeight="1">
      <c r="A52" t="s">
        <v>283</v>
      </c>
      <c r="B52" t="s">
        <v>283</v>
      </c>
      <c r="C52" t="s">
        <v>337</v>
      </c>
    </row>
    <row r="54" spans="1:20" ht="12.75" customHeight="1">
      <c r="A54" t="s">
        <v>227</v>
      </c>
      <c r="B54" t="s">
        <v>227</v>
      </c>
      <c r="C54" t="s">
        <v>338</v>
      </c>
      <c r="E54" t="s">
        <v>227</v>
      </c>
      <c r="F54" t="s">
        <v>227</v>
      </c>
      <c r="G54" t="s">
        <v>339</v>
      </c>
      <c r="I54" t="s">
        <v>227</v>
      </c>
      <c r="J54" t="s">
        <v>227</v>
      </c>
      <c r="K54" t="s">
        <v>340</v>
      </c>
    </row>
    <row r="57" spans="1:20" ht="12.75" customHeight="1">
      <c r="A57" s="220" t="s">
        <v>111</v>
      </c>
      <c r="B57" s="220"/>
      <c r="C57" s="220"/>
      <c r="D57" s="145"/>
      <c r="E57" s="220" t="s">
        <v>114</v>
      </c>
      <c r="F57" s="220"/>
      <c r="G57" s="220"/>
      <c r="H57" s="145"/>
      <c r="I57" s="220" t="s">
        <v>118</v>
      </c>
      <c r="J57" s="220"/>
      <c r="K57" s="220"/>
      <c r="L57" s="145"/>
      <c r="M57" s="145"/>
      <c r="N57" s="145"/>
      <c r="O57" s="145"/>
      <c r="P57" s="145"/>
      <c r="Q57" s="145"/>
      <c r="R57" s="145"/>
      <c r="S57" s="145"/>
      <c r="T57" s="145"/>
    </row>
    <row r="58" spans="1:20" ht="12.75" customHeight="1">
      <c r="A58" s="145" t="s">
        <v>232</v>
      </c>
      <c r="B58" s="145" t="s">
        <v>233</v>
      </c>
      <c r="C58" s="145" t="s">
        <v>6</v>
      </c>
      <c r="D58" s="145"/>
      <c r="E58" s="145" t="s">
        <v>232</v>
      </c>
      <c r="F58" s="145" t="s">
        <v>233</v>
      </c>
      <c r="G58" s="145" t="s">
        <v>6</v>
      </c>
      <c r="H58" s="145"/>
      <c r="I58" s="145" t="s">
        <v>232</v>
      </c>
      <c r="J58" s="145" t="s">
        <v>233</v>
      </c>
      <c r="K58" s="145" t="s">
        <v>6</v>
      </c>
      <c r="L58" s="145"/>
      <c r="M58" s="145"/>
      <c r="N58" s="145"/>
      <c r="O58" s="145"/>
      <c r="P58" s="145"/>
      <c r="Q58" s="145"/>
      <c r="R58" s="145"/>
      <c r="S58" s="145"/>
      <c r="T58" s="145"/>
    </row>
    <row r="59" spans="1:20" ht="12.75" customHeight="1">
      <c r="A59" t="s">
        <v>203</v>
      </c>
      <c r="B59" t="s">
        <v>203</v>
      </c>
      <c r="C59" t="s">
        <v>341</v>
      </c>
      <c r="E59" t="s">
        <v>203</v>
      </c>
      <c r="F59" t="s">
        <v>203</v>
      </c>
      <c r="G59" t="s">
        <v>342</v>
      </c>
      <c r="I59" t="s">
        <v>203</v>
      </c>
      <c r="J59" t="s">
        <v>203</v>
      </c>
      <c r="K59" t="s">
        <v>343</v>
      </c>
    </row>
    <row r="60" spans="1:20" ht="12.75" customHeight="1">
      <c r="A60" t="s">
        <v>204</v>
      </c>
      <c r="B60" t="s">
        <v>204</v>
      </c>
      <c r="C60" t="s">
        <v>344</v>
      </c>
      <c r="E60" t="s">
        <v>204</v>
      </c>
      <c r="F60" t="s">
        <v>204</v>
      </c>
      <c r="G60" t="s">
        <v>345</v>
      </c>
      <c r="I60" t="s">
        <v>204</v>
      </c>
      <c r="J60" t="s">
        <v>204</v>
      </c>
      <c r="K60" t="s">
        <v>346</v>
      </c>
    </row>
    <row r="61" spans="1:20" ht="12.75" customHeight="1">
      <c r="A61" t="s">
        <v>205</v>
      </c>
      <c r="B61" t="s">
        <v>205</v>
      </c>
      <c r="C61" t="s">
        <v>347</v>
      </c>
      <c r="E61" t="s">
        <v>205</v>
      </c>
      <c r="F61" t="s">
        <v>205</v>
      </c>
      <c r="G61" t="s">
        <v>348</v>
      </c>
    </row>
    <row r="63" spans="1:20" ht="12.75" customHeight="1">
      <c r="A63" t="s">
        <v>207</v>
      </c>
      <c r="B63" t="s">
        <v>207</v>
      </c>
      <c r="C63" t="s">
        <v>349</v>
      </c>
      <c r="E63" t="s">
        <v>207</v>
      </c>
      <c r="F63" t="s">
        <v>207</v>
      </c>
      <c r="G63" t="s">
        <v>350</v>
      </c>
      <c r="I63" t="s">
        <v>207</v>
      </c>
      <c r="J63" t="s">
        <v>207</v>
      </c>
      <c r="K63" t="s">
        <v>351</v>
      </c>
    </row>
    <row r="64" spans="1:20" ht="12.75" customHeight="1">
      <c r="A64" t="s">
        <v>208</v>
      </c>
      <c r="B64" t="s">
        <v>208</v>
      </c>
      <c r="C64" t="s">
        <v>352</v>
      </c>
      <c r="E64" t="s">
        <v>208</v>
      </c>
      <c r="F64" t="s">
        <v>208</v>
      </c>
      <c r="G64" t="s">
        <v>353</v>
      </c>
      <c r="I64" t="s">
        <v>208</v>
      </c>
      <c r="J64" t="s">
        <v>208</v>
      </c>
      <c r="K64" t="s">
        <v>354</v>
      </c>
    </row>
    <row r="65" spans="1:11" ht="12.75" customHeight="1">
      <c r="A65" t="s">
        <v>209</v>
      </c>
      <c r="B65" t="s">
        <v>209</v>
      </c>
      <c r="C65" t="s">
        <v>355</v>
      </c>
      <c r="E65" t="s">
        <v>209</v>
      </c>
      <c r="F65" t="s">
        <v>209</v>
      </c>
      <c r="G65" t="s">
        <v>356</v>
      </c>
      <c r="I65" t="s">
        <v>209</v>
      </c>
      <c r="J65" t="s">
        <v>209</v>
      </c>
      <c r="K65" t="s">
        <v>357</v>
      </c>
    </row>
    <row r="66" spans="1:11" ht="12.75" customHeight="1">
      <c r="A66" t="s">
        <v>210</v>
      </c>
      <c r="B66" t="s">
        <v>210</v>
      </c>
      <c r="C66" t="s">
        <v>358</v>
      </c>
      <c r="E66" t="s">
        <v>210</v>
      </c>
      <c r="F66" t="s">
        <v>210</v>
      </c>
      <c r="G66" t="s">
        <v>359</v>
      </c>
      <c r="I66" t="s">
        <v>210</v>
      </c>
      <c r="J66" t="s">
        <v>210</v>
      </c>
      <c r="K66" t="s">
        <v>360</v>
      </c>
    </row>
    <row r="67" spans="1:11" ht="12.75" customHeight="1">
      <c r="A67" t="s">
        <v>211</v>
      </c>
      <c r="B67" t="s">
        <v>211</v>
      </c>
      <c r="C67" t="s">
        <v>361</v>
      </c>
      <c r="E67" t="s">
        <v>211</v>
      </c>
      <c r="F67" t="s">
        <v>252</v>
      </c>
      <c r="G67" t="s">
        <v>362</v>
      </c>
    </row>
    <row r="68" spans="1:11" ht="12.75" customHeight="1">
      <c r="E68" t="s">
        <v>212</v>
      </c>
      <c r="F68" t="s">
        <v>212</v>
      </c>
      <c r="G68" t="s">
        <v>363</v>
      </c>
    </row>
    <row r="70" spans="1:11" ht="12.75" customHeight="1">
      <c r="A70" t="s">
        <v>215</v>
      </c>
      <c r="B70" t="s">
        <v>215</v>
      </c>
      <c r="C70" t="s">
        <v>364</v>
      </c>
      <c r="E70" t="s">
        <v>215</v>
      </c>
      <c r="F70" t="s">
        <v>215</v>
      </c>
      <c r="G70" t="s">
        <v>365</v>
      </c>
      <c r="I70" t="s">
        <v>215</v>
      </c>
      <c r="J70" t="s">
        <v>215</v>
      </c>
      <c r="K70" t="s">
        <v>366</v>
      </c>
    </row>
    <row r="71" spans="1:11" ht="12.75" customHeight="1">
      <c r="A71" t="s">
        <v>216</v>
      </c>
      <c r="B71" t="s">
        <v>216</v>
      </c>
      <c r="C71" t="s">
        <v>367</v>
      </c>
      <c r="E71" t="s">
        <v>216</v>
      </c>
      <c r="F71" t="s">
        <v>216</v>
      </c>
      <c r="G71" t="s">
        <v>368</v>
      </c>
      <c r="I71" t="s">
        <v>216</v>
      </c>
      <c r="J71" t="s">
        <v>216</v>
      </c>
      <c r="K71" t="s">
        <v>369</v>
      </c>
    </row>
    <row r="72" spans="1:11" ht="12.75" customHeight="1">
      <c r="A72" t="s">
        <v>217</v>
      </c>
      <c r="B72" t="s">
        <v>218</v>
      </c>
      <c r="C72" t="s">
        <v>370</v>
      </c>
      <c r="E72" t="s">
        <v>217</v>
      </c>
      <c r="F72" t="s">
        <v>217</v>
      </c>
      <c r="G72" t="s">
        <v>371</v>
      </c>
      <c r="I72" t="s">
        <v>217</v>
      </c>
      <c r="J72" t="s">
        <v>217</v>
      </c>
      <c r="K72" t="s">
        <v>372</v>
      </c>
    </row>
    <row r="73" spans="1:11" ht="12.75" customHeight="1">
      <c r="A73" t="s">
        <v>218</v>
      </c>
      <c r="B73" t="s">
        <v>217</v>
      </c>
      <c r="C73" t="s">
        <v>373</v>
      </c>
      <c r="E73" t="s">
        <v>218</v>
      </c>
      <c r="F73" t="s">
        <v>218</v>
      </c>
      <c r="G73" t="s">
        <v>374</v>
      </c>
      <c r="I73" t="s">
        <v>218</v>
      </c>
      <c r="J73" t="s">
        <v>218</v>
      </c>
      <c r="K73" t="s">
        <v>375</v>
      </c>
    </row>
    <row r="74" spans="1:11" ht="12.75" customHeight="1">
      <c r="A74" t="s">
        <v>219</v>
      </c>
      <c r="B74" t="s">
        <v>219</v>
      </c>
      <c r="C74" t="s">
        <v>376</v>
      </c>
      <c r="E74" t="s">
        <v>219</v>
      </c>
      <c r="F74" t="s">
        <v>219</v>
      </c>
      <c r="G74" t="s">
        <v>377</v>
      </c>
      <c r="I74" t="s">
        <v>219</v>
      </c>
      <c r="J74" t="s">
        <v>219</v>
      </c>
      <c r="K74" t="s">
        <v>378</v>
      </c>
    </row>
    <row r="75" spans="1:11" ht="12.75" customHeight="1">
      <c r="A75" t="s">
        <v>220</v>
      </c>
      <c r="B75" t="s">
        <v>220</v>
      </c>
      <c r="C75" t="s">
        <v>379</v>
      </c>
      <c r="E75" t="s">
        <v>220</v>
      </c>
      <c r="F75" t="s">
        <v>220</v>
      </c>
      <c r="G75" t="s">
        <v>380</v>
      </c>
      <c r="I75" t="s">
        <v>220</v>
      </c>
      <c r="J75" t="s">
        <v>220</v>
      </c>
      <c r="K75" t="s">
        <v>381</v>
      </c>
    </row>
    <row r="76" spans="1:11" ht="12.75" customHeight="1">
      <c r="A76" t="s">
        <v>221</v>
      </c>
      <c r="B76" t="s">
        <v>221</v>
      </c>
      <c r="C76" t="s">
        <v>382</v>
      </c>
    </row>
    <row r="78" spans="1:11" ht="12.75" customHeight="1">
      <c r="A78" t="s">
        <v>224</v>
      </c>
      <c r="B78" t="s">
        <v>224</v>
      </c>
      <c r="C78" t="s">
        <v>383</v>
      </c>
      <c r="E78" t="s">
        <v>224</v>
      </c>
      <c r="F78" t="s">
        <v>224</v>
      </c>
      <c r="G78" t="s">
        <v>384</v>
      </c>
      <c r="I78" t="s">
        <v>224</v>
      </c>
      <c r="J78" t="s">
        <v>224</v>
      </c>
      <c r="K78" t="s">
        <v>385</v>
      </c>
    </row>
    <row r="79" spans="1:11" ht="12.75" customHeight="1">
      <c r="A79" t="s">
        <v>225</v>
      </c>
      <c r="B79" t="s">
        <v>225</v>
      </c>
      <c r="C79" t="s">
        <v>386</v>
      </c>
      <c r="E79" t="s">
        <v>225</v>
      </c>
      <c r="F79" t="s">
        <v>225</v>
      </c>
      <c r="G79" t="s">
        <v>387</v>
      </c>
      <c r="I79" t="s">
        <v>225</v>
      </c>
      <c r="J79" t="s">
        <v>225</v>
      </c>
      <c r="K79" t="s">
        <v>388</v>
      </c>
    </row>
    <row r="80" spans="1:11" ht="12.75" customHeight="1">
      <c r="A80" t="s">
        <v>226</v>
      </c>
      <c r="B80" t="s">
        <v>226</v>
      </c>
      <c r="C80" t="s">
        <v>389</v>
      </c>
      <c r="E80" t="s">
        <v>226</v>
      </c>
      <c r="F80" t="s">
        <v>226</v>
      </c>
      <c r="G80" t="s">
        <v>390</v>
      </c>
      <c r="I80" t="s">
        <v>226</v>
      </c>
      <c r="J80" t="s">
        <v>226</v>
      </c>
      <c r="K80" t="s">
        <v>391</v>
      </c>
    </row>
    <row r="81" spans="1:20" ht="12.75" customHeight="1">
      <c r="E81" t="s">
        <v>283</v>
      </c>
      <c r="F81" t="s">
        <v>283</v>
      </c>
      <c r="G81" t="s">
        <v>392</v>
      </c>
      <c r="I81" t="s">
        <v>283</v>
      </c>
      <c r="J81" t="s">
        <v>283</v>
      </c>
      <c r="K81" t="s">
        <v>393</v>
      </c>
    </row>
    <row r="83" spans="1:20" ht="12.75" customHeight="1">
      <c r="A83" t="s">
        <v>227</v>
      </c>
      <c r="B83" t="s">
        <v>227</v>
      </c>
      <c r="C83" t="s">
        <v>394</v>
      </c>
      <c r="E83" t="s">
        <v>227</v>
      </c>
      <c r="F83" t="s">
        <v>227</v>
      </c>
      <c r="G83" t="s">
        <v>395</v>
      </c>
      <c r="I83" t="s">
        <v>227</v>
      </c>
      <c r="J83" t="s">
        <v>227</v>
      </c>
      <c r="K83" t="s">
        <v>396</v>
      </c>
    </row>
    <row r="86" spans="1:20" ht="12.75" customHeight="1">
      <c r="A86" s="220" t="s">
        <v>121</v>
      </c>
      <c r="B86" s="220"/>
      <c r="C86" s="220"/>
      <c r="D86" s="145"/>
      <c r="E86" s="220" t="s">
        <v>124</v>
      </c>
      <c r="F86" s="220"/>
      <c r="G86" s="220"/>
      <c r="H86" s="145"/>
      <c r="I86" s="220" t="s">
        <v>127</v>
      </c>
      <c r="J86" s="220"/>
      <c r="K86" s="220"/>
      <c r="L86" s="145"/>
      <c r="M86" s="145"/>
      <c r="N86" s="145"/>
      <c r="O86" s="145"/>
      <c r="P86" s="145"/>
      <c r="Q86" s="145"/>
      <c r="R86" s="145"/>
      <c r="S86" s="145"/>
      <c r="T86" s="145"/>
    </row>
    <row r="87" spans="1:20" ht="12.75" customHeight="1">
      <c r="A87" s="145" t="s">
        <v>232</v>
      </c>
      <c r="B87" s="145" t="s">
        <v>233</v>
      </c>
      <c r="C87" s="145" t="s">
        <v>6</v>
      </c>
      <c r="D87" s="145"/>
      <c r="E87" s="145" t="s">
        <v>232</v>
      </c>
      <c r="F87" s="145" t="s">
        <v>233</v>
      </c>
      <c r="G87" s="145" t="s">
        <v>6</v>
      </c>
      <c r="H87" s="145"/>
      <c r="I87" s="145" t="s">
        <v>232</v>
      </c>
      <c r="J87" s="145" t="s">
        <v>233</v>
      </c>
      <c r="K87" s="145" t="s">
        <v>6</v>
      </c>
      <c r="L87" s="145"/>
      <c r="M87" s="145"/>
      <c r="N87" s="145"/>
      <c r="O87" s="145"/>
      <c r="P87" s="145"/>
      <c r="Q87" s="145"/>
      <c r="R87" s="145"/>
      <c r="S87" s="145"/>
      <c r="T87" s="145"/>
    </row>
    <row r="88" spans="1:20" ht="12.75" customHeight="1">
      <c r="A88" t="s">
        <v>203</v>
      </c>
      <c r="B88" t="s">
        <v>203</v>
      </c>
      <c r="C88" t="s">
        <v>397</v>
      </c>
      <c r="E88" t="s">
        <v>203</v>
      </c>
      <c r="F88" t="s">
        <v>203</v>
      </c>
      <c r="G88" t="s">
        <v>398</v>
      </c>
      <c r="I88" t="s">
        <v>203</v>
      </c>
      <c r="J88" t="s">
        <v>203</v>
      </c>
      <c r="K88" t="s">
        <v>399</v>
      </c>
    </row>
    <row r="89" spans="1:20" ht="12.75" customHeight="1">
      <c r="A89" t="s">
        <v>204</v>
      </c>
      <c r="B89" t="s">
        <v>204</v>
      </c>
      <c r="C89" t="s">
        <v>400</v>
      </c>
      <c r="E89" t="s">
        <v>204</v>
      </c>
      <c r="F89" t="s">
        <v>204</v>
      </c>
      <c r="G89" t="s">
        <v>401</v>
      </c>
      <c r="I89" t="s">
        <v>204</v>
      </c>
      <c r="J89" t="s">
        <v>204</v>
      </c>
      <c r="K89" t="s">
        <v>402</v>
      </c>
    </row>
    <row r="90" spans="1:20" ht="12.75" customHeight="1">
      <c r="A90" t="s">
        <v>205</v>
      </c>
      <c r="B90" t="s">
        <v>205</v>
      </c>
      <c r="C90" t="s">
        <v>403</v>
      </c>
      <c r="E90" t="s">
        <v>205</v>
      </c>
      <c r="F90" t="s">
        <v>205</v>
      </c>
      <c r="G90" t="s">
        <v>404</v>
      </c>
    </row>
    <row r="91" spans="1:20" ht="12.75" customHeight="1">
      <c r="E91" t="s">
        <v>206</v>
      </c>
      <c r="F91" t="s">
        <v>206</v>
      </c>
      <c r="G91" t="s">
        <v>405</v>
      </c>
    </row>
    <row r="93" spans="1:20" ht="12.75" customHeight="1">
      <c r="A93" t="s">
        <v>207</v>
      </c>
      <c r="B93" t="s">
        <v>208</v>
      </c>
      <c r="C93" t="s">
        <v>406</v>
      </c>
      <c r="E93" t="s">
        <v>207</v>
      </c>
      <c r="F93" t="s">
        <v>207</v>
      </c>
      <c r="G93" t="s">
        <v>407</v>
      </c>
      <c r="I93" t="s">
        <v>207</v>
      </c>
      <c r="J93" t="s">
        <v>207</v>
      </c>
      <c r="K93" t="s">
        <v>408</v>
      </c>
    </row>
    <row r="94" spans="1:20" ht="12.75" customHeight="1">
      <c r="A94" t="s">
        <v>208</v>
      </c>
      <c r="B94" t="s">
        <v>207</v>
      </c>
      <c r="C94" t="s">
        <v>409</v>
      </c>
      <c r="E94" t="s">
        <v>208</v>
      </c>
      <c r="F94" t="s">
        <v>208</v>
      </c>
      <c r="G94" t="s">
        <v>410</v>
      </c>
      <c r="I94" t="s">
        <v>208</v>
      </c>
      <c r="J94" t="s">
        <v>208</v>
      </c>
      <c r="K94" t="s">
        <v>411</v>
      </c>
    </row>
    <row r="95" spans="1:20" ht="12.75" customHeight="1">
      <c r="A95" t="s">
        <v>209</v>
      </c>
      <c r="B95" t="s">
        <v>209</v>
      </c>
      <c r="C95" t="s">
        <v>412</v>
      </c>
      <c r="E95" t="s">
        <v>209</v>
      </c>
      <c r="F95" t="s">
        <v>209</v>
      </c>
      <c r="G95" t="s">
        <v>413</v>
      </c>
      <c r="I95" t="s">
        <v>209</v>
      </c>
      <c r="J95" t="s">
        <v>209</v>
      </c>
      <c r="K95" t="s">
        <v>364</v>
      </c>
    </row>
    <row r="96" spans="1:20" ht="12.75" customHeight="1">
      <c r="A96" t="s">
        <v>210</v>
      </c>
      <c r="B96" t="s">
        <v>210</v>
      </c>
      <c r="C96" t="s">
        <v>414</v>
      </c>
      <c r="E96" t="s">
        <v>210</v>
      </c>
      <c r="F96" t="s">
        <v>210</v>
      </c>
      <c r="G96" t="s">
        <v>415</v>
      </c>
      <c r="I96" t="s">
        <v>210</v>
      </c>
      <c r="J96" t="s">
        <v>210</v>
      </c>
      <c r="K96" t="s">
        <v>416</v>
      </c>
    </row>
    <row r="97" spans="1:11" ht="12.75" customHeight="1">
      <c r="I97" t="s">
        <v>211</v>
      </c>
      <c r="J97" t="s">
        <v>211</v>
      </c>
      <c r="K97" t="s">
        <v>417</v>
      </c>
    </row>
    <row r="98" spans="1:11" ht="12.75" customHeight="1">
      <c r="I98" t="s">
        <v>212</v>
      </c>
      <c r="J98" t="s">
        <v>212</v>
      </c>
      <c r="K98" t="s">
        <v>375</v>
      </c>
    </row>
    <row r="100" spans="1:11" ht="12.75" customHeight="1">
      <c r="A100" t="s">
        <v>215</v>
      </c>
      <c r="B100" t="s">
        <v>215</v>
      </c>
      <c r="C100" t="s">
        <v>418</v>
      </c>
      <c r="E100" t="s">
        <v>215</v>
      </c>
      <c r="F100" t="s">
        <v>215</v>
      </c>
      <c r="G100" t="s">
        <v>419</v>
      </c>
      <c r="I100" t="s">
        <v>215</v>
      </c>
      <c r="J100" t="s">
        <v>215</v>
      </c>
      <c r="K100" t="s">
        <v>420</v>
      </c>
    </row>
    <row r="101" spans="1:11" ht="12.75" customHeight="1">
      <c r="A101" t="s">
        <v>216</v>
      </c>
      <c r="B101" t="s">
        <v>216</v>
      </c>
      <c r="C101" t="s">
        <v>421</v>
      </c>
      <c r="E101" t="s">
        <v>216</v>
      </c>
      <c r="F101" t="s">
        <v>217</v>
      </c>
      <c r="G101" t="s">
        <v>422</v>
      </c>
      <c r="I101" t="s">
        <v>216</v>
      </c>
      <c r="J101" t="s">
        <v>216</v>
      </c>
      <c r="K101" t="s">
        <v>423</v>
      </c>
    </row>
    <row r="102" spans="1:11" ht="12.75" customHeight="1">
      <c r="A102" t="s">
        <v>217</v>
      </c>
      <c r="B102" t="s">
        <v>217</v>
      </c>
      <c r="C102" t="s">
        <v>424</v>
      </c>
      <c r="E102" t="s">
        <v>217</v>
      </c>
      <c r="F102" t="s">
        <v>216</v>
      </c>
      <c r="G102" t="s">
        <v>425</v>
      </c>
      <c r="I102" t="s">
        <v>217</v>
      </c>
      <c r="J102" t="s">
        <v>217</v>
      </c>
      <c r="K102" t="s">
        <v>264</v>
      </c>
    </row>
    <row r="103" spans="1:11" ht="12.75" customHeight="1">
      <c r="A103" t="s">
        <v>218</v>
      </c>
      <c r="B103" t="s">
        <v>218</v>
      </c>
      <c r="C103" t="s">
        <v>426</v>
      </c>
      <c r="E103" t="s">
        <v>218</v>
      </c>
      <c r="F103" t="s">
        <v>218</v>
      </c>
      <c r="G103" t="s">
        <v>427</v>
      </c>
      <c r="I103" t="s">
        <v>218</v>
      </c>
      <c r="J103" t="s">
        <v>218</v>
      </c>
      <c r="K103" t="s">
        <v>428</v>
      </c>
    </row>
    <row r="104" spans="1:11" ht="12.75" customHeight="1">
      <c r="A104" t="s">
        <v>219</v>
      </c>
      <c r="B104" t="s">
        <v>219</v>
      </c>
      <c r="C104" t="s">
        <v>429</v>
      </c>
      <c r="E104" t="s">
        <v>219</v>
      </c>
      <c r="F104" t="s">
        <v>219</v>
      </c>
      <c r="G104" t="s">
        <v>430</v>
      </c>
      <c r="I104" t="s">
        <v>219</v>
      </c>
      <c r="J104" t="s">
        <v>219</v>
      </c>
      <c r="K104" t="s">
        <v>419</v>
      </c>
    </row>
    <row r="105" spans="1:11" ht="12.75" customHeight="1">
      <c r="E105" t="s">
        <v>220</v>
      </c>
      <c r="F105" t="s">
        <v>220</v>
      </c>
      <c r="G105" t="s">
        <v>431</v>
      </c>
      <c r="I105" t="s">
        <v>220</v>
      </c>
      <c r="J105" t="s">
        <v>220</v>
      </c>
      <c r="K105" t="s">
        <v>432</v>
      </c>
    </row>
    <row r="107" spans="1:11" ht="12.75" customHeight="1">
      <c r="A107" t="s">
        <v>224</v>
      </c>
      <c r="B107" t="s">
        <v>224</v>
      </c>
      <c r="C107" t="s">
        <v>433</v>
      </c>
      <c r="E107" t="s">
        <v>224</v>
      </c>
      <c r="F107" t="s">
        <v>224</v>
      </c>
      <c r="G107" t="s">
        <v>434</v>
      </c>
      <c r="I107" t="s">
        <v>224</v>
      </c>
      <c r="J107" t="s">
        <v>224</v>
      </c>
      <c r="K107" t="s">
        <v>435</v>
      </c>
    </row>
    <row r="108" spans="1:11" ht="12.75" customHeight="1">
      <c r="A108" t="s">
        <v>225</v>
      </c>
      <c r="B108" t="s">
        <v>226</v>
      </c>
      <c r="C108" t="s">
        <v>436</v>
      </c>
      <c r="E108" t="s">
        <v>225</v>
      </c>
      <c r="F108" t="s">
        <v>225</v>
      </c>
      <c r="G108" t="s">
        <v>437</v>
      </c>
      <c r="I108" t="s">
        <v>225</v>
      </c>
      <c r="J108" t="s">
        <v>225</v>
      </c>
      <c r="K108" t="s">
        <v>300</v>
      </c>
    </row>
    <row r="109" spans="1:11" ht="12.75" customHeight="1">
      <c r="A109" t="s">
        <v>226</v>
      </c>
      <c r="B109" t="s">
        <v>225</v>
      </c>
      <c r="C109" t="s">
        <v>438</v>
      </c>
      <c r="E109" t="s">
        <v>226</v>
      </c>
      <c r="F109" t="s">
        <v>226</v>
      </c>
      <c r="G109" t="s">
        <v>439</v>
      </c>
      <c r="I109" t="s">
        <v>226</v>
      </c>
      <c r="J109" t="s">
        <v>226</v>
      </c>
      <c r="K109" t="s">
        <v>440</v>
      </c>
    </row>
    <row r="110" spans="1:11" ht="12.75" customHeight="1">
      <c r="A110" t="s">
        <v>283</v>
      </c>
      <c r="B110" t="s">
        <v>283</v>
      </c>
      <c r="C110" t="s">
        <v>441</v>
      </c>
      <c r="I110" t="s">
        <v>283</v>
      </c>
      <c r="J110" t="s">
        <v>283</v>
      </c>
      <c r="K110" t="s">
        <v>442</v>
      </c>
    </row>
    <row r="112" spans="1:11" ht="12.75" customHeight="1">
      <c r="A112" t="s">
        <v>227</v>
      </c>
      <c r="B112" t="s">
        <v>227</v>
      </c>
      <c r="C112" t="s">
        <v>443</v>
      </c>
      <c r="E112" t="s">
        <v>227</v>
      </c>
      <c r="F112" t="s">
        <v>227</v>
      </c>
      <c r="G112" t="s">
        <v>444</v>
      </c>
      <c r="I112" t="s">
        <v>227</v>
      </c>
      <c r="J112" t="s">
        <v>227</v>
      </c>
      <c r="K112" t="s">
        <v>445</v>
      </c>
    </row>
    <row r="115" spans="1:20" ht="12.75" customHeight="1">
      <c r="A115" s="220" t="s">
        <v>131</v>
      </c>
      <c r="B115" s="220"/>
      <c r="C115" s="220"/>
      <c r="D115" s="145"/>
      <c r="E115" s="220" t="s">
        <v>134</v>
      </c>
      <c r="F115" s="220"/>
      <c r="G115" s="220"/>
      <c r="H115" s="145"/>
      <c r="I115" s="220" t="s">
        <v>138</v>
      </c>
      <c r="J115" s="220"/>
      <c r="K115" s="220"/>
      <c r="L115" s="145"/>
      <c r="M115" s="145"/>
      <c r="N115" s="145"/>
      <c r="O115" s="145"/>
      <c r="P115" s="145"/>
      <c r="Q115" s="145"/>
      <c r="R115" s="145"/>
      <c r="S115" s="145"/>
      <c r="T115" s="145"/>
    </row>
    <row r="116" spans="1:20" ht="12.75" customHeight="1">
      <c r="A116" s="145" t="s">
        <v>232</v>
      </c>
      <c r="B116" s="145" t="s">
        <v>233</v>
      </c>
      <c r="C116" s="145" t="s">
        <v>6</v>
      </c>
      <c r="D116" s="145"/>
      <c r="E116" s="145" t="s">
        <v>232</v>
      </c>
      <c r="F116" s="145" t="s">
        <v>233</v>
      </c>
      <c r="G116" s="145" t="s">
        <v>6</v>
      </c>
      <c r="H116" s="145"/>
      <c r="I116" s="145" t="s">
        <v>232</v>
      </c>
      <c r="J116" s="145" t="s">
        <v>233</v>
      </c>
      <c r="K116" s="145" t="s">
        <v>6</v>
      </c>
      <c r="L116" s="145"/>
      <c r="M116" s="145"/>
      <c r="N116" s="145"/>
      <c r="O116" s="145"/>
      <c r="P116" s="145"/>
      <c r="Q116" s="145"/>
      <c r="R116" s="145"/>
      <c r="S116" s="145"/>
      <c r="T116" s="145"/>
    </row>
    <row r="117" spans="1:20" ht="12.75" customHeight="1">
      <c r="A117" t="s">
        <v>203</v>
      </c>
      <c r="B117" t="s">
        <v>203</v>
      </c>
      <c r="C117" t="s">
        <v>446</v>
      </c>
      <c r="E117" t="s">
        <v>203</v>
      </c>
      <c r="F117" t="s">
        <v>203</v>
      </c>
      <c r="G117" t="s">
        <v>447</v>
      </c>
      <c r="I117" t="s">
        <v>203</v>
      </c>
      <c r="J117" t="s">
        <v>203</v>
      </c>
      <c r="K117" t="s">
        <v>448</v>
      </c>
    </row>
    <row r="118" spans="1:20" ht="12.75" customHeight="1">
      <c r="A118" t="s">
        <v>204</v>
      </c>
      <c r="B118" t="s">
        <v>204</v>
      </c>
      <c r="C118" t="s">
        <v>449</v>
      </c>
      <c r="E118" t="s">
        <v>204</v>
      </c>
      <c r="F118" t="s">
        <v>204</v>
      </c>
      <c r="G118" t="s">
        <v>450</v>
      </c>
      <c r="I118" t="s">
        <v>204</v>
      </c>
      <c r="J118" t="s">
        <v>204</v>
      </c>
      <c r="K118" t="s">
        <v>451</v>
      </c>
    </row>
    <row r="119" spans="1:20" ht="12.75" customHeight="1">
      <c r="A119" t="s">
        <v>205</v>
      </c>
      <c r="B119" t="s">
        <v>205</v>
      </c>
      <c r="C119" t="s">
        <v>452</v>
      </c>
      <c r="E119" t="s">
        <v>205</v>
      </c>
      <c r="F119" t="s">
        <v>205</v>
      </c>
      <c r="G119" t="s">
        <v>453</v>
      </c>
      <c r="I119" t="s">
        <v>205</v>
      </c>
      <c r="J119" t="s">
        <v>205</v>
      </c>
      <c r="K119" t="s">
        <v>454</v>
      </c>
    </row>
    <row r="120" spans="1:20" ht="12.75" customHeight="1">
      <c r="I120" t="s">
        <v>206</v>
      </c>
      <c r="J120" t="s">
        <v>206</v>
      </c>
      <c r="K120" t="s">
        <v>455</v>
      </c>
    </row>
    <row r="122" spans="1:20" ht="12.75" customHeight="1">
      <c r="A122" t="s">
        <v>207</v>
      </c>
      <c r="B122" t="s">
        <v>207</v>
      </c>
      <c r="C122" t="s">
        <v>456</v>
      </c>
      <c r="E122" t="s">
        <v>207</v>
      </c>
      <c r="F122" t="s">
        <v>207</v>
      </c>
      <c r="G122" t="s">
        <v>457</v>
      </c>
      <c r="I122" t="s">
        <v>207</v>
      </c>
      <c r="J122" t="s">
        <v>207</v>
      </c>
      <c r="K122" t="s">
        <v>458</v>
      </c>
    </row>
    <row r="123" spans="1:20" ht="12.75" customHeight="1">
      <c r="A123" t="s">
        <v>208</v>
      </c>
      <c r="B123" t="s">
        <v>208</v>
      </c>
      <c r="C123" t="s">
        <v>376</v>
      </c>
      <c r="E123" t="s">
        <v>208</v>
      </c>
      <c r="F123" t="s">
        <v>208</v>
      </c>
      <c r="G123" t="s">
        <v>459</v>
      </c>
      <c r="I123" t="s">
        <v>208</v>
      </c>
      <c r="J123" t="s">
        <v>208</v>
      </c>
      <c r="K123" t="s">
        <v>460</v>
      </c>
    </row>
    <row r="124" spans="1:20" ht="12.75" customHeight="1">
      <c r="A124" t="s">
        <v>209</v>
      </c>
      <c r="B124" t="s">
        <v>252</v>
      </c>
      <c r="C124" t="s">
        <v>461</v>
      </c>
      <c r="E124" t="s">
        <v>209</v>
      </c>
      <c r="F124" t="s">
        <v>209</v>
      </c>
      <c r="G124" t="s">
        <v>462</v>
      </c>
      <c r="I124" t="s">
        <v>209</v>
      </c>
      <c r="J124" t="s">
        <v>209</v>
      </c>
      <c r="K124" t="s">
        <v>463</v>
      </c>
    </row>
    <row r="125" spans="1:20" ht="12.75" customHeight="1">
      <c r="E125" t="s">
        <v>210</v>
      </c>
      <c r="F125" t="s">
        <v>210</v>
      </c>
      <c r="G125" t="s">
        <v>464</v>
      </c>
    </row>
    <row r="127" spans="1:20" ht="12.75" customHeight="1">
      <c r="A127" t="s">
        <v>215</v>
      </c>
      <c r="B127" t="s">
        <v>215</v>
      </c>
      <c r="C127" t="s">
        <v>465</v>
      </c>
      <c r="E127" t="s">
        <v>215</v>
      </c>
      <c r="F127" t="s">
        <v>215</v>
      </c>
      <c r="G127" t="s">
        <v>466</v>
      </c>
      <c r="I127" t="s">
        <v>215</v>
      </c>
      <c r="J127" t="s">
        <v>215</v>
      </c>
      <c r="K127" t="s">
        <v>467</v>
      </c>
    </row>
    <row r="128" spans="1:20" ht="12.75" customHeight="1">
      <c r="A128" t="s">
        <v>216</v>
      </c>
      <c r="B128" t="s">
        <v>216</v>
      </c>
      <c r="C128" t="s">
        <v>338</v>
      </c>
      <c r="E128" t="s">
        <v>216</v>
      </c>
      <c r="F128" t="s">
        <v>217</v>
      </c>
      <c r="G128" t="s">
        <v>468</v>
      </c>
      <c r="I128" t="s">
        <v>216</v>
      </c>
      <c r="J128" t="s">
        <v>216</v>
      </c>
      <c r="K128" t="s">
        <v>469</v>
      </c>
    </row>
    <row r="129" spans="1:20" ht="12.75" customHeight="1">
      <c r="A129" t="s">
        <v>217</v>
      </c>
      <c r="B129" t="s">
        <v>217</v>
      </c>
      <c r="C129" t="s">
        <v>470</v>
      </c>
      <c r="E129" t="s">
        <v>217</v>
      </c>
      <c r="F129" t="s">
        <v>216</v>
      </c>
      <c r="G129" t="s">
        <v>471</v>
      </c>
      <c r="I129" t="s">
        <v>217</v>
      </c>
      <c r="J129" t="s">
        <v>217</v>
      </c>
      <c r="K129" t="s">
        <v>472</v>
      </c>
    </row>
    <row r="130" spans="1:20" ht="12.75" customHeight="1">
      <c r="A130" t="s">
        <v>218</v>
      </c>
      <c r="B130" t="s">
        <v>218</v>
      </c>
      <c r="C130" t="s">
        <v>473</v>
      </c>
      <c r="E130" t="s">
        <v>218</v>
      </c>
      <c r="F130" t="s">
        <v>218</v>
      </c>
      <c r="G130" t="s">
        <v>474</v>
      </c>
      <c r="I130" t="s">
        <v>218</v>
      </c>
      <c r="J130" t="s">
        <v>218</v>
      </c>
      <c r="K130" t="s">
        <v>475</v>
      </c>
    </row>
    <row r="131" spans="1:20" ht="12.75" customHeight="1">
      <c r="A131" t="s">
        <v>219</v>
      </c>
      <c r="B131" t="s">
        <v>219</v>
      </c>
      <c r="C131" t="s">
        <v>476</v>
      </c>
      <c r="E131" t="s">
        <v>219</v>
      </c>
      <c r="F131" t="s">
        <v>219</v>
      </c>
      <c r="G131" t="s">
        <v>477</v>
      </c>
      <c r="I131" t="s">
        <v>219</v>
      </c>
      <c r="J131" t="s">
        <v>219</v>
      </c>
      <c r="K131" t="s">
        <v>478</v>
      </c>
    </row>
    <row r="132" spans="1:20" ht="12.75" customHeight="1">
      <c r="A132" t="s">
        <v>220</v>
      </c>
      <c r="B132" t="s">
        <v>220</v>
      </c>
      <c r="C132" t="s">
        <v>479</v>
      </c>
      <c r="E132" t="s">
        <v>220</v>
      </c>
      <c r="F132" t="s">
        <v>220</v>
      </c>
      <c r="G132" t="s">
        <v>480</v>
      </c>
    </row>
    <row r="133" spans="1:20" ht="12.75" customHeight="1">
      <c r="A133" t="s">
        <v>221</v>
      </c>
      <c r="B133" t="s">
        <v>221</v>
      </c>
      <c r="C133" t="s">
        <v>481</v>
      </c>
    </row>
    <row r="135" spans="1:20" ht="12.75" customHeight="1">
      <c r="A135" t="s">
        <v>224</v>
      </c>
      <c r="B135" t="s">
        <v>224</v>
      </c>
      <c r="C135" t="s">
        <v>482</v>
      </c>
      <c r="E135" t="s">
        <v>224</v>
      </c>
      <c r="F135" t="s">
        <v>224</v>
      </c>
      <c r="G135" t="s">
        <v>483</v>
      </c>
      <c r="I135" t="s">
        <v>224</v>
      </c>
      <c r="J135" t="s">
        <v>224</v>
      </c>
      <c r="K135" t="s">
        <v>484</v>
      </c>
    </row>
    <row r="136" spans="1:20" ht="12.75" customHeight="1">
      <c r="A136" t="s">
        <v>225</v>
      </c>
      <c r="B136" t="s">
        <v>225</v>
      </c>
      <c r="C136" t="s">
        <v>485</v>
      </c>
      <c r="E136" t="s">
        <v>225</v>
      </c>
      <c r="F136" t="s">
        <v>225</v>
      </c>
      <c r="G136" t="s">
        <v>486</v>
      </c>
    </row>
    <row r="137" spans="1:20" ht="12.75" customHeight="1">
      <c r="A137" t="s">
        <v>226</v>
      </c>
      <c r="B137" t="s">
        <v>226</v>
      </c>
      <c r="C137" t="s">
        <v>487</v>
      </c>
      <c r="E137" t="s">
        <v>226</v>
      </c>
      <c r="F137" t="s">
        <v>226</v>
      </c>
      <c r="G137" t="s">
        <v>488</v>
      </c>
    </row>
    <row r="139" spans="1:20" ht="12.75" customHeight="1">
      <c r="A139" t="s">
        <v>227</v>
      </c>
      <c r="B139" t="s">
        <v>227</v>
      </c>
      <c r="C139" t="s">
        <v>489</v>
      </c>
      <c r="E139" t="s">
        <v>227</v>
      </c>
      <c r="F139" t="s">
        <v>227</v>
      </c>
      <c r="G139" t="s">
        <v>490</v>
      </c>
      <c r="I139" t="s">
        <v>227</v>
      </c>
      <c r="J139" t="s">
        <v>227</v>
      </c>
      <c r="K139" t="s">
        <v>491</v>
      </c>
    </row>
    <row r="142" spans="1:20" ht="12.75" customHeight="1">
      <c r="A142" s="220" t="s">
        <v>141</v>
      </c>
      <c r="B142" s="220"/>
      <c r="C142" s="220"/>
      <c r="D142" s="145"/>
      <c r="E142" s="220" t="s">
        <v>145</v>
      </c>
      <c r="F142" s="220"/>
      <c r="G142" s="220"/>
      <c r="H142" s="145"/>
      <c r="I142" s="220" t="s">
        <v>149</v>
      </c>
      <c r="J142" s="220"/>
      <c r="K142" s="220"/>
      <c r="L142" s="145"/>
      <c r="M142" s="145"/>
      <c r="N142" s="145"/>
      <c r="O142" s="145"/>
      <c r="P142" s="145"/>
      <c r="Q142" s="145"/>
      <c r="R142" s="145"/>
      <c r="S142" s="145"/>
      <c r="T142" s="145"/>
    </row>
    <row r="143" spans="1:20" ht="12.75" customHeight="1">
      <c r="A143" s="145" t="s">
        <v>232</v>
      </c>
      <c r="B143" s="145" t="s">
        <v>233</v>
      </c>
      <c r="C143" s="145" t="s">
        <v>6</v>
      </c>
      <c r="D143" s="145"/>
      <c r="E143" s="145" t="s">
        <v>232</v>
      </c>
      <c r="F143" s="145" t="s">
        <v>233</v>
      </c>
      <c r="G143" s="145" t="s">
        <v>6</v>
      </c>
      <c r="H143" s="145"/>
      <c r="I143" s="145" t="s">
        <v>232</v>
      </c>
      <c r="J143" s="145" t="s">
        <v>233</v>
      </c>
      <c r="K143" s="145" t="s">
        <v>6</v>
      </c>
      <c r="L143" s="145"/>
      <c r="M143" s="145"/>
      <c r="N143" s="145"/>
      <c r="O143" s="145"/>
      <c r="P143" s="145"/>
      <c r="Q143" s="145"/>
      <c r="R143" s="145"/>
      <c r="S143" s="145"/>
      <c r="T143" s="145"/>
    </row>
    <row r="144" spans="1:20" ht="12.75" customHeight="1">
      <c r="A144" t="s">
        <v>203</v>
      </c>
      <c r="B144" t="s">
        <v>203</v>
      </c>
      <c r="C144" t="s">
        <v>255</v>
      </c>
      <c r="E144" t="s">
        <v>203</v>
      </c>
      <c r="F144" t="s">
        <v>203</v>
      </c>
      <c r="G144" t="s">
        <v>492</v>
      </c>
      <c r="I144" t="s">
        <v>203</v>
      </c>
      <c r="J144" t="s">
        <v>203</v>
      </c>
      <c r="K144" t="s">
        <v>493</v>
      </c>
    </row>
    <row r="145" spans="1:11" ht="12.75" customHeight="1">
      <c r="A145" t="s">
        <v>204</v>
      </c>
      <c r="B145" t="s">
        <v>204</v>
      </c>
      <c r="C145" t="s">
        <v>494</v>
      </c>
      <c r="E145" t="s">
        <v>204</v>
      </c>
      <c r="F145" t="s">
        <v>204</v>
      </c>
      <c r="G145" t="s">
        <v>495</v>
      </c>
      <c r="I145" t="s">
        <v>204</v>
      </c>
      <c r="J145" t="s">
        <v>204</v>
      </c>
      <c r="K145" t="s">
        <v>496</v>
      </c>
    </row>
    <row r="146" spans="1:11" ht="12.75" customHeight="1">
      <c r="A146" t="s">
        <v>205</v>
      </c>
      <c r="B146" t="s">
        <v>205</v>
      </c>
      <c r="C146" t="s">
        <v>497</v>
      </c>
    </row>
    <row r="148" spans="1:11" ht="12.75" customHeight="1">
      <c r="A148" t="s">
        <v>207</v>
      </c>
      <c r="B148" t="s">
        <v>207</v>
      </c>
      <c r="C148" t="s">
        <v>498</v>
      </c>
      <c r="E148" t="s">
        <v>207</v>
      </c>
      <c r="F148" t="s">
        <v>207</v>
      </c>
      <c r="G148" t="s">
        <v>499</v>
      </c>
      <c r="I148" t="s">
        <v>207</v>
      </c>
      <c r="J148" t="s">
        <v>207</v>
      </c>
      <c r="K148" t="s">
        <v>500</v>
      </c>
    </row>
    <row r="149" spans="1:11" ht="12.75" customHeight="1">
      <c r="A149" t="s">
        <v>208</v>
      </c>
      <c r="B149" t="s">
        <v>208</v>
      </c>
      <c r="C149" t="s">
        <v>387</v>
      </c>
      <c r="E149" t="s">
        <v>208</v>
      </c>
      <c r="F149" t="s">
        <v>208</v>
      </c>
      <c r="G149" t="s">
        <v>418</v>
      </c>
      <c r="I149" t="s">
        <v>208</v>
      </c>
      <c r="J149" t="s">
        <v>208</v>
      </c>
      <c r="K149" t="s">
        <v>501</v>
      </c>
    </row>
    <row r="150" spans="1:11" ht="12.75" customHeight="1">
      <c r="A150" t="s">
        <v>209</v>
      </c>
      <c r="B150" t="s">
        <v>209</v>
      </c>
      <c r="C150" t="s">
        <v>502</v>
      </c>
      <c r="E150" t="s">
        <v>209</v>
      </c>
      <c r="F150" t="s">
        <v>209</v>
      </c>
      <c r="G150" t="s">
        <v>503</v>
      </c>
      <c r="I150" t="s">
        <v>209</v>
      </c>
      <c r="J150" t="s">
        <v>252</v>
      </c>
      <c r="K150" t="s">
        <v>504</v>
      </c>
    </row>
    <row r="151" spans="1:11" ht="12.75" customHeight="1">
      <c r="A151" t="s">
        <v>210</v>
      </c>
      <c r="B151" t="s">
        <v>210</v>
      </c>
      <c r="C151" t="s">
        <v>505</v>
      </c>
      <c r="E151" t="s">
        <v>210</v>
      </c>
      <c r="F151" t="s">
        <v>210</v>
      </c>
      <c r="G151" t="s">
        <v>506</v>
      </c>
    </row>
    <row r="152" spans="1:11" ht="12.75" customHeight="1">
      <c r="A152" t="s">
        <v>211</v>
      </c>
      <c r="B152" t="s">
        <v>211</v>
      </c>
      <c r="C152" t="s">
        <v>507</v>
      </c>
      <c r="E152" t="s">
        <v>211</v>
      </c>
      <c r="F152" t="s">
        <v>252</v>
      </c>
      <c r="G152" t="s">
        <v>508</v>
      </c>
    </row>
    <row r="153" spans="1:11" ht="12.75" customHeight="1">
      <c r="A153" t="s">
        <v>212</v>
      </c>
      <c r="B153" t="s">
        <v>252</v>
      </c>
      <c r="C153" t="s">
        <v>509</v>
      </c>
    </row>
    <row r="154" spans="1:11" ht="12.75" customHeight="1">
      <c r="A154" t="s">
        <v>213</v>
      </c>
      <c r="B154" t="s">
        <v>257</v>
      </c>
      <c r="C154" t="s">
        <v>510</v>
      </c>
    </row>
    <row r="156" spans="1:11" ht="12.75" customHeight="1">
      <c r="A156" t="s">
        <v>215</v>
      </c>
      <c r="B156" t="s">
        <v>215</v>
      </c>
      <c r="C156" t="s">
        <v>511</v>
      </c>
      <c r="E156" t="s">
        <v>215</v>
      </c>
      <c r="F156" t="s">
        <v>215</v>
      </c>
      <c r="G156" t="s">
        <v>512</v>
      </c>
      <c r="I156" t="s">
        <v>215</v>
      </c>
      <c r="J156" t="s">
        <v>215</v>
      </c>
      <c r="K156" t="s">
        <v>513</v>
      </c>
    </row>
    <row r="157" spans="1:11" ht="12.75" customHeight="1">
      <c r="A157" t="s">
        <v>216</v>
      </c>
      <c r="B157" t="s">
        <v>216</v>
      </c>
      <c r="C157" t="s">
        <v>514</v>
      </c>
      <c r="E157" t="s">
        <v>216</v>
      </c>
      <c r="F157" t="s">
        <v>216</v>
      </c>
      <c r="G157" t="s">
        <v>515</v>
      </c>
      <c r="I157" t="s">
        <v>216</v>
      </c>
      <c r="J157" t="s">
        <v>216</v>
      </c>
      <c r="K157" t="s">
        <v>516</v>
      </c>
    </row>
    <row r="158" spans="1:11" ht="12.75" customHeight="1">
      <c r="A158" t="s">
        <v>217</v>
      </c>
      <c r="B158" t="s">
        <v>217</v>
      </c>
      <c r="C158" t="s">
        <v>517</v>
      </c>
      <c r="E158" t="s">
        <v>217</v>
      </c>
      <c r="F158" t="s">
        <v>217</v>
      </c>
      <c r="G158" t="s">
        <v>518</v>
      </c>
      <c r="I158" t="s">
        <v>217</v>
      </c>
      <c r="J158" t="s">
        <v>217</v>
      </c>
      <c r="K158" t="s">
        <v>519</v>
      </c>
    </row>
    <row r="159" spans="1:11" ht="12.75" customHeight="1">
      <c r="A159" t="s">
        <v>218</v>
      </c>
      <c r="B159" t="s">
        <v>218</v>
      </c>
      <c r="C159" t="s">
        <v>520</v>
      </c>
      <c r="E159" t="s">
        <v>218</v>
      </c>
      <c r="F159" t="s">
        <v>218</v>
      </c>
      <c r="G159" t="s">
        <v>521</v>
      </c>
      <c r="I159" t="s">
        <v>218</v>
      </c>
      <c r="J159" t="s">
        <v>218</v>
      </c>
      <c r="K159" t="s">
        <v>522</v>
      </c>
    </row>
    <row r="160" spans="1:11" ht="12.75" customHeight="1">
      <c r="I160" t="s">
        <v>219</v>
      </c>
      <c r="J160" t="s">
        <v>219</v>
      </c>
      <c r="K160" t="s">
        <v>523</v>
      </c>
    </row>
    <row r="161" spans="1:20" ht="12.75" customHeight="1">
      <c r="I161" t="s">
        <v>220</v>
      </c>
      <c r="J161" t="s">
        <v>220</v>
      </c>
      <c r="K161" t="s">
        <v>524</v>
      </c>
    </row>
    <row r="163" spans="1:20" ht="12.75" customHeight="1">
      <c r="A163" t="s">
        <v>224</v>
      </c>
      <c r="B163" t="s">
        <v>224</v>
      </c>
      <c r="C163" t="s">
        <v>525</v>
      </c>
      <c r="E163" t="s">
        <v>224</v>
      </c>
      <c r="F163" t="s">
        <v>225</v>
      </c>
      <c r="G163" t="s">
        <v>526</v>
      </c>
      <c r="I163" t="s">
        <v>224</v>
      </c>
      <c r="J163" t="s">
        <v>224</v>
      </c>
      <c r="K163" t="s">
        <v>527</v>
      </c>
    </row>
    <row r="164" spans="1:20" ht="12.75" customHeight="1">
      <c r="A164" t="s">
        <v>225</v>
      </c>
      <c r="B164" t="s">
        <v>225</v>
      </c>
      <c r="C164" t="s">
        <v>528</v>
      </c>
      <c r="E164" t="s">
        <v>225</v>
      </c>
      <c r="F164" t="s">
        <v>226</v>
      </c>
      <c r="G164" t="s">
        <v>529</v>
      </c>
      <c r="I164" t="s">
        <v>225</v>
      </c>
      <c r="J164" t="s">
        <v>225</v>
      </c>
      <c r="K164" t="s">
        <v>530</v>
      </c>
    </row>
    <row r="165" spans="1:20" ht="12.75" customHeight="1">
      <c r="A165" t="s">
        <v>226</v>
      </c>
      <c r="B165" t="s">
        <v>226</v>
      </c>
      <c r="C165" t="s">
        <v>531</v>
      </c>
      <c r="E165" t="s">
        <v>226</v>
      </c>
      <c r="F165" t="s">
        <v>224</v>
      </c>
      <c r="G165" t="s">
        <v>532</v>
      </c>
      <c r="I165" t="s">
        <v>226</v>
      </c>
      <c r="J165" t="s">
        <v>226</v>
      </c>
      <c r="K165" t="s">
        <v>533</v>
      </c>
    </row>
    <row r="167" spans="1:20" ht="12.75" customHeight="1">
      <c r="A167" t="s">
        <v>227</v>
      </c>
      <c r="B167" t="s">
        <v>227</v>
      </c>
      <c r="C167" t="s">
        <v>534</v>
      </c>
      <c r="E167" t="s">
        <v>227</v>
      </c>
      <c r="F167" t="s">
        <v>227</v>
      </c>
      <c r="G167" t="s">
        <v>535</v>
      </c>
      <c r="I167" t="s">
        <v>227</v>
      </c>
      <c r="J167" t="s">
        <v>227</v>
      </c>
      <c r="K167" t="s">
        <v>536</v>
      </c>
    </row>
    <row r="170" spans="1:20" ht="12.75" customHeight="1">
      <c r="A170" s="220" t="s">
        <v>153</v>
      </c>
      <c r="B170" s="220"/>
      <c r="C170" s="220"/>
      <c r="D170" s="145"/>
      <c r="E170" s="220" t="s">
        <v>157</v>
      </c>
      <c r="F170" s="220"/>
      <c r="G170" s="220"/>
      <c r="H170" s="145"/>
      <c r="I170" s="220" t="s">
        <v>160</v>
      </c>
      <c r="J170" s="220"/>
      <c r="K170" s="220"/>
      <c r="L170" s="145"/>
      <c r="M170" s="145"/>
      <c r="N170" s="145"/>
      <c r="O170" s="145"/>
      <c r="P170" s="145"/>
      <c r="Q170" s="145"/>
      <c r="R170" s="145"/>
      <c r="S170" s="145"/>
      <c r="T170" s="145"/>
    </row>
    <row r="171" spans="1:20" ht="12.75" customHeight="1">
      <c r="A171" s="145" t="s">
        <v>232</v>
      </c>
      <c r="B171" s="145" t="s">
        <v>233</v>
      </c>
      <c r="C171" s="145" t="s">
        <v>6</v>
      </c>
      <c r="D171" s="145"/>
      <c r="E171" s="145" t="s">
        <v>232</v>
      </c>
      <c r="F171" s="145" t="s">
        <v>233</v>
      </c>
      <c r="G171" s="145" t="s">
        <v>6</v>
      </c>
      <c r="H171" s="145"/>
      <c r="I171" s="145" t="s">
        <v>232</v>
      </c>
      <c r="J171" s="145" t="s">
        <v>233</v>
      </c>
      <c r="K171" s="145" t="s">
        <v>6</v>
      </c>
      <c r="L171" s="145"/>
      <c r="M171" s="145"/>
      <c r="N171" s="145"/>
      <c r="O171" s="145"/>
      <c r="P171" s="145"/>
      <c r="Q171" s="145"/>
      <c r="R171" s="145"/>
      <c r="S171" s="145"/>
      <c r="T171" s="145"/>
    </row>
    <row r="172" spans="1:20" ht="12.75" customHeight="1">
      <c r="A172" t="s">
        <v>203</v>
      </c>
      <c r="B172" t="s">
        <v>203</v>
      </c>
      <c r="C172" t="s">
        <v>537</v>
      </c>
      <c r="E172" t="s">
        <v>203</v>
      </c>
      <c r="F172" t="s">
        <v>203</v>
      </c>
      <c r="G172" t="s">
        <v>538</v>
      </c>
      <c r="I172" t="s">
        <v>203</v>
      </c>
      <c r="J172" t="s">
        <v>203</v>
      </c>
      <c r="K172" t="s">
        <v>539</v>
      </c>
    </row>
    <row r="173" spans="1:20" ht="12.75" customHeight="1">
      <c r="A173" t="s">
        <v>204</v>
      </c>
      <c r="B173" t="s">
        <v>204</v>
      </c>
      <c r="C173" t="s">
        <v>540</v>
      </c>
      <c r="E173" t="s">
        <v>204</v>
      </c>
      <c r="F173" t="s">
        <v>204</v>
      </c>
      <c r="G173" t="s">
        <v>541</v>
      </c>
      <c r="I173" t="s">
        <v>204</v>
      </c>
      <c r="J173" t="s">
        <v>204</v>
      </c>
      <c r="K173" t="s">
        <v>542</v>
      </c>
    </row>
    <row r="174" spans="1:20" ht="12.75" customHeight="1">
      <c r="A174" t="s">
        <v>205</v>
      </c>
      <c r="B174" t="s">
        <v>205</v>
      </c>
      <c r="C174" t="s">
        <v>543</v>
      </c>
      <c r="I174" t="s">
        <v>205</v>
      </c>
      <c r="J174" t="s">
        <v>205</v>
      </c>
      <c r="K174" t="s">
        <v>544</v>
      </c>
    </row>
    <row r="175" spans="1:20" ht="12.75" customHeight="1">
      <c r="I175" t="s">
        <v>206</v>
      </c>
      <c r="J175" t="s">
        <v>206</v>
      </c>
      <c r="K175" t="s">
        <v>545</v>
      </c>
    </row>
    <row r="177" spans="1:11" ht="12.75" customHeight="1">
      <c r="A177" t="s">
        <v>207</v>
      </c>
      <c r="B177" t="s">
        <v>207</v>
      </c>
      <c r="C177" t="s">
        <v>546</v>
      </c>
      <c r="E177" t="s">
        <v>207</v>
      </c>
      <c r="F177" t="s">
        <v>207</v>
      </c>
      <c r="G177" t="s">
        <v>547</v>
      </c>
      <c r="I177" t="s">
        <v>207</v>
      </c>
      <c r="J177" t="s">
        <v>207</v>
      </c>
      <c r="K177" t="s">
        <v>548</v>
      </c>
    </row>
    <row r="178" spans="1:11" ht="12.75" customHeight="1">
      <c r="A178" t="s">
        <v>208</v>
      </c>
      <c r="B178" t="s">
        <v>208</v>
      </c>
      <c r="C178" t="s">
        <v>549</v>
      </c>
      <c r="E178" t="s">
        <v>208</v>
      </c>
      <c r="F178" t="s">
        <v>208</v>
      </c>
      <c r="G178" t="s">
        <v>550</v>
      </c>
      <c r="I178" t="s">
        <v>208</v>
      </c>
      <c r="J178" t="s">
        <v>208</v>
      </c>
      <c r="K178" t="s">
        <v>551</v>
      </c>
    </row>
    <row r="179" spans="1:11" ht="12.75" customHeight="1">
      <c r="A179" t="s">
        <v>209</v>
      </c>
      <c r="B179" t="s">
        <v>209</v>
      </c>
      <c r="C179" t="s">
        <v>552</v>
      </c>
      <c r="E179" t="s">
        <v>209</v>
      </c>
      <c r="F179" t="s">
        <v>209</v>
      </c>
      <c r="G179" t="s">
        <v>553</v>
      </c>
      <c r="I179" t="s">
        <v>209</v>
      </c>
      <c r="J179" t="s">
        <v>209</v>
      </c>
      <c r="K179" t="s">
        <v>554</v>
      </c>
    </row>
    <row r="180" spans="1:11" ht="12.75" customHeight="1">
      <c r="A180" t="s">
        <v>210</v>
      </c>
      <c r="B180" t="s">
        <v>210</v>
      </c>
      <c r="C180" t="s">
        <v>555</v>
      </c>
      <c r="E180" t="s">
        <v>210</v>
      </c>
      <c r="F180" t="s">
        <v>210</v>
      </c>
      <c r="G180" t="s">
        <v>556</v>
      </c>
      <c r="I180" t="s">
        <v>210</v>
      </c>
      <c r="J180" t="s">
        <v>210</v>
      </c>
      <c r="K180" t="s">
        <v>557</v>
      </c>
    </row>
    <row r="181" spans="1:11" ht="12.75" customHeight="1">
      <c r="A181" t="s">
        <v>211</v>
      </c>
      <c r="B181" t="s">
        <v>211</v>
      </c>
      <c r="C181" t="s">
        <v>558</v>
      </c>
      <c r="I181" t="s">
        <v>211</v>
      </c>
      <c r="J181" t="s">
        <v>211</v>
      </c>
      <c r="K181" t="s">
        <v>559</v>
      </c>
    </row>
    <row r="183" spans="1:11" ht="12.75" customHeight="1">
      <c r="A183" t="s">
        <v>215</v>
      </c>
      <c r="B183" t="s">
        <v>215</v>
      </c>
      <c r="C183" t="s">
        <v>560</v>
      </c>
      <c r="E183" t="s">
        <v>215</v>
      </c>
      <c r="F183" t="s">
        <v>215</v>
      </c>
      <c r="G183" t="s">
        <v>561</v>
      </c>
      <c r="I183" t="s">
        <v>215</v>
      </c>
      <c r="J183" t="s">
        <v>215</v>
      </c>
      <c r="K183" t="s">
        <v>562</v>
      </c>
    </row>
    <row r="184" spans="1:11" ht="12.75" customHeight="1">
      <c r="A184" t="s">
        <v>216</v>
      </c>
      <c r="B184" t="s">
        <v>216</v>
      </c>
      <c r="C184" t="s">
        <v>563</v>
      </c>
      <c r="E184" t="s">
        <v>216</v>
      </c>
      <c r="F184" t="s">
        <v>216</v>
      </c>
      <c r="G184" t="s">
        <v>564</v>
      </c>
      <c r="I184" t="s">
        <v>216</v>
      </c>
      <c r="J184" t="s">
        <v>216</v>
      </c>
      <c r="K184" t="s">
        <v>565</v>
      </c>
    </row>
    <row r="185" spans="1:11" ht="12.75" customHeight="1">
      <c r="A185" t="s">
        <v>217</v>
      </c>
      <c r="B185" t="s">
        <v>217</v>
      </c>
      <c r="C185" t="s">
        <v>566</v>
      </c>
      <c r="E185" t="s">
        <v>217</v>
      </c>
      <c r="F185" t="s">
        <v>217</v>
      </c>
      <c r="G185" t="s">
        <v>567</v>
      </c>
      <c r="I185" t="s">
        <v>217</v>
      </c>
      <c r="J185" t="s">
        <v>217</v>
      </c>
      <c r="K185" t="s">
        <v>568</v>
      </c>
    </row>
    <row r="186" spans="1:11" ht="12.75" customHeight="1">
      <c r="A186" t="s">
        <v>218</v>
      </c>
      <c r="B186" t="s">
        <v>218</v>
      </c>
      <c r="C186" t="s">
        <v>569</v>
      </c>
      <c r="E186" t="s">
        <v>218</v>
      </c>
      <c r="F186" t="s">
        <v>218</v>
      </c>
      <c r="G186" t="s">
        <v>570</v>
      </c>
      <c r="I186" t="s">
        <v>218</v>
      </c>
      <c r="J186" t="s">
        <v>218</v>
      </c>
      <c r="K186" t="s">
        <v>571</v>
      </c>
    </row>
    <row r="187" spans="1:11" ht="12.75" customHeight="1">
      <c r="A187" t="s">
        <v>219</v>
      </c>
      <c r="B187" t="s">
        <v>219</v>
      </c>
      <c r="C187" t="s">
        <v>572</v>
      </c>
      <c r="E187" t="s">
        <v>219</v>
      </c>
      <c r="F187" t="s">
        <v>219</v>
      </c>
      <c r="G187" t="s">
        <v>573</v>
      </c>
      <c r="I187" t="s">
        <v>219</v>
      </c>
      <c r="J187" t="s">
        <v>219</v>
      </c>
      <c r="K187" t="s">
        <v>574</v>
      </c>
    </row>
    <row r="188" spans="1:11" ht="12.75" customHeight="1">
      <c r="A188" t="s">
        <v>220</v>
      </c>
      <c r="B188" t="s">
        <v>220</v>
      </c>
      <c r="C188" t="s">
        <v>575</v>
      </c>
      <c r="E188" t="s">
        <v>220</v>
      </c>
      <c r="F188" t="s">
        <v>220</v>
      </c>
      <c r="G188" t="s">
        <v>576</v>
      </c>
      <c r="I188" t="s">
        <v>220</v>
      </c>
      <c r="J188" t="s">
        <v>220</v>
      </c>
      <c r="K188" t="s">
        <v>577</v>
      </c>
    </row>
    <row r="190" spans="1:11" ht="12.75" customHeight="1">
      <c r="A190" t="s">
        <v>224</v>
      </c>
      <c r="B190" t="s">
        <v>224</v>
      </c>
      <c r="C190" t="s">
        <v>578</v>
      </c>
      <c r="E190" t="s">
        <v>224</v>
      </c>
      <c r="F190" t="s">
        <v>224</v>
      </c>
      <c r="G190" t="s">
        <v>579</v>
      </c>
      <c r="I190" t="s">
        <v>224</v>
      </c>
      <c r="J190" t="s">
        <v>224</v>
      </c>
      <c r="K190" t="s">
        <v>580</v>
      </c>
    </row>
    <row r="191" spans="1:11" ht="12.75" customHeight="1">
      <c r="A191" t="s">
        <v>225</v>
      </c>
      <c r="B191" t="s">
        <v>225</v>
      </c>
      <c r="C191" t="s">
        <v>581</v>
      </c>
      <c r="E191" t="s">
        <v>225</v>
      </c>
      <c r="F191" t="s">
        <v>225</v>
      </c>
      <c r="G191" t="s">
        <v>582</v>
      </c>
      <c r="I191" t="s">
        <v>225</v>
      </c>
      <c r="J191" t="s">
        <v>225</v>
      </c>
      <c r="K191" t="s">
        <v>583</v>
      </c>
    </row>
    <row r="192" spans="1:11" ht="12.75" customHeight="1">
      <c r="A192" t="s">
        <v>226</v>
      </c>
      <c r="B192" t="s">
        <v>226</v>
      </c>
      <c r="C192" t="s">
        <v>584</v>
      </c>
      <c r="I192" t="s">
        <v>226</v>
      </c>
      <c r="J192" t="s">
        <v>226</v>
      </c>
      <c r="K192" t="s">
        <v>585</v>
      </c>
    </row>
    <row r="193" spans="1:20" ht="12.75" customHeight="1">
      <c r="A193" t="s">
        <v>283</v>
      </c>
      <c r="B193" t="s">
        <v>283</v>
      </c>
      <c r="C193" t="s">
        <v>586</v>
      </c>
    </row>
    <row r="194" spans="1:20" ht="12.75" customHeight="1">
      <c r="A194" t="s">
        <v>587</v>
      </c>
      <c r="B194" t="s">
        <v>587</v>
      </c>
      <c r="C194" t="s">
        <v>588</v>
      </c>
    </row>
    <row r="196" spans="1:20" ht="12.75" customHeight="1">
      <c r="A196" t="s">
        <v>227</v>
      </c>
      <c r="B196" t="s">
        <v>227</v>
      </c>
      <c r="C196" t="s">
        <v>589</v>
      </c>
      <c r="E196" t="s">
        <v>227</v>
      </c>
      <c r="F196" t="s">
        <v>227</v>
      </c>
      <c r="G196" t="s">
        <v>590</v>
      </c>
      <c r="I196" t="s">
        <v>227</v>
      </c>
      <c r="J196" t="s">
        <v>227</v>
      </c>
      <c r="K196" t="s">
        <v>591</v>
      </c>
    </row>
    <row r="199" spans="1:20" ht="12.75" customHeight="1">
      <c r="A199" s="220" t="s">
        <v>164</v>
      </c>
      <c r="B199" s="220"/>
      <c r="C199" s="220"/>
      <c r="D199" s="145"/>
      <c r="E199" s="220" t="s">
        <v>167</v>
      </c>
      <c r="F199" s="220"/>
      <c r="G199" s="220"/>
      <c r="H199" s="145"/>
      <c r="I199" s="220" t="s">
        <v>171</v>
      </c>
      <c r="J199" s="220"/>
      <c r="K199" s="220"/>
      <c r="L199" s="145"/>
      <c r="M199" s="145"/>
      <c r="N199" s="145"/>
      <c r="O199" s="145"/>
      <c r="P199" s="145"/>
      <c r="Q199" s="145"/>
      <c r="R199" s="145"/>
      <c r="S199" s="145"/>
      <c r="T199" s="145"/>
    </row>
    <row r="200" spans="1:20" ht="12.75" customHeight="1">
      <c r="A200" s="145" t="s">
        <v>232</v>
      </c>
      <c r="B200" s="145" t="s">
        <v>233</v>
      </c>
      <c r="C200" s="145" t="s">
        <v>6</v>
      </c>
      <c r="D200" s="145"/>
      <c r="E200" s="145" t="s">
        <v>232</v>
      </c>
      <c r="F200" s="145" t="s">
        <v>233</v>
      </c>
      <c r="G200" s="145" t="s">
        <v>6</v>
      </c>
      <c r="H200" s="145"/>
      <c r="I200" s="145" t="s">
        <v>232</v>
      </c>
      <c r="J200" s="145" t="s">
        <v>233</v>
      </c>
      <c r="K200" s="145" t="s">
        <v>6</v>
      </c>
      <c r="L200" s="145"/>
      <c r="M200" s="145"/>
      <c r="N200" s="145"/>
      <c r="O200" s="145"/>
      <c r="P200" s="145"/>
      <c r="Q200" s="145"/>
      <c r="R200" s="145"/>
      <c r="S200" s="145"/>
      <c r="T200" s="145"/>
    </row>
    <row r="201" spans="1:20" ht="12.75" customHeight="1">
      <c r="A201" t="s">
        <v>203</v>
      </c>
      <c r="B201" t="s">
        <v>203</v>
      </c>
      <c r="C201" t="s">
        <v>592</v>
      </c>
      <c r="E201" t="s">
        <v>203</v>
      </c>
      <c r="F201" t="s">
        <v>203</v>
      </c>
      <c r="G201" t="s">
        <v>593</v>
      </c>
      <c r="I201" t="s">
        <v>203</v>
      </c>
      <c r="J201" t="s">
        <v>203</v>
      </c>
      <c r="K201" t="s">
        <v>594</v>
      </c>
    </row>
    <row r="202" spans="1:20" ht="12.75" customHeight="1">
      <c r="A202" t="s">
        <v>204</v>
      </c>
      <c r="B202" t="s">
        <v>204</v>
      </c>
      <c r="C202" t="s">
        <v>595</v>
      </c>
      <c r="E202" t="s">
        <v>204</v>
      </c>
      <c r="F202" t="s">
        <v>204</v>
      </c>
      <c r="G202" t="s">
        <v>596</v>
      </c>
      <c r="I202" t="s">
        <v>204</v>
      </c>
      <c r="J202" t="s">
        <v>204</v>
      </c>
      <c r="K202" t="s">
        <v>597</v>
      </c>
    </row>
    <row r="203" spans="1:20" ht="12.75" customHeight="1">
      <c r="A203" t="s">
        <v>205</v>
      </c>
      <c r="B203" t="s">
        <v>205</v>
      </c>
      <c r="C203" t="s">
        <v>598</v>
      </c>
      <c r="E203" t="s">
        <v>205</v>
      </c>
      <c r="F203" t="s">
        <v>205</v>
      </c>
      <c r="G203" t="s">
        <v>599</v>
      </c>
      <c r="I203" t="s">
        <v>205</v>
      </c>
      <c r="J203" t="s">
        <v>205</v>
      </c>
      <c r="K203" t="s">
        <v>600</v>
      </c>
    </row>
    <row r="204" spans="1:20" ht="12.75" customHeight="1">
      <c r="I204" t="s">
        <v>206</v>
      </c>
      <c r="J204" t="s">
        <v>206</v>
      </c>
      <c r="K204" t="s">
        <v>601</v>
      </c>
    </row>
    <row r="206" spans="1:20" ht="12.75" customHeight="1">
      <c r="A206" t="s">
        <v>207</v>
      </c>
      <c r="B206" t="s">
        <v>207</v>
      </c>
      <c r="C206" t="s">
        <v>602</v>
      </c>
      <c r="E206" t="s">
        <v>207</v>
      </c>
      <c r="F206" t="s">
        <v>207</v>
      </c>
      <c r="G206" t="s">
        <v>603</v>
      </c>
      <c r="I206" t="s">
        <v>207</v>
      </c>
      <c r="J206" t="s">
        <v>207</v>
      </c>
      <c r="K206" t="s">
        <v>604</v>
      </c>
    </row>
    <row r="207" spans="1:20" ht="12.75" customHeight="1">
      <c r="A207" t="s">
        <v>208</v>
      </c>
      <c r="B207" t="s">
        <v>208</v>
      </c>
      <c r="C207" t="s">
        <v>605</v>
      </c>
      <c r="E207" t="s">
        <v>208</v>
      </c>
      <c r="F207" t="s">
        <v>252</v>
      </c>
      <c r="G207" t="s">
        <v>606</v>
      </c>
      <c r="I207" t="s">
        <v>208</v>
      </c>
      <c r="J207" t="s">
        <v>208</v>
      </c>
      <c r="K207" t="s">
        <v>607</v>
      </c>
    </row>
    <row r="208" spans="1:20" ht="12.75" customHeight="1">
      <c r="A208" t="s">
        <v>209</v>
      </c>
      <c r="B208" t="s">
        <v>209</v>
      </c>
      <c r="C208" t="s">
        <v>608</v>
      </c>
      <c r="E208" t="s">
        <v>209</v>
      </c>
      <c r="F208" t="s">
        <v>208</v>
      </c>
      <c r="G208" t="s">
        <v>609</v>
      </c>
      <c r="I208" t="s">
        <v>209</v>
      </c>
      <c r="J208" t="s">
        <v>209</v>
      </c>
      <c r="K208" t="s">
        <v>610</v>
      </c>
    </row>
    <row r="209" spans="1:11" ht="12.75" customHeight="1">
      <c r="A209" t="s">
        <v>211</v>
      </c>
      <c r="B209" t="s">
        <v>252</v>
      </c>
      <c r="C209" t="s">
        <v>611</v>
      </c>
      <c r="E209" t="s">
        <v>210</v>
      </c>
      <c r="F209" t="s">
        <v>209</v>
      </c>
      <c r="G209" t="s">
        <v>612</v>
      </c>
    </row>
    <row r="211" spans="1:11" ht="12.75" customHeight="1">
      <c r="A211" t="s">
        <v>215</v>
      </c>
      <c r="B211" t="s">
        <v>216</v>
      </c>
      <c r="C211" t="s">
        <v>401</v>
      </c>
      <c r="E211" t="s">
        <v>215</v>
      </c>
      <c r="F211" t="s">
        <v>215</v>
      </c>
      <c r="G211" t="s">
        <v>613</v>
      </c>
      <c r="I211" t="s">
        <v>215</v>
      </c>
      <c r="J211" t="s">
        <v>215</v>
      </c>
      <c r="K211" t="s">
        <v>614</v>
      </c>
    </row>
    <row r="212" spans="1:11" ht="12.75" customHeight="1">
      <c r="A212" t="s">
        <v>216</v>
      </c>
      <c r="B212" t="s">
        <v>217</v>
      </c>
      <c r="C212" t="s">
        <v>615</v>
      </c>
      <c r="E212" t="s">
        <v>216</v>
      </c>
      <c r="F212" t="s">
        <v>216</v>
      </c>
      <c r="G212" t="s">
        <v>616</v>
      </c>
      <c r="I212" t="s">
        <v>216</v>
      </c>
      <c r="J212" t="s">
        <v>216</v>
      </c>
      <c r="K212" t="s">
        <v>617</v>
      </c>
    </row>
    <row r="213" spans="1:11" ht="12.75" customHeight="1">
      <c r="A213" t="s">
        <v>217</v>
      </c>
      <c r="B213" t="s">
        <v>215</v>
      </c>
      <c r="C213" t="s">
        <v>618</v>
      </c>
      <c r="E213" t="s">
        <v>217</v>
      </c>
      <c r="F213" t="s">
        <v>217</v>
      </c>
      <c r="G213" t="s">
        <v>619</v>
      </c>
      <c r="I213" t="s">
        <v>217</v>
      </c>
      <c r="J213" t="s">
        <v>217</v>
      </c>
      <c r="K213" t="s">
        <v>620</v>
      </c>
    </row>
    <row r="214" spans="1:11" ht="12.75" customHeight="1">
      <c r="A214" t="s">
        <v>218</v>
      </c>
      <c r="B214" t="s">
        <v>218</v>
      </c>
      <c r="C214" t="s">
        <v>621</v>
      </c>
      <c r="E214" t="s">
        <v>218</v>
      </c>
      <c r="F214" t="s">
        <v>218</v>
      </c>
      <c r="G214" t="s">
        <v>622</v>
      </c>
      <c r="I214" t="s">
        <v>218</v>
      </c>
      <c r="J214" t="s">
        <v>218</v>
      </c>
      <c r="K214" t="s">
        <v>623</v>
      </c>
    </row>
    <row r="215" spans="1:11" ht="12.75" customHeight="1">
      <c r="A215" t="s">
        <v>219</v>
      </c>
      <c r="B215" t="s">
        <v>219</v>
      </c>
      <c r="C215" t="s">
        <v>624</v>
      </c>
      <c r="E215" t="s">
        <v>219</v>
      </c>
      <c r="F215" t="s">
        <v>219</v>
      </c>
      <c r="G215" t="s">
        <v>625</v>
      </c>
      <c r="I215" t="s">
        <v>219</v>
      </c>
      <c r="J215" t="s">
        <v>219</v>
      </c>
      <c r="K215" t="s">
        <v>626</v>
      </c>
    </row>
    <row r="216" spans="1:11" ht="12.75" customHeight="1">
      <c r="I216" t="s">
        <v>220</v>
      </c>
      <c r="J216" t="s">
        <v>220</v>
      </c>
      <c r="K216" t="s">
        <v>627</v>
      </c>
    </row>
    <row r="218" spans="1:11" ht="12.75" customHeight="1">
      <c r="A218" t="s">
        <v>224</v>
      </c>
      <c r="B218" t="s">
        <v>224</v>
      </c>
      <c r="C218" t="s">
        <v>628</v>
      </c>
      <c r="E218" t="s">
        <v>224</v>
      </c>
      <c r="F218" t="s">
        <v>224</v>
      </c>
      <c r="G218" t="s">
        <v>629</v>
      </c>
      <c r="I218" t="s">
        <v>224</v>
      </c>
      <c r="J218" t="s">
        <v>224</v>
      </c>
      <c r="K218" t="s">
        <v>630</v>
      </c>
    </row>
    <row r="219" spans="1:11" ht="12.75" customHeight="1">
      <c r="A219" t="s">
        <v>225</v>
      </c>
      <c r="B219" t="s">
        <v>225</v>
      </c>
      <c r="C219" t="s">
        <v>631</v>
      </c>
      <c r="E219" t="s">
        <v>225</v>
      </c>
      <c r="F219" t="s">
        <v>225</v>
      </c>
      <c r="G219" t="s">
        <v>632</v>
      </c>
      <c r="I219" t="s">
        <v>225</v>
      </c>
      <c r="J219" t="s">
        <v>225</v>
      </c>
      <c r="K219" t="s">
        <v>633</v>
      </c>
    </row>
    <row r="220" spans="1:11" ht="12.75" customHeight="1">
      <c r="A220" t="s">
        <v>226</v>
      </c>
      <c r="B220" t="s">
        <v>226</v>
      </c>
      <c r="C220" t="s">
        <v>634</v>
      </c>
      <c r="E220" t="s">
        <v>226</v>
      </c>
      <c r="F220" t="s">
        <v>226</v>
      </c>
      <c r="G220" t="s">
        <v>635</v>
      </c>
      <c r="I220" t="s">
        <v>226</v>
      </c>
      <c r="J220" t="s">
        <v>226</v>
      </c>
      <c r="K220" t="s">
        <v>636</v>
      </c>
    </row>
    <row r="221" spans="1:11" ht="12.75" customHeight="1">
      <c r="E221" t="s">
        <v>283</v>
      </c>
      <c r="F221" t="s">
        <v>283</v>
      </c>
      <c r="G221" t="s">
        <v>637</v>
      </c>
      <c r="I221" t="s">
        <v>283</v>
      </c>
      <c r="J221" t="s">
        <v>283</v>
      </c>
      <c r="K221" t="s">
        <v>638</v>
      </c>
    </row>
    <row r="223" spans="1:11" ht="12.75" customHeight="1">
      <c r="A223" t="s">
        <v>227</v>
      </c>
      <c r="B223" t="s">
        <v>227</v>
      </c>
      <c r="C223" t="s">
        <v>639</v>
      </c>
      <c r="E223" t="s">
        <v>227</v>
      </c>
      <c r="F223" t="s">
        <v>227</v>
      </c>
      <c r="G223" t="s">
        <v>640</v>
      </c>
      <c r="I223" t="s">
        <v>227</v>
      </c>
      <c r="J223" t="s">
        <v>227</v>
      </c>
      <c r="K223" t="s">
        <v>641</v>
      </c>
    </row>
    <row r="224" spans="1:11" ht="12.75" customHeight="1">
      <c r="A224" t="s">
        <v>228</v>
      </c>
      <c r="B224" t="s">
        <v>228</v>
      </c>
      <c r="C224" t="s">
        <v>642</v>
      </c>
    </row>
    <row r="227" spans="1:20" ht="12.75" customHeight="1">
      <c r="A227" s="220" t="s">
        <v>174</v>
      </c>
      <c r="B227" s="220"/>
      <c r="C227" s="220"/>
      <c r="D227" s="145"/>
      <c r="E227" s="220" t="s">
        <v>177</v>
      </c>
      <c r="F227" s="220"/>
      <c r="G227" s="220"/>
      <c r="H227" s="145"/>
      <c r="I227" s="220" t="s">
        <v>181</v>
      </c>
      <c r="J227" s="220"/>
      <c r="K227" s="220"/>
      <c r="L227" s="145"/>
      <c r="M227" s="145"/>
      <c r="N227" s="145"/>
      <c r="O227" s="145"/>
      <c r="P227" s="145"/>
      <c r="Q227" s="145"/>
      <c r="R227" s="145"/>
      <c r="S227" s="145"/>
      <c r="T227" s="145"/>
    </row>
    <row r="228" spans="1:20" ht="12.75" customHeight="1">
      <c r="A228" s="145" t="s">
        <v>232</v>
      </c>
      <c r="B228" s="145" t="s">
        <v>233</v>
      </c>
      <c r="C228" s="145" t="s">
        <v>6</v>
      </c>
      <c r="D228" s="145"/>
      <c r="E228" s="145" t="s">
        <v>232</v>
      </c>
      <c r="F228" s="145" t="s">
        <v>233</v>
      </c>
      <c r="G228" s="145" t="s">
        <v>6</v>
      </c>
      <c r="H228" s="145"/>
      <c r="I228" s="145" t="s">
        <v>232</v>
      </c>
      <c r="J228" s="145" t="s">
        <v>233</v>
      </c>
      <c r="K228" s="145" t="s">
        <v>6</v>
      </c>
      <c r="L228" s="145"/>
      <c r="M228" s="145"/>
      <c r="N228" s="145"/>
      <c r="O228" s="145"/>
      <c r="P228" s="145"/>
      <c r="Q228" s="145"/>
      <c r="R228" s="145"/>
      <c r="S228" s="145"/>
      <c r="T228" s="145"/>
    </row>
    <row r="229" spans="1:20" ht="12.75" customHeight="1">
      <c r="A229" t="s">
        <v>203</v>
      </c>
      <c r="B229" t="s">
        <v>203</v>
      </c>
      <c r="C229" t="s">
        <v>643</v>
      </c>
      <c r="E229" t="s">
        <v>203</v>
      </c>
      <c r="F229" t="s">
        <v>203</v>
      </c>
      <c r="G229" t="s">
        <v>644</v>
      </c>
      <c r="I229" t="s">
        <v>203</v>
      </c>
      <c r="J229" t="s">
        <v>203</v>
      </c>
      <c r="K229" t="s">
        <v>645</v>
      </c>
    </row>
    <row r="230" spans="1:20" ht="12.75" customHeight="1">
      <c r="A230" t="s">
        <v>204</v>
      </c>
      <c r="B230" t="s">
        <v>204</v>
      </c>
      <c r="C230" t="s">
        <v>646</v>
      </c>
      <c r="E230" t="s">
        <v>204</v>
      </c>
      <c r="F230" t="s">
        <v>204</v>
      </c>
      <c r="G230" t="s">
        <v>647</v>
      </c>
      <c r="I230" t="s">
        <v>204</v>
      </c>
      <c r="J230" t="s">
        <v>204</v>
      </c>
      <c r="K230" t="s">
        <v>648</v>
      </c>
    </row>
    <row r="231" spans="1:20" ht="12.75" customHeight="1">
      <c r="A231" t="s">
        <v>205</v>
      </c>
      <c r="B231" t="s">
        <v>205</v>
      </c>
      <c r="C231" t="s">
        <v>649</v>
      </c>
      <c r="E231" t="s">
        <v>205</v>
      </c>
      <c r="F231" t="s">
        <v>205</v>
      </c>
      <c r="G231" t="s">
        <v>650</v>
      </c>
      <c r="I231" t="s">
        <v>205</v>
      </c>
      <c r="J231" t="s">
        <v>205</v>
      </c>
      <c r="K231" t="s">
        <v>651</v>
      </c>
    </row>
    <row r="232" spans="1:20" ht="12.75" customHeight="1">
      <c r="I232" t="s">
        <v>206</v>
      </c>
      <c r="J232" t="s">
        <v>206</v>
      </c>
      <c r="K232" t="s">
        <v>652</v>
      </c>
    </row>
    <row r="234" spans="1:20" ht="12.75" customHeight="1">
      <c r="A234" t="s">
        <v>207</v>
      </c>
      <c r="B234" t="s">
        <v>208</v>
      </c>
      <c r="C234" t="s">
        <v>653</v>
      </c>
      <c r="E234" t="s">
        <v>207</v>
      </c>
      <c r="F234" t="s">
        <v>207</v>
      </c>
      <c r="G234" t="s">
        <v>654</v>
      </c>
      <c r="I234" t="s">
        <v>207</v>
      </c>
      <c r="J234" t="s">
        <v>207</v>
      </c>
      <c r="K234" t="s">
        <v>655</v>
      </c>
    </row>
    <row r="235" spans="1:20" ht="12.75" customHeight="1">
      <c r="A235" t="s">
        <v>208</v>
      </c>
      <c r="B235" t="s">
        <v>209</v>
      </c>
      <c r="C235" t="s">
        <v>656</v>
      </c>
      <c r="E235" t="s">
        <v>208</v>
      </c>
      <c r="F235" t="s">
        <v>208</v>
      </c>
      <c r="G235" t="s">
        <v>657</v>
      </c>
      <c r="I235" t="s">
        <v>208</v>
      </c>
      <c r="J235" t="s">
        <v>208</v>
      </c>
      <c r="K235" t="s">
        <v>658</v>
      </c>
    </row>
    <row r="236" spans="1:20" ht="12.75" customHeight="1">
      <c r="A236" t="s">
        <v>209</v>
      </c>
      <c r="B236" t="s">
        <v>207</v>
      </c>
      <c r="C236" t="s">
        <v>659</v>
      </c>
      <c r="E236" t="s">
        <v>209</v>
      </c>
      <c r="F236" t="s">
        <v>209</v>
      </c>
      <c r="G236" t="s">
        <v>660</v>
      </c>
      <c r="I236" t="s">
        <v>209</v>
      </c>
      <c r="J236" t="s">
        <v>209</v>
      </c>
      <c r="K236" t="s">
        <v>661</v>
      </c>
    </row>
    <row r="237" spans="1:20" ht="12.75" customHeight="1">
      <c r="A237" t="s">
        <v>210</v>
      </c>
      <c r="B237" t="s">
        <v>210</v>
      </c>
      <c r="C237" t="s">
        <v>662</v>
      </c>
      <c r="E237" t="s">
        <v>210</v>
      </c>
      <c r="F237" t="s">
        <v>210</v>
      </c>
      <c r="G237" t="s">
        <v>663</v>
      </c>
      <c r="I237" t="s">
        <v>210</v>
      </c>
      <c r="J237" t="s">
        <v>210</v>
      </c>
      <c r="K237" t="s">
        <v>664</v>
      </c>
    </row>
    <row r="238" spans="1:20" ht="12.75" customHeight="1">
      <c r="A238" t="s">
        <v>211</v>
      </c>
      <c r="B238" t="s">
        <v>211</v>
      </c>
      <c r="C238" t="s">
        <v>665</v>
      </c>
      <c r="I238" t="s">
        <v>211</v>
      </c>
      <c r="J238" t="s">
        <v>211</v>
      </c>
      <c r="K238" t="s">
        <v>666</v>
      </c>
    </row>
    <row r="239" spans="1:20" ht="12.75" customHeight="1">
      <c r="A239" t="s">
        <v>212</v>
      </c>
      <c r="B239" t="s">
        <v>212</v>
      </c>
      <c r="C239" t="s">
        <v>667</v>
      </c>
    </row>
    <row r="241" spans="1:11" ht="12.75" customHeight="1">
      <c r="A241" t="s">
        <v>215</v>
      </c>
      <c r="B241" t="s">
        <v>215</v>
      </c>
      <c r="C241" t="s">
        <v>551</v>
      </c>
      <c r="E241" t="s">
        <v>215</v>
      </c>
      <c r="F241" t="s">
        <v>216</v>
      </c>
      <c r="G241" t="s">
        <v>668</v>
      </c>
      <c r="I241" t="s">
        <v>215</v>
      </c>
      <c r="J241" t="s">
        <v>215</v>
      </c>
      <c r="K241" t="s">
        <v>669</v>
      </c>
    </row>
    <row r="242" spans="1:11" ht="12.75" customHeight="1">
      <c r="A242" t="s">
        <v>216</v>
      </c>
      <c r="B242" t="s">
        <v>216</v>
      </c>
      <c r="C242" t="s">
        <v>670</v>
      </c>
      <c r="E242" t="s">
        <v>216</v>
      </c>
      <c r="F242" t="s">
        <v>215</v>
      </c>
      <c r="G242" t="s">
        <v>263</v>
      </c>
      <c r="I242" t="s">
        <v>216</v>
      </c>
      <c r="J242" t="s">
        <v>216</v>
      </c>
      <c r="K242" t="s">
        <v>671</v>
      </c>
    </row>
    <row r="243" spans="1:11" ht="12.75" customHeight="1">
      <c r="A243" t="s">
        <v>217</v>
      </c>
      <c r="B243" t="s">
        <v>217</v>
      </c>
      <c r="C243" t="s">
        <v>672</v>
      </c>
      <c r="E243" t="s">
        <v>217</v>
      </c>
      <c r="F243" t="s">
        <v>217</v>
      </c>
      <c r="G243" t="s">
        <v>673</v>
      </c>
      <c r="I243" t="s">
        <v>217</v>
      </c>
      <c r="J243" t="s">
        <v>217</v>
      </c>
      <c r="K243" t="s">
        <v>674</v>
      </c>
    </row>
    <row r="244" spans="1:11" ht="12.75" customHeight="1">
      <c r="A244" t="s">
        <v>218</v>
      </c>
      <c r="B244" t="s">
        <v>218</v>
      </c>
      <c r="C244" t="s">
        <v>675</v>
      </c>
      <c r="E244" t="s">
        <v>218</v>
      </c>
      <c r="F244" t="s">
        <v>218</v>
      </c>
      <c r="G244" t="s">
        <v>676</v>
      </c>
      <c r="I244" t="s">
        <v>218</v>
      </c>
      <c r="J244" t="s">
        <v>218</v>
      </c>
      <c r="K244" t="s">
        <v>677</v>
      </c>
    </row>
    <row r="245" spans="1:11" ht="12.75" customHeight="1">
      <c r="A245" t="s">
        <v>219</v>
      </c>
      <c r="B245" t="s">
        <v>219</v>
      </c>
      <c r="C245" t="s">
        <v>591</v>
      </c>
      <c r="E245" t="s">
        <v>219</v>
      </c>
      <c r="F245" t="s">
        <v>219</v>
      </c>
      <c r="G245" t="s">
        <v>678</v>
      </c>
      <c r="I245" t="s">
        <v>219</v>
      </c>
      <c r="J245" t="s">
        <v>219</v>
      </c>
      <c r="K245" t="s">
        <v>679</v>
      </c>
    </row>
    <row r="246" spans="1:11" ht="12.75" customHeight="1">
      <c r="A246" t="s">
        <v>220</v>
      </c>
      <c r="B246" t="s">
        <v>220</v>
      </c>
      <c r="C246" t="s">
        <v>680</v>
      </c>
      <c r="E246" t="s">
        <v>220</v>
      </c>
      <c r="F246" t="s">
        <v>220</v>
      </c>
      <c r="G246" t="s">
        <v>681</v>
      </c>
      <c r="I246" t="s">
        <v>220</v>
      </c>
      <c r="J246" t="s">
        <v>220</v>
      </c>
      <c r="K246" t="s">
        <v>682</v>
      </c>
    </row>
    <row r="247" spans="1:11" ht="12.75" customHeight="1">
      <c r="E247" t="s">
        <v>221</v>
      </c>
      <c r="F247" t="s">
        <v>221</v>
      </c>
      <c r="G247" t="s">
        <v>683</v>
      </c>
      <c r="I247" t="s">
        <v>221</v>
      </c>
      <c r="J247" t="s">
        <v>221</v>
      </c>
      <c r="K247" t="s">
        <v>495</v>
      </c>
    </row>
    <row r="248" spans="1:11" ht="12.75" customHeight="1">
      <c r="I248" t="s">
        <v>221</v>
      </c>
      <c r="J248" t="s">
        <v>221</v>
      </c>
      <c r="K248" t="s">
        <v>464</v>
      </c>
    </row>
    <row r="249" spans="1:11" ht="12.75" customHeight="1">
      <c r="I249" t="s">
        <v>222</v>
      </c>
      <c r="J249" t="s">
        <v>222</v>
      </c>
      <c r="K249" t="s">
        <v>684</v>
      </c>
    </row>
    <row r="251" spans="1:11" ht="12.75" customHeight="1">
      <c r="A251" t="s">
        <v>224</v>
      </c>
      <c r="B251" t="s">
        <v>226</v>
      </c>
      <c r="C251" t="s">
        <v>685</v>
      </c>
      <c r="E251" t="s">
        <v>224</v>
      </c>
      <c r="F251" t="s">
        <v>224</v>
      </c>
      <c r="G251" t="s">
        <v>686</v>
      </c>
      <c r="I251" t="s">
        <v>224</v>
      </c>
      <c r="J251" t="s">
        <v>224</v>
      </c>
      <c r="K251" t="s">
        <v>687</v>
      </c>
    </row>
    <row r="252" spans="1:11" ht="12.75" customHeight="1">
      <c r="A252" t="s">
        <v>225</v>
      </c>
      <c r="B252" t="s">
        <v>224</v>
      </c>
      <c r="C252" t="s">
        <v>688</v>
      </c>
      <c r="E252" t="s">
        <v>225</v>
      </c>
      <c r="F252" t="s">
        <v>226</v>
      </c>
      <c r="G252" t="s">
        <v>689</v>
      </c>
      <c r="I252" t="s">
        <v>225</v>
      </c>
      <c r="J252" t="s">
        <v>225</v>
      </c>
      <c r="K252" t="s">
        <v>690</v>
      </c>
    </row>
    <row r="253" spans="1:11" ht="12.75" customHeight="1">
      <c r="A253" t="s">
        <v>226</v>
      </c>
      <c r="B253" t="s">
        <v>225</v>
      </c>
      <c r="C253" t="s">
        <v>691</v>
      </c>
      <c r="E253" t="s">
        <v>226</v>
      </c>
      <c r="F253" t="s">
        <v>225</v>
      </c>
      <c r="G253" t="s">
        <v>692</v>
      </c>
    </row>
    <row r="254" spans="1:11" ht="12.75" customHeight="1">
      <c r="A254" t="s">
        <v>283</v>
      </c>
      <c r="B254" t="s">
        <v>283</v>
      </c>
      <c r="C254" t="s">
        <v>693</v>
      </c>
    </row>
    <row r="256" spans="1:11" ht="12.75" customHeight="1">
      <c r="A256" t="s">
        <v>227</v>
      </c>
      <c r="B256" t="s">
        <v>227</v>
      </c>
      <c r="C256" t="s">
        <v>694</v>
      </c>
      <c r="E256" t="s">
        <v>227</v>
      </c>
      <c r="F256" t="s">
        <v>227</v>
      </c>
      <c r="G256" t="s">
        <v>695</v>
      </c>
      <c r="I256" t="s">
        <v>227</v>
      </c>
      <c r="J256" t="s">
        <v>227</v>
      </c>
      <c r="K256" t="s">
        <v>696</v>
      </c>
    </row>
    <row r="259" spans="1:20" ht="12.75" customHeight="1">
      <c r="A259" s="220" t="s">
        <v>184</v>
      </c>
      <c r="B259" s="220"/>
      <c r="C259" s="220"/>
      <c r="D259" s="145"/>
      <c r="E259" s="220" t="s">
        <v>189</v>
      </c>
      <c r="F259" s="220"/>
      <c r="G259" s="220"/>
      <c r="H259" s="145"/>
      <c r="I259" s="220" t="s">
        <v>193</v>
      </c>
      <c r="J259" s="220"/>
      <c r="K259" s="220"/>
      <c r="L259" s="145"/>
      <c r="M259" s="145"/>
      <c r="N259" s="145"/>
      <c r="O259" s="145"/>
      <c r="P259" s="145"/>
      <c r="Q259" s="145"/>
      <c r="R259" s="145"/>
      <c r="S259" s="145"/>
      <c r="T259" s="145"/>
    </row>
    <row r="260" spans="1:20" ht="12.75" customHeight="1">
      <c r="A260" s="145" t="s">
        <v>232</v>
      </c>
      <c r="B260" s="145" t="s">
        <v>233</v>
      </c>
      <c r="C260" s="145" t="s">
        <v>6</v>
      </c>
      <c r="D260" s="145"/>
      <c r="E260" s="145" t="s">
        <v>232</v>
      </c>
      <c r="F260" s="145" t="s">
        <v>233</v>
      </c>
      <c r="G260" s="145" t="s">
        <v>6</v>
      </c>
      <c r="H260" s="145"/>
      <c r="I260" s="145" t="s">
        <v>232</v>
      </c>
      <c r="J260" s="145" t="s">
        <v>233</v>
      </c>
      <c r="K260" s="145" t="s">
        <v>6</v>
      </c>
      <c r="L260" s="145"/>
      <c r="M260" s="145"/>
      <c r="N260" s="145"/>
      <c r="O260" s="145"/>
      <c r="P260" s="145"/>
      <c r="Q260" s="145"/>
      <c r="R260" s="145"/>
      <c r="S260" s="145"/>
      <c r="T260" s="145"/>
    </row>
    <row r="261" spans="1:20" ht="12.75" customHeight="1">
      <c r="A261" t="s">
        <v>203</v>
      </c>
      <c r="B261" t="s">
        <v>203</v>
      </c>
      <c r="C261" t="s">
        <v>697</v>
      </c>
      <c r="E261" t="s">
        <v>203</v>
      </c>
      <c r="F261" t="s">
        <v>203</v>
      </c>
      <c r="G261" t="s">
        <v>698</v>
      </c>
      <c r="I261" t="s">
        <v>203</v>
      </c>
      <c r="J261" t="s">
        <v>203</v>
      </c>
      <c r="K261" t="s">
        <v>699</v>
      </c>
    </row>
    <row r="262" spans="1:20" ht="12.75" customHeight="1">
      <c r="A262" t="s">
        <v>204</v>
      </c>
      <c r="B262" t="s">
        <v>204</v>
      </c>
      <c r="C262" t="s">
        <v>700</v>
      </c>
      <c r="E262" t="s">
        <v>204</v>
      </c>
      <c r="F262" t="s">
        <v>204</v>
      </c>
      <c r="G262" t="s">
        <v>701</v>
      </c>
      <c r="I262" t="s">
        <v>204</v>
      </c>
      <c r="J262" t="s">
        <v>204</v>
      </c>
      <c r="K262" t="s">
        <v>702</v>
      </c>
    </row>
    <row r="263" spans="1:20" ht="12.75" customHeight="1">
      <c r="A263" t="s">
        <v>205</v>
      </c>
      <c r="B263" t="s">
        <v>205</v>
      </c>
      <c r="C263" t="s">
        <v>703</v>
      </c>
      <c r="E263" t="s">
        <v>205</v>
      </c>
      <c r="F263" t="s">
        <v>205</v>
      </c>
      <c r="G263" t="s">
        <v>704</v>
      </c>
      <c r="I263" t="s">
        <v>205</v>
      </c>
      <c r="J263" t="s">
        <v>205</v>
      </c>
      <c r="K263" t="s">
        <v>705</v>
      </c>
    </row>
    <row r="265" spans="1:20" ht="12.75" customHeight="1">
      <c r="A265" t="s">
        <v>207</v>
      </c>
      <c r="B265" t="s">
        <v>207</v>
      </c>
      <c r="C265" t="s">
        <v>706</v>
      </c>
      <c r="E265" t="s">
        <v>207</v>
      </c>
      <c r="F265" t="s">
        <v>207</v>
      </c>
      <c r="G265" t="s">
        <v>707</v>
      </c>
      <c r="I265" t="s">
        <v>207</v>
      </c>
      <c r="J265" t="s">
        <v>207</v>
      </c>
      <c r="K265" t="s">
        <v>708</v>
      </c>
    </row>
    <row r="266" spans="1:20" ht="12.75" customHeight="1">
      <c r="A266" t="s">
        <v>208</v>
      </c>
      <c r="B266" t="s">
        <v>209</v>
      </c>
      <c r="C266" t="s">
        <v>709</v>
      </c>
      <c r="E266" t="s">
        <v>208</v>
      </c>
      <c r="F266" t="s">
        <v>208</v>
      </c>
      <c r="G266" t="s">
        <v>710</v>
      </c>
      <c r="I266" t="s">
        <v>208</v>
      </c>
      <c r="J266" t="s">
        <v>209</v>
      </c>
      <c r="K266" t="s">
        <v>711</v>
      </c>
    </row>
    <row r="267" spans="1:20" ht="12.75" customHeight="1">
      <c r="A267" t="s">
        <v>209</v>
      </c>
      <c r="B267" t="s">
        <v>208</v>
      </c>
      <c r="C267" t="s">
        <v>712</v>
      </c>
      <c r="E267" t="s">
        <v>209</v>
      </c>
      <c r="F267" t="s">
        <v>209</v>
      </c>
      <c r="G267" t="s">
        <v>713</v>
      </c>
      <c r="I267" t="s">
        <v>209</v>
      </c>
      <c r="J267" t="s">
        <v>208</v>
      </c>
      <c r="K267" t="s">
        <v>714</v>
      </c>
    </row>
    <row r="268" spans="1:20" ht="12.75" customHeight="1">
      <c r="A268" t="s">
        <v>210</v>
      </c>
      <c r="B268" t="s">
        <v>252</v>
      </c>
      <c r="C268" t="s">
        <v>715</v>
      </c>
      <c r="I268" t="s">
        <v>210</v>
      </c>
      <c r="J268" t="s">
        <v>210</v>
      </c>
      <c r="K268" t="s">
        <v>716</v>
      </c>
    </row>
    <row r="269" spans="1:20" ht="12.75" customHeight="1">
      <c r="A269" t="s">
        <v>211</v>
      </c>
      <c r="B269" t="s">
        <v>257</v>
      </c>
      <c r="C269" t="s">
        <v>717</v>
      </c>
      <c r="I269" t="s">
        <v>211</v>
      </c>
      <c r="J269" t="s">
        <v>211</v>
      </c>
      <c r="K269" t="s">
        <v>718</v>
      </c>
    </row>
    <row r="270" spans="1:20" ht="12.75" customHeight="1">
      <c r="I270" t="s">
        <v>212</v>
      </c>
      <c r="J270" t="s">
        <v>252</v>
      </c>
      <c r="K270" t="s">
        <v>719</v>
      </c>
    </row>
    <row r="272" spans="1:20" ht="12.75" customHeight="1">
      <c r="A272" t="s">
        <v>215</v>
      </c>
      <c r="B272" t="s">
        <v>217</v>
      </c>
      <c r="C272" t="s">
        <v>720</v>
      </c>
      <c r="E272" t="s">
        <v>215</v>
      </c>
      <c r="F272" t="s">
        <v>215</v>
      </c>
      <c r="G272" t="s">
        <v>721</v>
      </c>
      <c r="I272" t="s">
        <v>215</v>
      </c>
      <c r="J272" t="s">
        <v>215</v>
      </c>
      <c r="K272" t="s">
        <v>722</v>
      </c>
    </row>
    <row r="273" spans="1:20" ht="12.75" customHeight="1">
      <c r="A273" t="s">
        <v>216</v>
      </c>
      <c r="B273" t="s">
        <v>216</v>
      </c>
      <c r="C273" t="s">
        <v>723</v>
      </c>
      <c r="E273" t="s">
        <v>216</v>
      </c>
      <c r="F273" t="s">
        <v>216</v>
      </c>
      <c r="G273" t="s">
        <v>724</v>
      </c>
      <c r="I273" t="s">
        <v>216</v>
      </c>
      <c r="J273" t="s">
        <v>216</v>
      </c>
      <c r="K273" t="s">
        <v>439</v>
      </c>
    </row>
    <row r="274" spans="1:20" ht="12.75" customHeight="1">
      <c r="A274" t="s">
        <v>217</v>
      </c>
      <c r="B274" t="s">
        <v>218</v>
      </c>
      <c r="C274" t="s">
        <v>725</v>
      </c>
      <c r="E274" t="s">
        <v>217</v>
      </c>
      <c r="F274" t="s">
        <v>217</v>
      </c>
      <c r="G274" t="s">
        <v>726</v>
      </c>
      <c r="I274" t="s">
        <v>217</v>
      </c>
      <c r="J274" t="s">
        <v>217</v>
      </c>
      <c r="K274" t="s">
        <v>727</v>
      </c>
    </row>
    <row r="275" spans="1:20" ht="12.75" customHeight="1">
      <c r="A275" t="s">
        <v>218</v>
      </c>
      <c r="B275" t="s">
        <v>215</v>
      </c>
      <c r="C275" t="s">
        <v>728</v>
      </c>
      <c r="E275" t="s">
        <v>218</v>
      </c>
      <c r="F275" t="s">
        <v>218</v>
      </c>
      <c r="G275" t="s">
        <v>729</v>
      </c>
      <c r="I275" t="s">
        <v>218</v>
      </c>
      <c r="J275" t="s">
        <v>218</v>
      </c>
      <c r="K275" t="s">
        <v>730</v>
      </c>
    </row>
    <row r="276" spans="1:20" ht="12.75" customHeight="1">
      <c r="A276" t="s">
        <v>219</v>
      </c>
      <c r="B276" t="s">
        <v>219</v>
      </c>
      <c r="C276" t="s">
        <v>731</v>
      </c>
      <c r="E276" t="s">
        <v>219</v>
      </c>
      <c r="F276" t="s">
        <v>219</v>
      </c>
      <c r="G276" t="s">
        <v>732</v>
      </c>
      <c r="I276" t="s">
        <v>219</v>
      </c>
      <c r="J276" t="s">
        <v>219</v>
      </c>
      <c r="K276" t="s">
        <v>733</v>
      </c>
    </row>
    <row r="277" spans="1:20" ht="12.75" customHeight="1">
      <c r="A277" t="s">
        <v>220</v>
      </c>
      <c r="B277" t="s">
        <v>220</v>
      </c>
      <c r="C277" t="s">
        <v>734</v>
      </c>
    </row>
    <row r="279" spans="1:20" ht="12.75" customHeight="1">
      <c r="A279" t="s">
        <v>224</v>
      </c>
      <c r="B279" t="s">
        <v>224</v>
      </c>
      <c r="C279" t="s">
        <v>735</v>
      </c>
      <c r="E279" t="s">
        <v>224</v>
      </c>
      <c r="F279" t="s">
        <v>224</v>
      </c>
      <c r="G279" t="s">
        <v>736</v>
      </c>
      <c r="I279" t="s">
        <v>224</v>
      </c>
      <c r="J279" t="s">
        <v>224</v>
      </c>
      <c r="K279" t="s">
        <v>737</v>
      </c>
    </row>
    <row r="280" spans="1:20" ht="12.75" customHeight="1">
      <c r="A280" t="s">
        <v>225</v>
      </c>
      <c r="B280" t="s">
        <v>225</v>
      </c>
      <c r="C280" t="s">
        <v>738</v>
      </c>
      <c r="E280" t="s">
        <v>225</v>
      </c>
      <c r="F280" t="s">
        <v>225</v>
      </c>
      <c r="G280" t="s">
        <v>739</v>
      </c>
      <c r="I280" t="s">
        <v>225</v>
      </c>
      <c r="J280" t="s">
        <v>225</v>
      </c>
      <c r="K280" t="s">
        <v>740</v>
      </c>
    </row>
    <row r="281" spans="1:20" ht="12.75" customHeight="1">
      <c r="I281" t="s">
        <v>226</v>
      </c>
      <c r="J281" t="s">
        <v>226</v>
      </c>
      <c r="K281" t="s">
        <v>735</v>
      </c>
    </row>
    <row r="283" spans="1:20" ht="12.75" customHeight="1">
      <c r="A283" t="s">
        <v>227</v>
      </c>
      <c r="B283" t="s">
        <v>227</v>
      </c>
      <c r="C283" t="s">
        <v>741</v>
      </c>
      <c r="E283" t="s">
        <v>227</v>
      </c>
      <c r="F283" t="s">
        <v>227</v>
      </c>
      <c r="G283" t="s">
        <v>742</v>
      </c>
      <c r="I283" t="s">
        <v>227</v>
      </c>
      <c r="J283" t="s">
        <v>228</v>
      </c>
      <c r="K283" t="s">
        <v>743</v>
      </c>
    </row>
    <row r="284" spans="1:20" ht="12.75" customHeight="1">
      <c r="I284" t="s">
        <v>228</v>
      </c>
      <c r="J284" t="s">
        <v>227</v>
      </c>
      <c r="K284" t="s">
        <v>744</v>
      </c>
    </row>
    <row r="285" spans="1:20" ht="12.75" customHeight="1">
      <c r="I285" t="s">
        <v>745</v>
      </c>
      <c r="J285" t="s">
        <v>745</v>
      </c>
      <c r="K285" t="s">
        <v>746</v>
      </c>
    </row>
    <row r="288" spans="1:20" ht="12.75" customHeight="1">
      <c r="A288" s="220" t="s">
        <v>197</v>
      </c>
      <c r="B288" s="220"/>
      <c r="C288" s="220"/>
      <c r="D288" s="145"/>
      <c r="E288" s="220" t="s">
        <v>200</v>
      </c>
      <c r="F288" s="220"/>
      <c r="G288" s="220"/>
      <c r="H288" s="145"/>
      <c r="I288" s="145"/>
      <c r="J288" s="145"/>
      <c r="K288" s="145"/>
      <c r="L288" s="145"/>
      <c r="M288" s="145"/>
      <c r="N288" s="145"/>
      <c r="O288" s="145"/>
      <c r="P288" s="145"/>
      <c r="Q288" s="145"/>
      <c r="R288" s="145"/>
      <c r="S288" s="145"/>
      <c r="T288" s="145"/>
    </row>
    <row r="289" spans="1:20" ht="12.75" customHeight="1">
      <c r="A289" s="145" t="s">
        <v>232</v>
      </c>
      <c r="B289" s="145" t="s">
        <v>233</v>
      </c>
      <c r="C289" s="145" t="s">
        <v>6</v>
      </c>
      <c r="D289" s="145"/>
      <c r="E289" s="145" t="s">
        <v>232</v>
      </c>
      <c r="F289" s="145" t="s">
        <v>233</v>
      </c>
      <c r="G289" s="145" t="s">
        <v>6</v>
      </c>
      <c r="H289" s="145"/>
      <c r="I289" s="145"/>
      <c r="J289" s="145"/>
      <c r="K289" s="145"/>
      <c r="L289" s="145"/>
      <c r="M289" s="145"/>
      <c r="N289" s="145"/>
      <c r="O289" s="145"/>
      <c r="P289" s="145"/>
      <c r="Q289" s="145"/>
      <c r="R289" s="145"/>
      <c r="S289" s="145"/>
      <c r="T289" s="145"/>
    </row>
    <row r="290" spans="1:20" ht="12.75" customHeight="1">
      <c r="A290" t="s">
        <v>203</v>
      </c>
      <c r="B290" t="s">
        <v>203</v>
      </c>
      <c r="C290" t="s">
        <v>747</v>
      </c>
      <c r="E290" t="s">
        <v>203</v>
      </c>
      <c r="F290" t="s">
        <v>203</v>
      </c>
      <c r="G290" t="s">
        <v>748</v>
      </c>
    </row>
    <row r="291" spans="1:20" ht="12.75" customHeight="1">
      <c r="A291" t="s">
        <v>204</v>
      </c>
      <c r="B291" t="s">
        <v>204</v>
      </c>
      <c r="C291" t="s">
        <v>749</v>
      </c>
      <c r="E291" t="s">
        <v>204</v>
      </c>
      <c r="F291" t="s">
        <v>204</v>
      </c>
      <c r="G291" t="s">
        <v>750</v>
      </c>
    </row>
    <row r="292" spans="1:20" ht="12.75" customHeight="1">
      <c r="A292" t="s">
        <v>205</v>
      </c>
      <c r="B292" t="s">
        <v>205</v>
      </c>
      <c r="C292" t="s">
        <v>751</v>
      </c>
      <c r="E292" t="s">
        <v>205</v>
      </c>
      <c r="F292" t="s">
        <v>205</v>
      </c>
      <c r="G292" t="s">
        <v>752</v>
      </c>
    </row>
    <row r="293" spans="1:20" ht="12.75" customHeight="1">
      <c r="E293" t="s">
        <v>206</v>
      </c>
      <c r="F293" t="s">
        <v>206</v>
      </c>
      <c r="G293" t="s">
        <v>753</v>
      </c>
    </row>
    <row r="295" spans="1:20" ht="12.75" customHeight="1">
      <c r="A295" t="s">
        <v>207</v>
      </c>
      <c r="B295" t="s">
        <v>207</v>
      </c>
      <c r="C295" t="s">
        <v>419</v>
      </c>
      <c r="E295" t="s">
        <v>207</v>
      </c>
      <c r="F295" t="s">
        <v>207</v>
      </c>
      <c r="G295" t="s">
        <v>754</v>
      </c>
    </row>
    <row r="296" spans="1:20" ht="12.75" customHeight="1">
      <c r="A296" t="s">
        <v>208</v>
      </c>
      <c r="B296" t="s">
        <v>208</v>
      </c>
      <c r="C296" t="s">
        <v>755</v>
      </c>
      <c r="E296" t="s">
        <v>208</v>
      </c>
      <c r="F296" t="s">
        <v>208</v>
      </c>
      <c r="G296" t="s">
        <v>756</v>
      </c>
    </row>
    <row r="297" spans="1:20" ht="12.75" customHeight="1">
      <c r="A297" t="s">
        <v>209</v>
      </c>
      <c r="B297" t="s">
        <v>209</v>
      </c>
      <c r="C297" t="s">
        <v>757</v>
      </c>
      <c r="E297" t="s">
        <v>209</v>
      </c>
      <c r="F297" t="s">
        <v>209</v>
      </c>
      <c r="G297" t="s">
        <v>758</v>
      </c>
    </row>
    <row r="298" spans="1:20" ht="12.75" customHeight="1">
      <c r="A298" t="s">
        <v>210</v>
      </c>
      <c r="B298" t="s">
        <v>210</v>
      </c>
      <c r="C298" t="s">
        <v>759</v>
      </c>
      <c r="E298" t="s">
        <v>210</v>
      </c>
      <c r="F298" t="s">
        <v>210</v>
      </c>
      <c r="G298" t="s">
        <v>464</v>
      </c>
    </row>
    <row r="299" spans="1:20" ht="12.75" customHeight="1">
      <c r="A299" t="s">
        <v>211</v>
      </c>
      <c r="B299" t="s">
        <v>252</v>
      </c>
      <c r="C299" t="s">
        <v>760</v>
      </c>
      <c r="E299" t="s">
        <v>211</v>
      </c>
      <c r="F299" t="s">
        <v>211</v>
      </c>
      <c r="G299" t="s">
        <v>761</v>
      </c>
    </row>
    <row r="300" spans="1:20" ht="12.75" customHeight="1">
      <c r="E300" t="s">
        <v>212</v>
      </c>
      <c r="F300" t="s">
        <v>212</v>
      </c>
      <c r="G300" t="s">
        <v>762</v>
      </c>
    </row>
    <row r="302" spans="1:20" ht="12.75" customHeight="1">
      <c r="A302" t="s">
        <v>215</v>
      </c>
      <c r="B302" t="s">
        <v>215</v>
      </c>
      <c r="C302" t="s">
        <v>763</v>
      </c>
      <c r="E302" t="s">
        <v>215</v>
      </c>
      <c r="F302" t="s">
        <v>215</v>
      </c>
      <c r="G302" t="s">
        <v>764</v>
      </c>
    </row>
    <row r="303" spans="1:20" ht="12.75" customHeight="1">
      <c r="A303" t="s">
        <v>216</v>
      </c>
      <c r="B303" t="s">
        <v>217</v>
      </c>
      <c r="C303" t="s">
        <v>765</v>
      </c>
      <c r="E303" t="s">
        <v>216</v>
      </c>
      <c r="F303" t="s">
        <v>217</v>
      </c>
      <c r="G303" t="s">
        <v>766</v>
      </c>
    </row>
    <row r="304" spans="1:20" ht="12.75" customHeight="1">
      <c r="A304" t="s">
        <v>217</v>
      </c>
      <c r="B304" t="s">
        <v>216</v>
      </c>
      <c r="C304" t="s">
        <v>767</v>
      </c>
      <c r="E304" t="s">
        <v>217</v>
      </c>
      <c r="F304" t="s">
        <v>216</v>
      </c>
      <c r="G304" t="s">
        <v>768</v>
      </c>
    </row>
    <row r="305" spans="1:7" ht="12.75" customHeight="1">
      <c r="A305" t="s">
        <v>218</v>
      </c>
      <c r="B305" t="s">
        <v>218</v>
      </c>
      <c r="C305" t="s">
        <v>769</v>
      </c>
      <c r="E305" t="s">
        <v>218</v>
      </c>
      <c r="F305" t="s">
        <v>218</v>
      </c>
      <c r="G305" t="s">
        <v>576</v>
      </c>
    </row>
    <row r="306" spans="1:7" ht="12.75" customHeight="1">
      <c r="A306" t="s">
        <v>219</v>
      </c>
      <c r="B306" t="s">
        <v>219</v>
      </c>
      <c r="C306" t="s">
        <v>300</v>
      </c>
      <c r="E306" t="s">
        <v>219</v>
      </c>
      <c r="F306" t="s">
        <v>219</v>
      </c>
      <c r="G306" t="s">
        <v>583</v>
      </c>
    </row>
    <row r="307" spans="1:7" ht="12.75" customHeight="1">
      <c r="A307" t="s">
        <v>220</v>
      </c>
      <c r="B307" t="s">
        <v>220</v>
      </c>
      <c r="C307" t="s">
        <v>770</v>
      </c>
      <c r="E307" t="s">
        <v>220</v>
      </c>
      <c r="F307" t="s">
        <v>220</v>
      </c>
      <c r="G307" t="s">
        <v>771</v>
      </c>
    </row>
    <row r="309" spans="1:7" ht="12.75" customHeight="1">
      <c r="A309" t="s">
        <v>224</v>
      </c>
      <c r="B309" t="s">
        <v>224</v>
      </c>
      <c r="C309" t="s">
        <v>772</v>
      </c>
      <c r="E309" t="s">
        <v>224</v>
      </c>
      <c r="F309" t="s">
        <v>224</v>
      </c>
      <c r="G309" t="s">
        <v>773</v>
      </c>
    </row>
    <row r="310" spans="1:7" ht="12.75" customHeight="1">
      <c r="A310" t="s">
        <v>225</v>
      </c>
      <c r="B310" t="s">
        <v>225</v>
      </c>
      <c r="C310" t="s">
        <v>774</v>
      </c>
      <c r="E310" t="s">
        <v>225</v>
      </c>
      <c r="F310" t="s">
        <v>225</v>
      </c>
      <c r="G310" t="s">
        <v>775</v>
      </c>
    </row>
    <row r="311" spans="1:7" ht="12.75" customHeight="1">
      <c r="A311" t="s">
        <v>226</v>
      </c>
      <c r="B311" t="s">
        <v>226</v>
      </c>
      <c r="C311" t="s">
        <v>776</v>
      </c>
      <c r="E311" t="s">
        <v>226</v>
      </c>
      <c r="F311" t="s">
        <v>226</v>
      </c>
      <c r="G311" t="s">
        <v>777</v>
      </c>
    </row>
    <row r="312" spans="1:7" ht="12.75" customHeight="1">
      <c r="E312" t="s">
        <v>283</v>
      </c>
      <c r="F312" t="s">
        <v>283</v>
      </c>
      <c r="G312" t="s">
        <v>778</v>
      </c>
    </row>
    <row r="314" spans="1:7" ht="12.75" customHeight="1">
      <c r="A314" t="s">
        <v>227</v>
      </c>
      <c r="B314" t="s">
        <v>227</v>
      </c>
      <c r="C314" t="s">
        <v>779</v>
      </c>
      <c r="E314" t="s">
        <v>227</v>
      </c>
      <c r="F314" t="s">
        <v>227</v>
      </c>
      <c r="G314" t="s">
        <v>780</v>
      </c>
    </row>
  </sheetData>
  <mergeCells count="32">
    <mergeCell ref="A288:C288"/>
    <mergeCell ref="E288:G288"/>
    <mergeCell ref="A227:C227"/>
    <mergeCell ref="E227:G227"/>
    <mergeCell ref="I227:K227"/>
    <mergeCell ref="A259:C259"/>
    <mergeCell ref="E259:G259"/>
    <mergeCell ref="I259:K259"/>
    <mergeCell ref="A170:C170"/>
    <mergeCell ref="E170:G170"/>
    <mergeCell ref="I170:K170"/>
    <mergeCell ref="A199:C199"/>
    <mergeCell ref="E199:G199"/>
    <mergeCell ref="I199:K199"/>
    <mergeCell ref="A115:C115"/>
    <mergeCell ref="E115:G115"/>
    <mergeCell ref="I115:K115"/>
    <mergeCell ref="A142:C142"/>
    <mergeCell ref="E142:G142"/>
    <mergeCell ref="I142:K142"/>
    <mergeCell ref="A57:C57"/>
    <mergeCell ref="E57:G57"/>
    <mergeCell ref="I57:K57"/>
    <mergeCell ref="A86:C86"/>
    <mergeCell ref="E86:G86"/>
    <mergeCell ref="I86:K86"/>
    <mergeCell ref="A1:C1"/>
    <mergeCell ref="E1:G1"/>
    <mergeCell ref="I1:K1"/>
    <mergeCell ref="A30:C30"/>
    <mergeCell ref="E30:G30"/>
    <mergeCell ref="I30:K30"/>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47"/>
  <sheetViews>
    <sheetView showGridLines="0" zoomScale="125" zoomScaleNormal="125" zoomScalePageLayoutView="125" workbookViewId="0">
      <pane ySplit="1" topLeftCell="A2" activePane="bottomLeft" state="frozen"/>
      <selection pane="bottomLeft" activeCell="O4" sqref="O4"/>
    </sheetView>
  </sheetViews>
  <sheetFormatPr baseColWidth="10" defaultColWidth="17.1640625" defaultRowHeight="12.75" customHeight="1" x14ac:dyDescent="0"/>
  <cols>
    <col min="1" max="1" width="2.33203125" hidden="1" customWidth="1"/>
    <col min="2" max="2" width="6.1640625" hidden="1" customWidth="1"/>
    <col min="3" max="3" width="5.1640625" hidden="1" customWidth="1"/>
    <col min="4" max="4" width="5.6640625" hidden="1" customWidth="1"/>
    <col min="5" max="5" width="5" hidden="1" customWidth="1"/>
    <col min="6" max="6" width="3.5" hidden="1" customWidth="1"/>
    <col min="7" max="7" width="3" hidden="1" customWidth="1"/>
    <col min="8" max="8" width="4.1640625" hidden="1" customWidth="1"/>
    <col min="9" max="9" width="3.5" hidden="1" customWidth="1"/>
    <col min="10" max="10" width="3.6640625" customWidth="1"/>
    <col min="11" max="11" width="2.5" customWidth="1"/>
    <col min="12" max="12" width="3.5" customWidth="1"/>
    <col min="13" max="13" width="2.5" customWidth="1"/>
    <col min="14" max="14" width="2.33203125" customWidth="1"/>
    <col min="15" max="15" width="18.6640625" customWidth="1"/>
    <col min="16" max="16" width="5" customWidth="1"/>
    <col min="17" max="17" width="3.33203125" customWidth="1"/>
    <col min="18" max="19" width="5" customWidth="1"/>
    <col min="20" max="20" width="3.33203125" customWidth="1"/>
    <col min="21" max="21" width="3.5" customWidth="1"/>
    <col min="22" max="22" width="2.5" customWidth="1"/>
    <col min="23" max="23" width="2.1640625" customWidth="1"/>
    <col min="24" max="24" width="19.1640625" customWidth="1"/>
    <col min="25" max="25" width="5" customWidth="1"/>
    <col min="26" max="26" width="3.33203125" customWidth="1"/>
    <col min="27" max="27" width="4.6640625" customWidth="1"/>
    <col min="28" max="28" width="5" customWidth="1"/>
    <col min="29" max="29" width="3.33203125" customWidth="1"/>
    <col min="30" max="30" width="3.5" customWidth="1"/>
    <col min="31" max="31" width="2.5" customWidth="1"/>
    <col min="32" max="32" width="2.1640625" customWidth="1"/>
    <col min="33" max="33" width="19.1640625" customWidth="1"/>
    <col min="34" max="34" width="5" customWidth="1"/>
    <col min="35" max="35" width="3.33203125" customWidth="1"/>
    <col min="36" max="36" width="5.6640625" customWidth="1"/>
    <col min="37" max="37" width="5" customWidth="1"/>
  </cols>
  <sheetData>
    <row r="1" spans="1:37" ht="12.75" customHeight="1">
      <c r="A1" t="s">
        <v>5</v>
      </c>
      <c r="B1" t="s">
        <v>781</v>
      </c>
      <c r="C1" t="s">
        <v>782</v>
      </c>
      <c r="D1" t="s">
        <v>6</v>
      </c>
      <c r="E1" t="s">
        <v>7</v>
      </c>
      <c r="F1" t="s">
        <v>8</v>
      </c>
      <c r="G1" t="s">
        <v>9</v>
      </c>
      <c r="H1" t="s">
        <v>10</v>
      </c>
      <c r="I1" t="s">
        <v>202</v>
      </c>
      <c r="J1" s="51"/>
      <c r="K1" s="23" t="s">
        <v>5</v>
      </c>
      <c r="L1" s="198" t="s">
        <v>202</v>
      </c>
      <c r="M1" s="198" t="s">
        <v>5</v>
      </c>
      <c r="N1" s="198"/>
      <c r="O1" s="198" t="s">
        <v>6</v>
      </c>
      <c r="P1" s="198" t="s">
        <v>7</v>
      </c>
      <c r="Q1" s="198" t="s">
        <v>8</v>
      </c>
      <c r="R1" s="198" t="s">
        <v>10</v>
      </c>
      <c r="S1" s="13" t="s">
        <v>9</v>
      </c>
      <c r="T1" s="23" t="s">
        <v>5</v>
      </c>
      <c r="U1" s="198" t="s">
        <v>202</v>
      </c>
      <c r="V1" s="198" t="s">
        <v>5</v>
      </c>
      <c r="W1" s="198"/>
      <c r="X1" s="198" t="s">
        <v>6</v>
      </c>
      <c r="Y1" s="198" t="s">
        <v>7</v>
      </c>
      <c r="Z1" s="198" t="s">
        <v>8</v>
      </c>
      <c r="AA1" s="198" t="s">
        <v>10</v>
      </c>
      <c r="AB1" s="13" t="s">
        <v>9</v>
      </c>
      <c r="AC1" s="23" t="s">
        <v>5</v>
      </c>
      <c r="AD1" s="198" t="s">
        <v>202</v>
      </c>
      <c r="AE1" s="198" t="s">
        <v>5</v>
      </c>
      <c r="AF1" s="198"/>
      <c r="AG1" s="198" t="s">
        <v>6</v>
      </c>
      <c r="AH1" s="198" t="s">
        <v>7</v>
      </c>
      <c r="AI1" s="198" t="s">
        <v>8</v>
      </c>
      <c r="AJ1" s="198" t="s">
        <v>10</v>
      </c>
      <c r="AK1" s="198" t="s">
        <v>9</v>
      </c>
    </row>
    <row r="2" spans="1:37" ht="12.75" customHeight="1">
      <c r="A2" s="33">
        <f>RANK(H2,$H$2:$H$331)</f>
        <v>1</v>
      </c>
      <c r="B2" s="33">
        <f>Cheatsheet!A3</f>
        <v>1</v>
      </c>
      <c r="C2" s="33" t="str">
        <f>Cheatsheet!B3</f>
        <v/>
      </c>
      <c r="D2" s="33" t="str">
        <f>Cheatsheet!C3</f>
        <v>Peyton Manning</v>
      </c>
      <c r="E2" s="33" t="str">
        <f>Cheatsheet!D3</f>
        <v>DEN</v>
      </c>
      <c r="F2" s="33">
        <f>Cheatsheet!E3</f>
        <v>4</v>
      </c>
      <c r="G2" s="70">
        <f>Cheatsheet!F3</f>
        <v>461.6</v>
      </c>
      <c r="H2" s="70">
        <f>Cheatsheet!G3</f>
        <v>123.48181818181826</v>
      </c>
      <c r="I2" s="33" t="s">
        <v>0</v>
      </c>
      <c r="J2" s="194"/>
      <c r="K2" s="151">
        <v>1</v>
      </c>
      <c r="L2" s="144" t="str">
        <f t="shared" ref="L2:L33" si="0">VLOOKUP(K2,$A:$I,9,0)</f>
        <v>QB</v>
      </c>
      <c r="M2" s="91">
        <f t="shared" ref="M2:M33" si="1">VLOOKUP(K2,$A:$I,2,0)</f>
        <v>1</v>
      </c>
      <c r="N2" s="91" t="str">
        <f t="shared" ref="N2:N33" si="2">VLOOKUP(K2,$A:$I,3,0)</f>
        <v/>
      </c>
      <c r="O2" s="52" t="str">
        <f t="shared" ref="O2:O33" si="3">VLOOKUP(K2,$A:$I,4,0)</f>
        <v>Peyton Manning</v>
      </c>
      <c r="P2" s="52" t="str">
        <f t="shared" ref="P2:P33" si="4">VLOOKUP(K2,$A:$I,5,0)</f>
        <v>DEN</v>
      </c>
      <c r="Q2" s="52">
        <f t="shared" ref="Q2:Q33" si="5">VLOOKUP(K2,$A:$I,6,0)</f>
        <v>4</v>
      </c>
      <c r="R2" s="144">
        <f t="shared" ref="R2:R33" si="6">VLOOKUP(K2,$A:$I,8,0)</f>
        <v>123.48181818181826</v>
      </c>
      <c r="S2" s="8">
        <f t="shared" ref="S2:S33" si="7">VLOOKUP(K2,$A:$I,7,0)</f>
        <v>461.6</v>
      </c>
      <c r="T2" s="151">
        <v>81</v>
      </c>
      <c r="U2" s="144" t="str">
        <f t="shared" ref="U2:U33" si="8">VLOOKUP(T2,$A:$I,9,0)</f>
        <v>RB</v>
      </c>
      <c r="V2" s="91">
        <f t="shared" ref="V2:V33" si="9">VLOOKUP(T2,$A:$I,2,0)</f>
        <v>19</v>
      </c>
      <c r="W2" s="91" t="str">
        <f t="shared" ref="W2:W33" si="10">VLOOKUP(T2,$A:$I,3,0)</f>
        <v/>
      </c>
      <c r="X2" s="52" t="str">
        <f t="shared" ref="X2:X33" si="11">VLOOKUP(T2,$A:$I,4,0)</f>
        <v>Reggie Bush</v>
      </c>
      <c r="Y2" s="52" t="str">
        <f t="shared" ref="Y2:Y33" si="12">VLOOKUP(T2,$A:$I,5,0)</f>
        <v>DET</v>
      </c>
      <c r="Z2" s="52">
        <f t="shared" ref="Z2:Z33" si="13">VLOOKUP(T2,$A:$I,6,0)</f>
        <v>9</v>
      </c>
      <c r="AA2" s="144">
        <f t="shared" ref="AA2:AA33" si="14">VLOOKUP(T2,$A:$I,8,0)</f>
        <v>-13.793939393939354</v>
      </c>
      <c r="AB2" s="8">
        <f t="shared" ref="AB2:AB33" si="15">VLOOKUP(T2,$A:$I,7,0)</f>
        <v>191.4</v>
      </c>
      <c r="AC2" s="151">
        <v>161</v>
      </c>
      <c r="AD2" s="144" t="str">
        <f t="shared" ref="AD2:AD33" si="16">VLOOKUP(AC2,$A:$I,9,0)</f>
        <v>DST</v>
      </c>
      <c r="AE2" s="91">
        <f t="shared" ref="AE2:AE33" si="17">VLOOKUP(AC2,$A:$I,2,0)</f>
        <v>28</v>
      </c>
      <c r="AF2" s="91" t="str">
        <f t="shared" ref="AF2:AF33" si="18">VLOOKUP(AC2,$A:$I,3,0)</f>
        <v/>
      </c>
      <c r="AG2" s="52" t="str">
        <f t="shared" ref="AG2:AG33" si="19">VLOOKUP(AC2,$A:$I,4,0)</f>
        <v>Eagles</v>
      </c>
      <c r="AH2" s="52" t="str">
        <f t="shared" ref="AH2:AH33" si="20">VLOOKUP(AC2,$A:$I,5,0)</f>
        <v>PHI</v>
      </c>
      <c r="AI2" s="52">
        <f t="shared" ref="AI2:AI33" si="21">VLOOKUP(AC2,$A:$I,6,0)</f>
        <v>7</v>
      </c>
      <c r="AJ2" s="144">
        <f t="shared" ref="AJ2:AJ33" si="22">VLOOKUP(AC2,$A:$I,8,0)</f>
        <v>-53.445454545454538</v>
      </c>
      <c r="AK2" s="156">
        <f t="shared" ref="AK2:AK33" si="23">VLOOKUP(AC2,$A:$I,7,0)</f>
        <v>58.3</v>
      </c>
    </row>
    <row r="3" spans="1:37" ht="12.75" customHeight="1">
      <c r="A3" s="33">
        <f>IF(ISERROR(VLOOKUP(RANK(H3,$H$2:$H$331),$A$2:A2,1,0)),RANK(H3,$H$2:$H$331),IF(ISERROR(VLOOKUP((RANK(H3,$H$2:$H$331)+1),$A$2:A2,1,0)),(RANK(H3,$H$2:$H$331)+1),(RANK(H3,$H$2:$H$331)+2)))</f>
        <v>3</v>
      </c>
      <c r="B3" s="33">
        <f>Cheatsheet!A4</f>
        <v>2</v>
      </c>
      <c r="C3" s="33" t="str">
        <f>Cheatsheet!B4</f>
        <v/>
      </c>
      <c r="D3" s="33" t="str">
        <f>Cheatsheet!C4</f>
        <v>Aaron Rodgers</v>
      </c>
      <c r="E3" s="33" t="str">
        <f>Cheatsheet!D4</f>
        <v>GB</v>
      </c>
      <c r="F3" s="33">
        <f>Cheatsheet!E4</f>
        <v>9</v>
      </c>
      <c r="G3" s="70">
        <f>Cheatsheet!F4</f>
        <v>421.9</v>
      </c>
      <c r="H3" s="70">
        <f>Cheatsheet!G4</f>
        <v>83.78181818181821</v>
      </c>
      <c r="I3" s="33" t="s">
        <v>0</v>
      </c>
      <c r="J3" s="194"/>
      <c r="K3" s="122">
        <f t="shared" ref="K3:K34" si="24">K2+1</f>
        <v>2</v>
      </c>
      <c r="L3" s="144" t="str">
        <f t="shared" si="0"/>
        <v>RB</v>
      </c>
      <c r="M3" s="33">
        <f t="shared" si="1"/>
        <v>1</v>
      </c>
      <c r="N3" s="33" t="str">
        <f t="shared" si="2"/>
        <v/>
      </c>
      <c r="O3" s="52" t="str">
        <f t="shared" si="3"/>
        <v>Jamaal Charles</v>
      </c>
      <c r="P3" s="52" t="str">
        <f t="shared" si="4"/>
        <v>KC</v>
      </c>
      <c r="Q3" s="52">
        <f t="shared" si="5"/>
        <v>6</v>
      </c>
      <c r="R3" s="144">
        <f t="shared" si="6"/>
        <v>93.206060606060618</v>
      </c>
      <c r="S3" s="8">
        <f t="shared" si="7"/>
        <v>298.39999999999998</v>
      </c>
      <c r="T3" s="122">
        <f t="shared" ref="T3:T34" si="25">T2+1</f>
        <v>82</v>
      </c>
      <c r="U3" s="144" t="str">
        <f t="shared" si="8"/>
        <v>RB</v>
      </c>
      <c r="V3" s="33">
        <f t="shared" si="9"/>
        <v>20</v>
      </c>
      <c r="W3" s="33" t="str">
        <f t="shared" si="10"/>
        <v/>
      </c>
      <c r="X3" s="52" t="str">
        <f t="shared" si="11"/>
        <v>Joique Bell</v>
      </c>
      <c r="Y3" s="52" t="str">
        <f t="shared" si="12"/>
        <v>DET</v>
      </c>
      <c r="Z3" s="52">
        <f t="shared" si="13"/>
        <v>9</v>
      </c>
      <c r="AA3" s="144">
        <f t="shared" si="14"/>
        <v>-14.093939393939365</v>
      </c>
      <c r="AB3" s="8">
        <f t="shared" si="15"/>
        <v>191.1</v>
      </c>
      <c r="AC3" s="122">
        <f t="shared" ref="AC3:AC34" si="26">AC2+1</f>
        <v>162</v>
      </c>
      <c r="AD3" s="144" t="str">
        <f t="shared" si="16"/>
        <v>RB</v>
      </c>
      <c r="AE3" s="33">
        <f t="shared" si="17"/>
        <v>33</v>
      </c>
      <c r="AF3" s="33" t="str">
        <f t="shared" si="18"/>
        <v/>
      </c>
      <c r="AG3" s="52" t="str">
        <f t="shared" si="19"/>
        <v>Steven Jackson</v>
      </c>
      <c r="AH3" s="52" t="str">
        <f t="shared" si="20"/>
        <v>ATL</v>
      </c>
      <c r="AI3" s="52">
        <f t="shared" si="21"/>
        <v>9</v>
      </c>
      <c r="AJ3" s="144">
        <f t="shared" si="22"/>
        <v>-54.593939393939365</v>
      </c>
      <c r="AK3" s="156">
        <f t="shared" si="23"/>
        <v>150.6</v>
      </c>
    </row>
    <row r="4" spans="1:37" ht="12.75" customHeight="1">
      <c r="A4" s="33">
        <f>IF(ISERROR(VLOOKUP(RANK(H4,$H$2:$H$331),$A$2:A3,1,0)),RANK(H4,$H$2:$H$331),IF(ISERROR(VLOOKUP((RANK(H4,$H$2:$H$331)+1),$A$2:A3,1,0)),(RANK(H4,$H$2:$H$331)+1),(RANK(H4,$H$2:$H$331)+2)))</f>
        <v>4</v>
      </c>
      <c r="B4" s="33">
        <f>Cheatsheet!A5</f>
        <v>3</v>
      </c>
      <c r="C4" s="33" t="str">
        <f>Cheatsheet!B5</f>
        <v/>
      </c>
      <c r="D4" s="33" t="str">
        <f>Cheatsheet!C5</f>
        <v>Drew Brees</v>
      </c>
      <c r="E4" s="33" t="str">
        <f>Cheatsheet!D5</f>
        <v>NO</v>
      </c>
      <c r="F4" s="33">
        <f>Cheatsheet!E5</f>
        <v>6</v>
      </c>
      <c r="G4" s="70">
        <f>Cheatsheet!F5</f>
        <v>416.2</v>
      </c>
      <c r="H4" s="70">
        <f>Cheatsheet!G5</f>
        <v>78.081818181818221</v>
      </c>
      <c r="I4" s="33" t="s">
        <v>0</v>
      </c>
      <c r="J4" s="194"/>
      <c r="K4" s="122">
        <f t="shared" si="24"/>
        <v>3</v>
      </c>
      <c r="L4" s="144" t="str">
        <f t="shared" si="0"/>
        <v>QB</v>
      </c>
      <c r="M4" s="33">
        <f t="shared" si="1"/>
        <v>2</v>
      </c>
      <c r="N4" s="33" t="str">
        <f t="shared" si="2"/>
        <v/>
      </c>
      <c r="O4" s="52" t="str">
        <f t="shared" si="3"/>
        <v>Aaron Rodgers</v>
      </c>
      <c r="P4" s="52" t="str">
        <f t="shared" si="4"/>
        <v>GB</v>
      </c>
      <c r="Q4" s="52">
        <f t="shared" si="5"/>
        <v>9</v>
      </c>
      <c r="R4" s="144">
        <f t="shared" si="6"/>
        <v>83.78181818181821</v>
      </c>
      <c r="S4" s="8">
        <f t="shared" si="7"/>
        <v>421.9</v>
      </c>
      <c r="T4" s="122">
        <f t="shared" si="25"/>
        <v>83</v>
      </c>
      <c r="U4" s="144" t="str">
        <f t="shared" si="8"/>
        <v>K</v>
      </c>
      <c r="V4" s="33">
        <f t="shared" si="9"/>
        <v>13</v>
      </c>
      <c r="W4" s="33" t="str">
        <f t="shared" si="10"/>
        <v/>
      </c>
      <c r="X4" s="52" t="str">
        <f t="shared" si="11"/>
        <v>Alex Henery</v>
      </c>
      <c r="Y4" s="52" t="str">
        <f t="shared" si="12"/>
        <v>PHI</v>
      </c>
      <c r="Z4" s="52">
        <f t="shared" si="13"/>
        <v>7</v>
      </c>
      <c r="AA4" s="144">
        <f t="shared" si="14"/>
        <v>-14.554545454545433</v>
      </c>
      <c r="AB4" s="8">
        <f t="shared" si="15"/>
        <v>123</v>
      </c>
      <c r="AC4" s="122">
        <f t="shared" si="26"/>
        <v>163</v>
      </c>
      <c r="AD4" s="144" t="str">
        <f t="shared" si="16"/>
        <v>RB</v>
      </c>
      <c r="AE4" s="33">
        <f t="shared" si="17"/>
        <v>34</v>
      </c>
      <c r="AF4" s="33" t="str">
        <f t="shared" si="18"/>
        <v/>
      </c>
      <c r="AG4" s="52" t="str">
        <f t="shared" si="19"/>
        <v>Fred Jackson</v>
      </c>
      <c r="AH4" s="52" t="str">
        <f t="shared" si="20"/>
        <v>BUF</v>
      </c>
      <c r="AI4" s="52">
        <f t="shared" si="21"/>
        <v>9</v>
      </c>
      <c r="AJ4" s="144">
        <f t="shared" si="22"/>
        <v>-55.893939393939348</v>
      </c>
      <c r="AK4" s="156">
        <f t="shared" si="23"/>
        <v>149.30000000000001</v>
      </c>
    </row>
    <row r="5" spans="1:37" ht="12.75" customHeight="1">
      <c r="A5" s="33">
        <f>IF(ISERROR(VLOOKUP(RANK(H5,$H$2:$H$331),$A$2:A4,1,0)),RANK(H5,$H$2:$H$331),IF(ISERROR(VLOOKUP((RANK(H5,$H$2:$H$331)+1),$A$2:A4,1,0)),(RANK(H5,$H$2:$H$331)+1),(RANK(H5,$H$2:$H$331)+2)))</f>
        <v>21</v>
      </c>
      <c r="B5" s="33">
        <f>Cheatsheet!A6</f>
        <v>4</v>
      </c>
      <c r="C5" s="33" t="str">
        <f>Cheatsheet!B6</f>
        <v/>
      </c>
      <c r="D5" s="33" t="str">
        <f>Cheatsheet!C6</f>
        <v>Matthew Stafford</v>
      </c>
      <c r="E5" s="33" t="str">
        <f>Cheatsheet!D6</f>
        <v>DET</v>
      </c>
      <c r="F5" s="33">
        <f>Cheatsheet!E6</f>
        <v>9</v>
      </c>
      <c r="G5" s="70">
        <f>Cheatsheet!F6</f>
        <v>361.7</v>
      </c>
      <c r="H5" s="70">
        <f>Cheatsheet!G6</f>
        <v>23.581818181818221</v>
      </c>
      <c r="I5" s="33" t="s">
        <v>0</v>
      </c>
      <c r="J5" s="194"/>
      <c r="K5" s="122">
        <f t="shared" si="24"/>
        <v>4</v>
      </c>
      <c r="L5" s="144" t="str">
        <f t="shared" si="0"/>
        <v>QB</v>
      </c>
      <c r="M5" s="33">
        <f t="shared" si="1"/>
        <v>3</v>
      </c>
      <c r="N5" s="33" t="str">
        <f t="shared" si="2"/>
        <v/>
      </c>
      <c r="O5" s="52" t="str">
        <f t="shared" si="3"/>
        <v>Drew Brees</v>
      </c>
      <c r="P5" s="52" t="str">
        <f t="shared" si="4"/>
        <v>NO</v>
      </c>
      <c r="Q5" s="52">
        <f t="shared" si="5"/>
        <v>6</v>
      </c>
      <c r="R5" s="144">
        <f t="shared" si="6"/>
        <v>78.081818181818221</v>
      </c>
      <c r="S5" s="8">
        <f t="shared" si="7"/>
        <v>416.2</v>
      </c>
      <c r="T5" s="122">
        <f t="shared" si="25"/>
        <v>84</v>
      </c>
      <c r="U5" s="144" t="str">
        <f t="shared" si="8"/>
        <v>TE</v>
      </c>
      <c r="V5" s="33">
        <f t="shared" si="9"/>
        <v>8</v>
      </c>
      <c r="W5" s="33" t="str">
        <f t="shared" si="10"/>
        <v/>
      </c>
      <c r="X5" s="52" t="str">
        <f t="shared" si="11"/>
        <v>Greg Olsen</v>
      </c>
      <c r="Y5" s="52" t="str">
        <f t="shared" si="12"/>
        <v>CAR</v>
      </c>
      <c r="Z5" s="52">
        <f t="shared" si="13"/>
        <v>12</v>
      </c>
      <c r="AA5" s="144">
        <f t="shared" si="14"/>
        <v>-15.363636363636374</v>
      </c>
      <c r="AB5" s="8">
        <f t="shared" si="15"/>
        <v>150.5</v>
      </c>
      <c r="AC5" s="122">
        <f t="shared" si="26"/>
        <v>164</v>
      </c>
      <c r="AD5" s="144" t="str">
        <f t="shared" si="16"/>
        <v>WR</v>
      </c>
      <c r="AE5" s="33">
        <f t="shared" si="17"/>
        <v>37</v>
      </c>
      <c r="AF5" s="33" t="str">
        <f t="shared" si="18"/>
        <v/>
      </c>
      <c r="AG5" s="52" t="str">
        <f t="shared" si="19"/>
        <v>Cecil Shorts</v>
      </c>
      <c r="AH5" s="52" t="str">
        <f t="shared" si="20"/>
        <v>JAC</v>
      </c>
      <c r="AI5" s="52">
        <f t="shared" si="21"/>
        <v>11</v>
      </c>
      <c r="AJ5" s="144">
        <f t="shared" si="22"/>
        <v>-56.639393939393898</v>
      </c>
      <c r="AK5" s="156">
        <f t="shared" si="23"/>
        <v>144.4</v>
      </c>
    </row>
    <row r="6" spans="1:37" ht="12.75" customHeight="1">
      <c r="A6" s="33">
        <f>IF(ISERROR(VLOOKUP(RANK(H6,$H$2:$H$331),$A$2:A5,1,0)),RANK(H6,$H$2:$H$331),IF(ISERROR(VLOOKUP((RANK(H6,$H$2:$H$331)+1),$A$2:A5,1,0)),(RANK(H6,$H$2:$H$331)+1),(RANK(H6,$H$2:$H$331)+2)))</f>
        <v>27</v>
      </c>
      <c r="B6" s="33">
        <f>Cheatsheet!A7</f>
        <v>5</v>
      </c>
      <c r="C6" s="33" t="str">
        <f>Cheatsheet!B7</f>
        <v/>
      </c>
      <c r="D6" s="33" t="str">
        <f>Cheatsheet!C7</f>
        <v>Nick Foles</v>
      </c>
      <c r="E6" s="33" t="str">
        <f>Cheatsheet!D7</f>
        <v>PHI</v>
      </c>
      <c r="F6" s="33">
        <f>Cheatsheet!E7</f>
        <v>7</v>
      </c>
      <c r="G6" s="70">
        <f>Cheatsheet!F7</f>
        <v>357.9</v>
      </c>
      <c r="H6" s="70">
        <f>Cheatsheet!G7</f>
        <v>19.78181818181821</v>
      </c>
      <c r="I6" s="33" t="s">
        <v>0</v>
      </c>
      <c r="J6" s="194"/>
      <c r="K6" s="122">
        <f t="shared" si="24"/>
        <v>5</v>
      </c>
      <c r="L6" s="144" t="str">
        <f t="shared" si="0"/>
        <v>WR</v>
      </c>
      <c r="M6" s="33">
        <f t="shared" si="1"/>
        <v>1</v>
      </c>
      <c r="N6" s="33" t="str">
        <f t="shared" si="2"/>
        <v/>
      </c>
      <c r="O6" s="52" t="str">
        <f t="shared" si="3"/>
        <v>Calvin Johnson</v>
      </c>
      <c r="P6" s="52" t="str">
        <f t="shared" si="4"/>
        <v>DET</v>
      </c>
      <c r="Q6" s="52">
        <f t="shared" si="5"/>
        <v>9</v>
      </c>
      <c r="R6" s="144">
        <f t="shared" si="6"/>
        <v>76.860606060606074</v>
      </c>
      <c r="S6" s="8">
        <f t="shared" si="7"/>
        <v>277.89999999999998</v>
      </c>
      <c r="T6" s="122">
        <f t="shared" si="25"/>
        <v>85</v>
      </c>
      <c r="U6" s="144" t="str">
        <f t="shared" si="8"/>
        <v>K</v>
      </c>
      <c r="V6" s="33">
        <f t="shared" si="9"/>
        <v>14</v>
      </c>
      <c r="W6" s="33" t="str">
        <f t="shared" si="10"/>
        <v/>
      </c>
      <c r="X6" s="52" t="str">
        <f t="shared" si="11"/>
        <v>Shaun Suisham</v>
      </c>
      <c r="Y6" s="52" t="str">
        <f t="shared" si="12"/>
        <v>PIT</v>
      </c>
      <c r="Z6" s="52">
        <f t="shared" si="13"/>
        <v>12</v>
      </c>
      <c r="AA6" s="144">
        <f t="shared" si="14"/>
        <v>-15.954545454545439</v>
      </c>
      <c r="AB6" s="8">
        <f t="shared" si="15"/>
        <v>121.6</v>
      </c>
      <c r="AC6" s="122">
        <f t="shared" si="26"/>
        <v>165</v>
      </c>
      <c r="AD6" s="144" t="str">
        <f t="shared" si="16"/>
        <v>WR</v>
      </c>
      <c r="AE6" s="33">
        <f t="shared" si="17"/>
        <v>38</v>
      </c>
      <c r="AF6" s="33" t="str">
        <f t="shared" si="18"/>
        <v/>
      </c>
      <c r="AG6" s="52" t="str">
        <f t="shared" si="19"/>
        <v>Dwayne Bowe</v>
      </c>
      <c r="AH6" s="52" t="str">
        <f t="shared" si="20"/>
        <v>KC</v>
      </c>
      <c r="AI6" s="52">
        <f t="shared" si="21"/>
        <v>6</v>
      </c>
      <c r="AJ6" s="144">
        <f t="shared" si="22"/>
        <v>-57.439393939393909</v>
      </c>
      <c r="AK6" s="156">
        <f t="shared" si="23"/>
        <v>143.6</v>
      </c>
    </row>
    <row r="7" spans="1:37" ht="12.75" customHeight="1">
      <c r="A7" s="33">
        <f>IF(ISERROR(VLOOKUP(RANK(H7,$H$2:$H$331),$A$2:A6,1,0)),RANK(H7,$H$2:$H$331),IF(ISERROR(VLOOKUP((RANK(H7,$H$2:$H$331)+1),$A$2:A6,1,0)),(RANK(H7,$H$2:$H$331)+1),(RANK(H7,$H$2:$H$331)+2)))</f>
        <v>32</v>
      </c>
      <c r="B7" s="33">
        <f>Cheatsheet!A8</f>
        <v>6</v>
      </c>
      <c r="C7" s="33" t="str">
        <f>Cheatsheet!B8</f>
        <v/>
      </c>
      <c r="D7" s="33" t="str">
        <f>Cheatsheet!C8</f>
        <v>Andrew Luck</v>
      </c>
      <c r="E7" s="33" t="str">
        <f>Cheatsheet!D8</f>
        <v>IND</v>
      </c>
      <c r="F7" s="33">
        <f>Cheatsheet!E8</f>
        <v>10</v>
      </c>
      <c r="G7" s="70">
        <f>Cheatsheet!F8</f>
        <v>348.6</v>
      </c>
      <c r="H7" s="70">
        <f>Cheatsheet!G8</f>
        <v>10.481818181818255</v>
      </c>
      <c r="I7" s="33" t="s">
        <v>0</v>
      </c>
      <c r="J7" s="194"/>
      <c r="K7" s="122">
        <f t="shared" si="24"/>
        <v>6</v>
      </c>
      <c r="L7" s="144" t="str">
        <f t="shared" si="0"/>
        <v>RB</v>
      </c>
      <c r="M7" s="33">
        <f t="shared" si="1"/>
        <v>2</v>
      </c>
      <c r="N7" s="33" t="str">
        <f t="shared" si="2"/>
        <v/>
      </c>
      <c r="O7" s="52" t="str">
        <f t="shared" si="3"/>
        <v>LeSean McCoy</v>
      </c>
      <c r="P7" s="52" t="str">
        <f t="shared" si="4"/>
        <v>PHI</v>
      </c>
      <c r="Q7" s="52">
        <f t="shared" si="5"/>
        <v>7</v>
      </c>
      <c r="R7" s="144">
        <f t="shared" si="6"/>
        <v>74.906060606060663</v>
      </c>
      <c r="S7" s="8">
        <f t="shared" si="7"/>
        <v>280.10000000000002</v>
      </c>
      <c r="T7" s="122">
        <f t="shared" si="25"/>
        <v>86</v>
      </c>
      <c r="U7" s="144" t="str">
        <f t="shared" si="8"/>
        <v>K</v>
      </c>
      <c r="V7" s="33">
        <f t="shared" si="9"/>
        <v>15</v>
      </c>
      <c r="W7" s="33" t="str">
        <f t="shared" si="10"/>
        <v/>
      </c>
      <c r="X7" s="52" t="str">
        <f t="shared" si="11"/>
        <v>Nick Folk</v>
      </c>
      <c r="Y7" s="52" t="str">
        <f t="shared" si="12"/>
        <v>NYJ</v>
      </c>
      <c r="Z7" s="52">
        <f t="shared" si="13"/>
        <v>11</v>
      </c>
      <c r="AA7" s="144">
        <f t="shared" si="14"/>
        <v>-16.354545454545431</v>
      </c>
      <c r="AB7" s="8">
        <f t="shared" si="15"/>
        <v>121.2</v>
      </c>
      <c r="AC7" s="122">
        <f t="shared" si="26"/>
        <v>166</v>
      </c>
      <c r="AD7" s="144" t="str">
        <f t="shared" si="16"/>
        <v>DST</v>
      </c>
      <c r="AE7" s="33">
        <f t="shared" si="17"/>
        <v>29</v>
      </c>
      <c r="AF7" s="33" t="str">
        <f t="shared" si="18"/>
        <v/>
      </c>
      <c r="AG7" s="52" t="str">
        <f t="shared" si="19"/>
        <v>Redskins</v>
      </c>
      <c r="AH7" s="52" t="str">
        <f t="shared" si="20"/>
        <v>WSH</v>
      </c>
      <c r="AI7" s="52">
        <f t="shared" si="21"/>
        <v>10</v>
      </c>
      <c r="AJ7" s="144">
        <f t="shared" si="22"/>
        <v>-58.045454545454533</v>
      </c>
      <c r="AK7" s="156">
        <f t="shared" si="23"/>
        <v>53.7</v>
      </c>
    </row>
    <row r="8" spans="1:37" ht="12.75" customHeight="1">
      <c r="A8" s="33">
        <f>IF(ISERROR(VLOOKUP(RANK(H8,$H$2:$H$331),$A$2:A7,1,0)),RANK(H8,$H$2:$H$331),IF(ISERROR(VLOOKUP((RANK(H8,$H$2:$H$331)+1),$A$2:A7,1,0)),(RANK(H8,$H$2:$H$331)+1),(RANK(H8,$H$2:$H$331)+2)))</f>
        <v>38</v>
      </c>
      <c r="B8" s="33">
        <f>Cheatsheet!A9</f>
        <v>7</v>
      </c>
      <c r="C8" s="33" t="str">
        <f>Cheatsheet!B9</f>
        <v/>
      </c>
      <c r="D8" s="33" t="str">
        <f>Cheatsheet!C9</f>
        <v>Cam Newton</v>
      </c>
      <c r="E8" s="33" t="str">
        <f>Cheatsheet!D9</f>
        <v>CAR</v>
      </c>
      <c r="F8" s="33">
        <f>Cheatsheet!E9</f>
        <v>12</v>
      </c>
      <c r="G8" s="70">
        <f>Cheatsheet!F9</f>
        <v>343.2</v>
      </c>
      <c r="H8" s="70">
        <f>Cheatsheet!G9</f>
        <v>5.0818181818182211</v>
      </c>
      <c r="I8" s="33" t="s">
        <v>0</v>
      </c>
      <c r="J8" s="194"/>
      <c r="K8" s="122">
        <f t="shared" si="24"/>
        <v>7</v>
      </c>
      <c r="L8" s="144" t="str">
        <f t="shared" si="0"/>
        <v>RB</v>
      </c>
      <c r="M8" s="33">
        <f t="shared" si="1"/>
        <v>3</v>
      </c>
      <c r="N8" s="33" t="str">
        <f t="shared" si="2"/>
        <v/>
      </c>
      <c r="O8" s="52" t="str">
        <f t="shared" si="3"/>
        <v>Matt Forte</v>
      </c>
      <c r="P8" s="52" t="str">
        <f t="shared" si="4"/>
        <v>CHI</v>
      </c>
      <c r="Q8" s="52">
        <f t="shared" si="5"/>
        <v>9</v>
      </c>
      <c r="R8" s="144">
        <f t="shared" si="6"/>
        <v>70.406060606060663</v>
      </c>
      <c r="S8" s="8">
        <f t="shared" si="7"/>
        <v>275.60000000000002</v>
      </c>
      <c r="T8" s="122">
        <f t="shared" si="25"/>
        <v>87</v>
      </c>
      <c r="U8" s="144" t="str">
        <f t="shared" si="8"/>
        <v>WR</v>
      </c>
      <c r="V8" s="33">
        <f t="shared" si="9"/>
        <v>20</v>
      </c>
      <c r="W8" s="33" t="str">
        <f t="shared" si="10"/>
        <v/>
      </c>
      <c r="X8" s="52" t="str">
        <f t="shared" si="11"/>
        <v>Wes Welker</v>
      </c>
      <c r="Y8" s="52" t="str">
        <f t="shared" si="12"/>
        <v>DEN</v>
      </c>
      <c r="Z8" s="52">
        <f t="shared" si="13"/>
        <v>4</v>
      </c>
      <c r="AA8" s="144">
        <f t="shared" si="14"/>
        <v>-16.439393939393909</v>
      </c>
      <c r="AB8" s="8">
        <f t="shared" si="15"/>
        <v>184.6</v>
      </c>
      <c r="AC8" s="122">
        <f t="shared" si="26"/>
        <v>167</v>
      </c>
      <c r="AD8" s="144" t="str">
        <f t="shared" si="16"/>
        <v>TE</v>
      </c>
      <c r="AE8" s="33">
        <f t="shared" si="17"/>
        <v>18</v>
      </c>
      <c r="AF8" s="33" t="str">
        <f t="shared" si="18"/>
        <v/>
      </c>
      <c r="AG8" s="52" t="str">
        <f t="shared" si="19"/>
        <v>Jared Cook</v>
      </c>
      <c r="AH8" s="52" t="str">
        <f t="shared" si="20"/>
        <v>STL</v>
      </c>
      <c r="AI8" s="52">
        <f t="shared" si="21"/>
        <v>4</v>
      </c>
      <c r="AJ8" s="144">
        <f t="shared" si="22"/>
        <v>-59.163636363636371</v>
      </c>
      <c r="AK8" s="156">
        <f t="shared" si="23"/>
        <v>106.7</v>
      </c>
    </row>
    <row r="9" spans="1:37" ht="12.75" customHeight="1">
      <c r="A9" s="33">
        <f>IF(ISERROR(VLOOKUP(RANK(H9,$H$2:$H$331),$A$2:A8,1,0)),RANK(H9,$H$2:$H$331),IF(ISERROR(VLOOKUP((RANK(H9,$H$2:$H$331)+1),$A$2:A8,1,0)),(RANK(H9,$H$2:$H$331)+1),(RANK(H9,$H$2:$H$331)+2)))</f>
        <v>39</v>
      </c>
      <c r="B9" s="33">
        <f>Cheatsheet!A10</f>
        <v>8</v>
      </c>
      <c r="C9" s="33" t="str">
        <f>Cheatsheet!B10</f>
        <v/>
      </c>
      <c r="D9" s="33" t="str">
        <f>Cheatsheet!C10</f>
        <v>Colin Kaepernick</v>
      </c>
      <c r="E9" s="33" t="str">
        <f>Cheatsheet!D10</f>
        <v>SF</v>
      </c>
      <c r="F9" s="33">
        <f>Cheatsheet!E10</f>
        <v>8</v>
      </c>
      <c r="G9" s="70">
        <f>Cheatsheet!F10</f>
        <v>343.2</v>
      </c>
      <c r="H9" s="70">
        <f>Cheatsheet!G10</f>
        <v>5.0818181818182211</v>
      </c>
      <c r="I9" s="33" t="s">
        <v>0</v>
      </c>
      <c r="J9" s="194"/>
      <c r="K9" s="122">
        <f t="shared" si="24"/>
        <v>8</v>
      </c>
      <c r="L9" s="144" t="str">
        <f t="shared" si="0"/>
        <v>TE</v>
      </c>
      <c r="M9" s="33">
        <f t="shared" si="1"/>
        <v>1</v>
      </c>
      <c r="N9" s="33" t="str">
        <f t="shared" si="2"/>
        <v/>
      </c>
      <c r="O9" s="52" t="str">
        <f t="shared" si="3"/>
        <v>Jimmy Graham</v>
      </c>
      <c r="P9" s="52" t="str">
        <f t="shared" si="4"/>
        <v>NO</v>
      </c>
      <c r="Q9" s="52">
        <f t="shared" si="5"/>
        <v>6</v>
      </c>
      <c r="R9" s="144">
        <f t="shared" si="6"/>
        <v>70.136363636363626</v>
      </c>
      <c r="S9" s="8">
        <f t="shared" si="7"/>
        <v>236</v>
      </c>
      <c r="T9" s="122">
        <f t="shared" si="25"/>
        <v>88</v>
      </c>
      <c r="U9" s="144" t="str">
        <f t="shared" si="8"/>
        <v>RB</v>
      </c>
      <c r="V9" s="33">
        <f t="shared" si="9"/>
        <v>21</v>
      </c>
      <c r="W9" s="33" t="str">
        <f t="shared" si="10"/>
        <v/>
      </c>
      <c r="X9" s="52" t="str">
        <f t="shared" si="11"/>
        <v>Rashad Jennings</v>
      </c>
      <c r="Y9" s="52" t="str">
        <f t="shared" si="12"/>
        <v>NYG</v>
      </c>
      <c r="Z9" s="52">
        <f t="shared" si="13"/>
        <v>8</v>
      </c>
      <c r="AA9" s="144">
        <f t="shared" si="14"/>
        <v>-16.793939393939354</v>
      </c>
      <c r="AB9" s="8">
        <f t="shared" si="15"/>
        <v>188.4</v>
      </c>
      <c r="AC9" s="122">
        <f t="shared" si="26"/>
        <v>168</v>
      </c>
      <c r="AD9" s="144" t="str">
        <f t="shared" si="16"/>
        <v>WR</v>
      </c>
      <c r="AE9" s="33">
        <f t="shared" si="17"/>
        <v>39</v>
      </c>
      <c r="AF9" s="33" t="str">
        <f t="shared" si="18"/>
        <v/>
      </c>
      <c r="AG9" s="52" t="str">
        <f t="shared" si="19"/>
        <v>Anquan Boldin</v>
      </c>
      <c r="AH9" s="52" t="str">
        <f t="shared" si="20"/>
        <v>SF</v>
      </c>
      <c r="AI9" s="52">
        <f t="shared" si="21"/>
        <v>8</v>
      </c>
      <c r="AJ9" s="144">
        <f t="shared" si="22"/>
        <v>-59.439393939393909</v>
      </c>
      <c r="AK9" s="156">
        <f t="shared" si="23"/>
        <v>141.6</v>
      </c>
    </row>
    <row r="10" spans="1:37" ht="12.75" customHeight="1">
      <c r="A10" s="33">
        <f>IF(ISERROR(VLOOKUP(RANK(H10,$H$2:$H$331),$A$2:A9,1,0)),RANK(H10,$H$2:$H$331),IF(ISERROR(VLOOKUP((RANK(H10,$H$2:$H$331)+1),$A$2:A9,1,0)),(RANK(H10,$H$2:$H$331)+1),(RANK(H10,$H$2:$H$331)+2)))</f>
        <v>41</v>
      </c>
      <c r="B10" s="33">
        <f>Cheatsheet!A11</f>
        <v>9</v>
      </c>
      <c r="C10" s="33" t="str">
        <f>Cheatsheet!B11</f>
        <v/>
      </c>
      <c r="D10" s="33" t="str">
        <f>Cheatsheet!C11</f>
        <v>Matt Ryan</v>
      </c>
      <c r="E10" s="33" t="str">
        <f>Cheatsheet!D11</f>
        <v>ATL</v>
      </c>
      <c r="F10" s="33">
        <f>Cheatsheet!E11</f>
        <v>9</v>
      </c>
      <c r="G10" s="70">
        <f>Cheatsheet!F11</f>
        <v>342.3</v>
      </c>
      <c r="H10" s="70">
        <f>Cheatsheet!G11</f>
        <v>4.1818181818182438</v>
      </c>
      <c r="I10" s="33" t="s">
        <v>0</v>
      </c>
      <c r="J10" s="194"/>
      <c r="K10" s="122">
        <f t="shared" si="24"/>
        <v>9</v>
      </c>
      <c r="L10" s="144" t="str">
        <f t="shared" si="0"/>
        <v>WR</v>
      </c>
      <c r="M10" s="33">
        <f t="shared" si="1"/>
        <v>2</v>
      </c>
      <c r="N10" s="33" t="str">
        <f t="shared" si="2"/>
        <v/>
      </c>
      <c r="O10" s="52" t="str">
        <f t="shared" si="3"/>
        <v>Demaryius Thomas</v>
      </c>
      <c r="P10" s="52" t="str">
        <f t="shared" si="4"/>
        <v>DEN</v>
      </c>
      <c r="Q10" s="52">
        <f t="shared" si="5"/>
        <v>4</v>
      </c>
      <c r="R10" s="144">
        <f t="shared" si="6"/>
        <v>67.360606060606074</v>
      </c>
      <c r="S10" s="8">
        <f t="shared" si="7"/>
        <v>268.39999999999998</v>
      </c>
      <c r="T10" s="122">
        <f t="shared" si="25"/>
        <v>89</v>
      </c>
      <c r="U10" s="144" t="str">
        <f t="shared" si="8"/>
        <v>K</v>
      </c>
      <c r="V10" s="33">
        <f t="shared" si="9"/>
        <v>16</v>
      </c>
      <c r="W10" s="33" t="str">
        <f t="shared" si="10"/>
        <v/>
      </c>
      <c r="X10" s="52" t="str">
        <f t="shared" si="11"/>
        <v>Dan Carpenter</v>
      </c>
      <c r="Y10" s="52" t="str">
        <f t="shared" si="12"/>
        <v>BUF</v>
      </c>
      <c r="Z10" s="52">
        <f t="shared" si="13"/>
        <v>9</v>
      </c>
      <c r="AA10" s="144">
        <f t="shared" si="14"/>
        <v>-16.954545454545439</v>
      </c>
      <c r="AB10" s="8">
        <f t="shared" si="15"/>
        <v>120.6</v>
      </c>
      <c r="AC10" s="122">
        <f t="shared" si="26"/>
        <v>169</v>
      </c>
      <c r="AD10" s="144" t="str">
        <f t="shared" si="16"/>
        <v>WR</v>
      </c>
      <c r="AE10" s="33">
        <f t="shared" si="17"/>
        <v>40</v>
      </c>
      <c r="AF10" s="33" t="str">
        <f t="shared" si="18"/>
        <v/>
      </c>
      <c r="AG10" s="52" t="str">
        <f t="shared" si="19"/>
        <v>Brian Hartline</v>
      </c>
      <c r="AH10" s="52" t="str">
        <f t="shared" si="20"/>
        <v>MIA</v>
      </c>
      <c r="AI10" s="52">
        <f t="shared" si="21"/>
        <v>5</v>
      </c>
      <c r="AJ10" s="144">
        <f t="shared" si="22"/>
        <v>-60.339393939393915</v>
      </c>
      <c r="AK10" s="156">
        <f t="shared" si="23"/>
        <v>140.69999999999999</v>
      </c>
    </row>
    <row r="11" spans="1:37" ht="12.75" customHeight="1">
      <c r="A11" s="33">
        <f>IF(ISERROR(VLOOKUP(RANK(H11,$H$2:$H$331),$A$2:A10,1,0)),RANK(H11,$H$2:$H$331),IF(ISERROR(VLOOKUP((RANK(H11,$H$2:$H$331)+1),$A$2:A10,1,0)),(RANK(H11,$H$2:$H$331)+1),(RANK(H11,$H$2:$H$331)+2)))</f>
        <v>53</v>
      </c>
      <c r="B11" s="33">
        <f>Cheatsheet!A12</f>
        <v>10</v>
      </c>
      <c r="C11" s="33" t="str">
        <f>Cheatsheet!B12</f>
        <v/>
      </c>
      <c r="D11" s="33" t="str">
        <f>Cheatsheet!C12</f>
        <v>Robert Griffin III</v>
      </c>
      <c r="E11" s="33" t="str">
        <f>Cheatsheet!D12</f>
        <v>WSH</v>
      </c>
      <c r="F11" s="33">
        <f>Cheatsheet!E12</f>
        <v>10</v>
      </c>
      <c r="G11" s="70">
        <f>Cheatsheet!F12</f>
        <v>338.1</v>
      </c>
      <c r="H11" s="70">
        <f>Cheatsheet!G12</f>
        <v>-1.8181818181744802E-2</v>
      </c>
      <c r="I11" s="33" t="s">
        <v>0</v>
      </c>
      <c r="J11" s="194"/>
      <c r="K11" s="122">
        <f t="shared" si="24"/>
        <v>10</v>
      </c>
      <c r="L11" s="144" t="str">
        <f t="shared" si="0"/>
        <v>RB</v>
      </c>
      <c r="M11" s="33">
        <f t="shared" si="1"/>
        <v>4</v>
      </c>
      <c r="N11" s="33" t="str">
        <f t="shared" si="2"/>
        <v/>
      </c>
      <c r="O11" s="52" t="str">
        <f t="shared" si="3"/>
        <v>Adrian Peterson</v>
      </c>
      <c r="P11" s="52" t="str">
        <f t="shared" si="4"/>
        <v>MIN</v>
      </c>
      <c r="Q11" s="52">
        <f t="shared" si="5"/>
        <v>10</v>
      </c>
      <c r="R11" s="144">
        <f t="shared" si="6"/>
        <v>59.30606060606064</v>
      </c>
      <c r="S11" s="8">
        <f t="shared" si="7"/>
        <v>264.5</v>
      </c>
      <c r="T11" s="122">
        <f t="shared" si="25"/>
        <v>90</v>
      </c>
      <c r="U11" s="144" t="str">
        <f t="shared" si="8"/>
        <v>K</v>
      </c>
      <c r="V11" s="33">
        <f t="shared" si="9"/>
        <v>17</v>
      </c>
      <c r="W11" s="33" t="str">
        <f t="shared" si="10"/>
        <v/>
      </c>
      <c r="X11" s="52" t="str">
        <f t="shared" si="11"/>
        <v>Ryan Succop</v>
      </c>
      <c r="Y11" s="52" t="str">
        <f t="shared" si="12"/>
        <v>KC</v>
      </c>
      <c r="Z11" s="52">
        <f t="shared" si="13"/>
        <v>6</v>
      </c>
      <c r="AA11" s="144">
        <f t="shared" si="14"/>
        <v>-17.954545454545439</v>
      </c>
      <c r="AB11" s="8">
        <f t="shared" si="15"/>
        <v>119.6</v>
      </c>
      <c r="AC11" s="122">
        <f t="shared" si="26"/>
        <v>170</v>
      </c>
      <c r="AD11" s="144" t="str">
        <f t="shared" si="16"/>
        <v>QB</v>
      </c>
      <c r="AE11" s="33">
        <f t="shared" si="17"/>
        <v>21</v>
      </c>
      <c r="AF11" s="33" t="str">
        <f t="shared" si="18"/>
        <v/>
      </c>
      <c r="AG11" s="52" t="str">
        <f t="shared" si="19"/>
        <v>Joe Flacco</v>
      </c>
      <c r="AH11" s="52" t="str">
        <f t="shared" si="20"/>
        <v>BAL</v>
      </c>
      <c r="AI11" s="52">
        <f t="shared" si="21"/>
        <v>11</v>
      </c>
      <c r="AJ11" s="144">
        <f t="shared" si="22"/>
        <v>-61.618181818181768</v>
      </c>
      <c r="AK11" s="156">
        <f t="shared" si="23"/>
        <v>276.5</v>
      </c>
    </row>
    <row r="12" spans="1:37" ht="12.75" customHeight="1">
      <c r="A12" s="33">
        <f>IF(ISERROR(VLOOKUP(RANK(H12,$H$2:$H$331),$A$2:A11,1,0)),RANK(H12,$H$2:$H$331),IF(ISERROR(VLOOKUP((RANK(H12,$H$2:$H$331)+1),$A$2:A11,1,0)),(RANK(H12,$H$2:$H$331)+1),(RANK(H12,$H$2:$H$331)+2)))</f>
        <v>56</v>
      </c>
      <c r="B12" s="33">
        <f>Cheatsheet!A13</f>
        <v>11</v>
      </c>
      <c r="C12" s="33" t="str">
        <f>Cheatsheet!B13</f>
        <v/>
      </c>
      <c r="D12" s="33" t="str">
        <f>Cheatsheet!C13</f>
        <v>Tony Romo</v>
      </c>
      <c r="E12" s="33" t="str">
        <f>Cheatsheet!D13</f>
        <v>DAL</v>
      </c>
      <c r="F12" s="33">
        <f>Cheatsheet!E13</f>
        <v>11</v>
      </c>
      <c r="G12" s="70">
        <f>Cheatsheet!F13</f>
        <v>337.6</v>
      </c>
      <c r="H12" s="70">
        <f>Cheatsheet!G13</f>
        <v>-0.5181818181817448</v>
      </c>
      <c r="I12" s="33" t="s">
        <v>0</v>
      </c>
      <c r="J12" s="194"/>
      <c r="K12" s="122">
        <f t="shared" si="24"/>
        <v>11</v>
      </c>
      <c r="L12" s="144" t="str">
        <f t="shared" si="0"/>
        <v>WR</v>
      </c>
      <c r="M12" s="33">
        <f t="shared" si="1"/>
        <v>3</v>
      </c>
      <c r="N12" s="33" t="str">
        <f t="shared" si="2"/>
        <v/>
      </c>
      <c r="O12" s="52" t="str">
        <f t="shared" si="3"/>
        <v>Dez Bryant</v>
      </c>
      <c r="P12" s="52" t="str">
        <f t="shared" si="4"/>
        <v>DAL</v>
      </c>
      <c r="Q12" s="52">
        <f t="shared" si="5"/>
        <v>11</v>
      </c>
      <c r="R12" s="144">
        <f t="shared" si="6"/>
        <v>48.660606060606085</v>
      </c>
      <c r="S12" s="8">
        <f t="shared" si="7"/>
        <v>249.7</v>
      </c>
      <c r="T12" s="122">
        <f t="shared" si="25"/>
        <v>91</v>
      </c>
      <c r="U12" s="144" t="str">
        <f t="shared" si="8"/>
        <v>K</v>
      </c>
      <c r="V12" s="33">
        <f t="shared" si="9"/>
        <v>18</v>
      </c>
      <c r="W12" s="33" t="str">
        <f t="shared" si="10"/>
        <v/>
      </c>
      <c r="X12" s="52" t="str">
        <f t="shared" si="11"/>
        <v>Jay Feely</v>
      </c>
      <c r="Y12" s="52" t="str">
        <f t="shared" si="12"/>
        <v>ARI</v>
      </c>
      <c r="Z12" s="52">
        <f t="shared" si="13"/>
        <v>4</v>
      </c>
      <c r="AA12" s="144">
        <f t="shared" si="14"/>
        <v>-17.954545454545439</v>
      </c>
      <c r="AB12" s="8">
        <f t="shared" si="15"/>
        <v>119.6</v>
      </c>
      <c r="AC12" s="122">
        <f t="shared" si="26"/>
        <v>171</v>
      </c>
      <c r="AD12" s="144" t="str">
        <f t="shared" si="16"/>
        <v>WR</v>
      </c>
      <c r="AE12" s="33">
        <f t="shared" si="17"/>
        <v>41</v>
      </c>
      <c r="AF12" s="33" t="str">
        <f t="shared" si="18"/>
        <v/>
      </c>
      <c r="AG12" s="52" t="str">
        <f t="shared" si="19"/>
        <v>DeAndre Hopkins</v>
      </c>
      <c r="AH12" s="52" t="str">
        <f t="shared" si="20"/>
        <v>HOU</v>
      </c>
      <c r="AI12" s="52">
        <f t="shared" si="21"/>
        <v>10</v>
      </c>
      <c r="AJ12" s="144">
        <f t="shared" si="22"/>
        <v>-61.639393939393898</v>
      </c>
      <c r="AK12" s="156">
        <f t="shared" si="23"/>
        <v>139.4</v>
      </c>
    </row>
    <row r="13" spans="1:37" ht="12.75" customHeight="1">
      <c r="A13" s="33">
        <f>IF(ISERROR(VLOOKUP(RANK(H13,$H$2:$H$331),$A$2:A12,1,0)),RANK(H13,$H$2:$H$331),IF(ISERROR(VLOOKUP((RANK(H13,$H$2:$H$331)+1),$A$2:A12,1,0)),(RANK(H13,$H$2:$H$331)+1),(RANK(H13,$H$2:$H$331)+2)))</f>
        <v>57</v>
      </c>
      <c r="B13" s="33">
        <f>Cheatsheet!A14</f>
        <v>12</v>
      </c>
      <c r="C13" s="33" t="str">
        <f>Cheatsheet!B14</f>
        <v/>
      </c>
      <c r="D13" s="33" t="str">
        <f>Cheatsheet!C14</f>
        <v>Tom Brady</v>
      </c>
      <c r="E13" s="33" t="str">
        <f>Cheatsheet!D14</f>
        <v>NE</v>
      </c>
      <c r="F13" s="33">
        <f>Cheatsheet!E14</f>
        <v>10</v>
      </c>
      <c r="G13" s="70">
        <f>Cheatsheet!F14</f>
        <v>337.4</v>
      </c>
      <c r="H13" s="70">
        <f>Cheatsheet!G14</f>
        <v>-0.71818181818179028</v>
      </c>
      <c r="I13" s="33" t="s">
        <v>0</v>
      </c>
      <c r="J13" s="194"/>
      <c r="K13" s="122">
        <f t="shared" si="24"/>
        <v>12</v>
      </c>
      <c r="L13" s="144" t="str">
        <f t="shared" si="0"/>
        <v>WR</v>
      </c>
      <c r="M13" s="33">
        <f t="shared" si="1"/>
        <v>4</v>
      </c>
      <c r="N13" s="33" t="str">
        <f t="shared" si="2"/>
        <v/>
      </c>
      <c r="O13" s="52" t="str">
        <f t="shared" si="3"/>
        <v>Julio Jones</v>
      </c>
      <c r="P13" s="52" t="str">
        <f t="shared" si="4"/>
        <v>ATL</v>
      </c>
      <c r="Q13" s="52">
        <f t="shared" si="5"/>
        <v>9</v>
      </c>
      <c r="R13" s="144">
        <f t="shared" si="6"/>
        <v>46.660606060606085</v>
      </c>
      <c r="S13" s="8">
        <f t="shared" si="7"/>
        <v>247.7</v>
      </c>
      <c r="T13" s="122">
        <f t="shared" si="25"/>
        <v>92</v>
      </c>
      <c r="U13" s="144" t="str">
        <f t="shared" si="8"/>
        <v>RB</v>
      </c>
      <c r="V13" s="33">
        <f t="shared" si="9"/>
        <v>22</v>
      </c>
      <c r="W13" s="33" t="str">
        <f t="shared" si="10"/>
        <v/>
      </c>
      <c r="X13" s="52" t="str">
        <f t="shared" si="11"/>
        <v>Shane Vereen</v>
      </c>
      <c r="Y13" s="52" t="str">
        <f t="shared" si="12"/>
        <v>NE</v>
      </c>
      <c r="Z13" s="52">
        <f t="shared" si="13"/>
        <v>10</v>
      </c>
      <c r="AA13" s="144">
        <f t="shared" si="14"/>
        <v>-18.993939393939371</v>
      </c>
      <c r="AB13" s="8">
        <f t="shared" si="15"/>
        <v>186.2</v>
      </c>
      <c r="AC13" s="122">
        <f t="shared" si="26"/>
        <v>172</v>
      </c>
      <c r="AD13" s="144" t="str">
        <f t="shared" si="16"/>
        <v>TE</v>
      </c>
      <c r="AE13" s="33">
        <f t="shared" si="17"/>
        <v>19</v>
      </c>
      <c r="AF13" s="33" t="str">
        <f t="shared" si="18"/>
        <v/>
      </c>
      <c r="AG13" s="52" t="str">
        <f t="shared" si="19"/>
        <v>Dwayne Allen</v>
      </c>
      <c r="AH13" s="52" t="str">
        <f t="shared" si="20"/>
        <v>IND</v>
      </c>
      <c r="AI13" s="52">
        <f t="shared" si="21"/>
        <v>10</v>
      </c>
      <c r="AJ13" s="144">
        <f t="shared" si="22"/>
        <v>-61.863636363636374</v>
      </c>
      <c r="AK13" s="156">
        <f t="shared" si="23"/>
        <v>104</v>
      </c>
    </row>
    <row r="14" spans="1:37" ht="12.75" customHeight="1">
      <c r="A14" s="33">
        <f>IF(ISERROR(VLOOKUP(RANK(H14,$H$2:$H$331),$A$2:A13,1,0)),RANK(H14,$H$2:$H$331),IF(ISERROR(VLOOKUP((RANK(H14,$H$2:$H$331)+1),$A$2:A13,1,0)),(RANK(H14,$H$2:$H$331)+1),(RANK(H14,$H$2:$H$331)+2)))</f>
        <v>70</v>
      </c>
      <c r="B14" s="33">
        <f>Cheatsheet!A15</f>
        <v>13</v>
      </c>
      <c r="C14" s="33" t="str">
        <f>Cheatsheet!B15</f>
        <v/>
      </c>
      <c r="D14" s="33" t="str">
        <f>Cheatsheet!C15</f>
        <v>Russell Wilson</v>
      </c>
      <c r="E14" s="33" t="str">
        <f>Cheatsheet!D15</f>
        <v>SEA</v>
      </c>
      <c r="F14" s="33">
        <f>Cheatsheet!E15</f>
        <v>4</v>
      </c>
      <c r="G14" s="70">
        <f>Cheatsheet!F15</f>
        <v>330.7</v>
      </c>
      <c r="H14" s="70">
        <f>Cheatsheet!G15</f>
        <v>-7.4181818181817789</v>
      </c>
      <c r="I14" s="33" t="s">
        <v>0</v>
      </c>
      <c r="J14" s="194"/>
      <c r="K14" s="122">
        <f t="shared" si="24"/>
        <v>13</v>
      </c>
      <c r="L14" s="144" t="str">
        <f t="shared" si="0"/>
        <v>WR</v>
      </c>
      <c r="M14" s="33">
        <f t="shared" si="1"/>
        <v>5</v>
      </c>
      <c r="N14" s="33" t="str">
        <f t="shared" si="2"/>
        <v/>
      </c>
      <c r="O14" s="52" t="str">
        <f t="shared" si="3"/>
        <v>A.J. Green</v>
      </c>
      <c r="P14" s="52" t="str">
        <f t="shared" si="4"/>
        <v>CIN</v>
      </c>
      <c r="Q14" s="52">
        <f t="shared" si="5"/>
        <v>4</v>
      </c>
      <c r="R14" s="144">
        <f t="shared" si="6"/>
        <v>40.260606060606108</v>
      </c>
      <c r="S14" s="8">
        <f t="shared" si="7"/>
        <v>241.3</v>
      </c>
      <c r="T14" s="122">
        <f t="shared" si="25"/>
        <v>93</v>
      </c>
      <c r="U14" s="144" t="str">
        <f t="shared" si="8"/>
        <v>K</v>
      </c>
      <c r="V14" s="33">
        <f t="shared" si="9"/>
        <v>19</v>
      </c>
      <c r="W14" s="33" t="str">
        <f t="shared" si="10"/>
        <v/>
      </c>
      <c r="X14" s="52" t="str">
        <f t="shared" si="11"/>
        <v>Greg Zuerlein</v>
      </c>
      <c r="Y14" s="52" t="str">
        <f t="shared" si="12"/>
        <v>STL</v>
      </c>
      <c r="Z14" s="52">
        <f t="shared" si="13"/>
        <v>4</v>
      </c>
      <c r="AA14" s="144">
        <f t="shared" si="14"/>
        <v>-19.554545454545433</v>
      </c>
      <c r="AB14" s="8">
        <f t="shared" si="15"/>
        <v>118</v>
      </c>
      <c r="AC14" s="122">
        <f t="shared" si="26"/>
        <v>173</v>
      </c>
      <c r="AD14" s="144" t="str">
        <f t="shared" si="16"/>
        <v>QB</v>
      </c>
      <c r="AE14" s="33">
        <f t="shared" si="17"/>
        <v>22</v>
      </c>
      <c r="AF14" s="33" t="str">
        <f t="shared" si="18"/>
        <v/>
      </c>
      <c r="AG14" s="52" t="str">
        <f t="shared" si="19"/>
        <v>Eli Manning</v>
      </c>
      <c r="AH14" s="52" t="str">
        <f t="shared" si="20"/>
        <v>NYG</v>
      </c>
      <c r="AI14" s="52">
        <f t="shared" si="21"/>
        <v>8</v>
      </c>
      <c r="AJ14" s="144">
        <f t="shared" si="22"/>
        <v>-62.618181818181768</v>
      </c>
      <c r="AK14" s="156">
        <f t="shared" si="23"/>
        <v>275.5</v>
      </c>
    </row>
    <row r="15" spans="1:37" ht="12.75" customHeight="1">
      <c r="A15" s="33">
        <f>IF(ISERROR(VLOOKUP(RANK(H15,$H$2:$H$331),$A$2:A14,1,0)),RANK(H15,$H$2:$H$331),IF(ISERROR(VLOOKUP((RANK(H15,$H$2:$H$331)+1),$A$2:A14,1,0)),(RANK(H15,$H$2:$H$331)+1),(RANK(H15,$H$2:$H$331)+2)))</f>
        <v>77</v>
      </c>
      <c r="B15" s="33">
        <f>Cheatsheet!A16</f>
        <v>14</v>
      </c>
      <c r="C15" s="33" t="str">
        <f>Cheatsheet!B16</f>
        <v/>
      </c>
      <c r="D15" s="33" t="str">
        <f>Cheatsheet!C16</f>
        <v>Philip Rivers</v>
      </c>
      <c r="E15" s="33" t="str">
        <f>Cheatsheet!D16</f>
        <v>SD</v>
      </c>
      <c r="F15" s="33">
        <f>Cheatsheet!E16</f>
        <v>10</v>
      </c>
      <c r="G15" s="70">
        <f>Cheatsheet!F16</f>
        <v>326.39999999999998</v>
      </c>
      <c r="H15" s="70">
        <f>Cheatsheet!G16</f>
        <v>-11.71818181818179</v>
      </c>
      <c r="I15" s="33" t="s">
        <v>0</v>
      </c>
      <c r="J15" s="194"/>
      <c r="K15" s="122">
        <f t="shared" si="24"/>
        <v>14</v>
      </c>
      <c r="L15" s="144" t="str">
        <f t="shared" si="0"/>
        <v>WR</v>
      </c>
      <c r="M15" s="33">
        <f t="shared" si="1"/>
        <v>6</v>
      </c>
      <c r="N15" s="33" t="str">
        <f t="shared" si="2"/>
        <v/>
      </c>
      <c r="O15" s="52" t="str">
        <f t="shared" si="3"/>
        <v>Antonio Brown</v>
      </c>
      <c r="P15" s="52" t="str">
        <f t="shared" si="4"/>
        <v>PIT</v>
      </c>
      <c r="Q15" s="52">
        <f t="shared" si="5"/>
        <v>12</v>
      </c>
      <c r="R15" s="144">
        <f t="shared" si="6"/>
        <v>37.260606060606108</v>
      </c>
      <c r="S15" s="8">
        <f t="shared" si="7"/>
        <v>238.3</v>
      </c>
      <c r="T15" s="122">
        <f t="shared" si="25"/>
        <v>94</v>
      </c>
      <c r="U15" s="144" t="str">
        <f t="shared" si="8"/>
        <v>WR</v>
      </c>
      <c r="V15" s="33">
        <f t="shared" si="9"/>
        <v>21</v>
      </c>
      <c r="W15" s="33" t="str">
        <f t="shared" si="10"/>
        <v/>
      </c>
      <c r="X15" s="52" t="str">
        <f t="shared" si="11"/>
        <v>Julian Edelman</v>
      </c>
      <c r="Y15" s="52" t="str">
        <f t="shared" si="12"/>
        <v>NE</v>
      </c>
      <c r="Z15" s="52">
        <f t="shared" si="13"/>
        <v>10</v>
      </c>
      <c r="AA15" s="144">
        <f t="shared" si="14"/>
        <v>-19.639393939393898</v>
      </c>
      <c r="AB15" s="8">
        <f t="shared" si="15"/>
        <v>181.4</v>
      </c>
      <c r="AC15" s="122">
        <f t="shared" si="26"/>
        <v>174</v>
      </c>
      <c r="AD15" s="144" t="str">
        <f t="shared" si="16"/>
        <v>WR</v>
      </c>
      <c r="AE15" s="33">
        <f t="shared" si="17"/>
        <v>42</v>
      </c>
      <c r="AF15" s="33" t="str">
        <f t="shared" si="18"/>
        <v/>
      </c>
      <c r="AG15" s="52" t="str">
        <f t="shared" si="19"/>
        <v>Rueben Randle</v>
      </c>
      <c r="AH15" s="52" t="str">
        <f t="shared" si="20"/>
        <v>NYG</v>
      </c>
      <c r="AI15" s="52">
        <f t="shared" si="21"/>
        <v>8</v>
      </c>
      <c r="AJ15" s="144">
        <f t="shared" si="22"/>
        <v>-64.039393939393904</v>
      </c>
      <c r="AK15" s="156">
        <f t="shared" si="23"/>
        <v>137</v>
      </c>
    </row>
    <row r="16" spans="1:37" ht="12.75" customHeight="1">
      <c r="A16" s="33">
        <f>IF(ISERROR(VLOOKUP(RANK(H16,$H$2:$H$331),$A$2:A15,1,0)),RANK(H16,$H$2:$H$331),IF(ISERROR(VLOOKUP((RANK(H16,$H$2:$H$331)+1),$A$2:A15,1,0)),(RANK(H16,$H$2:$H$331)+1),(RANK(H16,$H$2:$H$331)+2)))</f>
        <v>79</v>
      </c>
      <c r="B16" s="33">
        <f>Cheatsheet!A17</f>
        <v>15</v>
      </c>
      <c r="C16" s="33" t="str">
        <f>Cheatsheet!B17</f>
        <v/>
      </c>
      <c r="D16" s="33" t="str">
        <f>Cheatsheet!C17</f>
        <v>Jay Cutler</v>
      </c>
      <c r="E16" s="33" t="str">
        <f>Cheatsheet!D17</f>
        <v>CHI</v>
      </c>
      <c r="F16" s="33">
        <f>Cheatsheet!E17</f>
        <v>9</v>
      </c>
      <c r="G16" s="70">
        <f>Cheatsheet!F17</f>
        <v>325</v>
      </c>
      <c r="H16" s="70">
        <f>Cheatsheet!G17</f>
        <v>-13.118181818181768</v>
      </c>
      <c r="I16" s="33" t="s">
        <v>0</v>
      </c>
      <c r="J16" s="194"/>
      <c r="K16" s="122">
        <f t="shared" si="24"/>
        <v>15</v>
      </c>
      <c r="L16" s="144" t="str">
        <f t="shared" si="0"/>
        <v>WR</v>
      </c>
      <c r="M16" s="33">
        <f t="shared" si="1"/>
        <v>7</v>
      </c>
      <c r="N16" s="33" t="str">
        <f t="shared" si="2"/>
        <v/>
      </c>
      <c r="O16" s="52" t="str">
        <f t="shared" si="3"/>
        <v>Brandon Marshall</v>
      </c>
      <c r="P16" s="52" t="str">
        <f t="shared" si="4"/>
        <v>CHI</v>
      </c>
      <c r="Q16" s="52">
        <f t="shared" si="5"/>
        <v>9</v>
      </c>
      <c r="R16" s="144">
        <f t="shared" si="6"/>
        <v>36.760606060606108</v>
      </c>
      <c r="S16" s="8">
        <f t="shared" si="7"/>
        <v>237.8</v>
      </c>
      <c r="T16" s="122">
        <f t="shared" si="25"/>
        <v>95</v>
      </c>
      <c r="U16" s="144" t="str">
        <f t="shared" si="8"/>
        <v>WR</v>
      </c>
      <c r="V16" s="33">
        <f t="shared" si="9"/>
        <v>22</v>
      </c>
      <c r="W16" s="33" t="str">
        <f t="shared" si="10"/>
        <v/>
      </c>
      <c r="X16" s="52" t="str">
        <f t="shared" si="11"/>
        <v>Percy Harvin</v>
      </c>
      <c r="Y16" s="52" t="str">
        <f t="shared" si="12"/>
        <v>SEA</v>
      </c>
      <c r="Z16" s="52">
        <f t="shared" si="13"/>
        <v>4</v>
      </c>
      <c r="AA16" s="144">
        <f t="shared" si="14"/>
        <v>-19.739393939393892</v>
      </c>
      <c r="AB16" s="8">
        <f t="shared" si="15"/>
        <v>181.3</v>
      </c>
      <c r="AC16" s="122">
        <f t="shared" si="26"/>
        <v>175</v>
      </c>
      <c r="AD16" s="144" t="str">
        <f t="shared" si="16"/>
        <v>WR</v>
      </c>
      <c r="AE16" s="33">
        <f t="shared" si="17"/>
        <v>43</v>
      </c>
      <c r="AF16" s="33" t="str">
        <f t="shared" si="18"/>
        <v/>
      </c>
      <c r="AG16" s="52" t="str">
        <f t="shared" si="19"/>
        <v>Danny Amendola</v>
      </c>
      <c r="AH16" s="52" t="str">
        <f t="shared" si="20"/>
        <v>NE</v>
      </c>
      <c r="AI16" s="52">
        <f t="shared" si="21"/>
        <v>10</v>
      </c>
      <c r="AJ16" s="144">
        <f t="shared" si="22"/>
        <v>-65.239393939393892</v>
      </c>
      <c r="AK16" s="156">
        <f t="shared" si="23"/>
        <v>135.80000000000001</v>
      </c>
    </row>
    <row r="17" spans="1:37" ht="12.75" customHeight="1">
      <c r="A17" s="33">
        <f>IF(ISERROR(VLOOKUP(RANK(H17,$H$2:$H$331),$A$2:A16,1,0)),RANK(H17,$H$2:$H$331),IF(ISERROR(VLOOKUP((RANK(H17,$H$2:$H$331)+1),$A$2:A16,1,0)),(RANK(H17,$H$2:$H$331)+1),(RANK(H17,$H$2:$H$331)+2)))</f>
        <v>102</v>
      </c>
      <c r="B17" s="33">
        <f>Cheatsheet!A18</f>
        <v>16</v>
      </c>
      <c r="C17" s="33" t="str">
        <f>Cheatsheet!B18</f>
        <v/>
      </c>
      <c r="D17" s="33" t="str">
        <f>Cheatsheet!C18</f>
        <v>Ben Roethlisberger</v>
      </c>
      <c r="E17" s="33" t="str">
        <f>Cheatsheet!D18</f>
        <v>PIT</v>
      </c>
      <c r="F17" s="33">
        <f>Cheatsheet!E18</f>
        <v>12</v>
      </c>
      <c r="G17" s="70">
        <f>Cheatsheet!F18</f>
        <v>315.60000000000002</v>
      </c>
      <c r="H17" s="70">
        <f>Cheatsheet!G18</f>
        <v>-22.518181818181745</v>
      </c>
      <c r="I17" s="33" t="s">
        <v>0</v>
      </c>
      <c r="J17" s="194"/>
      <c r="K17" s="122">
        <f t="shared" si="24"/>
        <v>16</v>
      </c>
      <c r="L17" s="144" t="str">
        <f t="shared" si="0"/>
        <v>TE</v>
      </c>
      <c r="M17" s="33">
        <f t="shared" si="1"/>
        <v>2</v>
      </c>
      <c r="N17" s="33" t="str">
        <f t="shared" si="2"/>
        <v/>
      </c>
      <c r="O17" s="52" t="str">
        <f t="shared" si="3"/>
        <v>Julius Thomas</v>
      </c>
      <c r="P17" s="52" t="str">
        <f t="shared" si="4"/>
        <v>DEN</v>
      </c>
      <c r="Q17" s="52">
        <f t="shared" si="5"/>
        <v>4</v>
      </c>
      <c r="R17" s="144">
        <f t="shared" si="6"/>
        <v>31.936363636363637</v>
      </c>
      <c r="S17" s="8">
        <f t="shared" si="7"/>
        <v>197.8</v>
      </c>
      <c r="T17" s="122">
        <f t="shared" si="25"/>
        <v>96</v>
      </c>
      <c r="U17" s="144" t="str">
        <f t="shared" si="8"/>
        <v>RB</v>
      </c>
      <c r="V17" s="33">
        <f t="shared" si="9"/>
        <v>23</v>
      </c>
      <c r="W17" s="33" t="str">
        <f t="shared" si="10"/>
        <v/>
      </c>
      <c r="X17" s="52" t="str">
        <f t="shared" si="11"/>
        <v>Chris Johnson</v>
      </c>
      <c r="Y17" s="52" t="str">
        <f t="shared" si="12"/>
        <v>NYJ</v>
      </c>
      <c r="Z17" s="52">
        <f t="shared" si="13"/>
        <v>11</v>
      </c>
      <c r="AA17" s="144">
        <f t="shared" si="14"/>
        <v>-19.893939393939348</v>
      </c>
      <c r="AB17" s="8">
        <f t="shared" si="15"/>
        <v>185.3</v>
      </c>
      <c r="AC17" s="122">
        <f t="shared" si="26"/>
        <v>176</v>
      </c>
      <c r="AD17" s="144" t="str">
        <f t="shared" si="16"/>
        <v>DST</v>
      </c>
      <c r="AE17" s="33">
        <f t="shared" si="17"/>
        <v>30</v>
      </c>
      <c r="AF17" s="33" t="str">
        <f t="shared" si="18"/>
        <v/>
      </c>
      <c r="AG17" s="52" t="str">
        <f t="shared" si="19"/>
        <v>Raiders</v>
      </c>
      <c r="AH17" s="52" t="str">
        <f t="shared" si="20"/>
        <v>OAK</v>
      </c>
      <c r="AI17" s="52">
        <f t="shared" si="21"/>
        <v>5</v>
      </c>
      <c r="AJ17" s="144">
        <f t="shared" si="22"/>
        <v>-66.145454545454527</v>
      </c>
      <c r="AK17" s="156">
        <f t="shared" si="23"/>
        <v>45.6</v>
      </c>
    </row>
    <row r="18" spans="1:37" ht="12.75" customHeight="1">
      <c r="A18" s="33">
        <f>IF(ISERROR(VLOOKUP(RANK(H18,$H$2:$H$331),$A$2:A17,1,0)),RANK(H18,$H$2:$H$331),IF(ISERROR(VLOOKUP((RANK(H18,$H$2:$H$331)+1),$A$2:A17,1,0)),(RANK(H18,$H$2:$H$331)+1),(RANK(H18,$H$2:$H$331)+2)))</f>
        <v>127</v>
      </c>
      <c r="B18" s="33">
        <f>Cheatsheet!A19</f>
        <v>17</v>
      </c>
      <c r="C18" s="33" t="str">
        <f>Cheatsheet!B19</f>
        <v/>
      </c>
      <c r="D18" s="33" t="str">
        <f>Cheatsheet!C19</f>
        <v>Andy Dalton</v>
      </c>
      <c r="E18" s="33" t="str">
        <f>Cheatsheet!D19</f>
        <v>CIN</v>
      </c>
      <c r="F18" s="33">
        <f>Cheatsheet!E19</f>
        <v>4</v>
      </c>
      <c r="G18" s="70">
        <f>Cheatsheet!F19</f>
        <v>305.5</v>
      </c>
      <c r="H18" s="70">
        <f>Cheatsheet!G19</f>
        <v>-32.618181818181768</v>
      </c>
      <c r="I18" s="33" t="s">
        <v>0</v>
      </c>
      <c r="J18" s="194"/>
      <c r="K18" s="122">
        <f t="shared" si="24"/>
        <v>17</v>
      </c>
      <c r="L18" s="144" t="str">
        <f t="shared" si="0"/>
        <v>RB</v>
      </c>
      <c r="M18" s="33">
        <f t="shared" si="1"/>
        <v>5</v>
      </c>
      <c r="N18" s="33" t="str">
        <f t="shared" si="2"/>
        <v/>
      </c>
      <c r="O18" s="52" t="str">
        <f t="shared" si="3"/>
        <v>Eddie Lacy</v>
      </c>
      <c r="P18" s="52" t="str">
        <f t="shared" si="4"/>
        <v>GB</v>
      </c>
      <c r="Q18" s="52">
        <f t="shared" si="5"/>
        <v>9</v>
      </c>
      <c r="R18" s="144">
        <f t="shared" si="6"/>
        <v>31.206060606060646</v>
      </c>
      <c r="S18" s="8">
        <f t="shared" si="7"/>
        <v>236.4</v>
      </c>
      <c r="T18" s="122">
        <f t="shared" si="25"/>
        <v>97</v>
      </c>
      <c r="U18" s="144" t="str">
        <f t="shared" si="8"/>
        <v>WR</v>
      </c>
      <c r="V18" s="33">
        <f t="shared" si="9"/>
        <v>23</v>
      </c>
      <c r="W18" s="33" t="str">
        <f t="shared" si="10"/>
        <v/>
      </c>
      <c r="X18" s="52" t="str">
        <f t="shared" si="11"/>
        <v>Cordarrelle Patterson</v>
      </c>
      <c r="Y18" s="52" t="str">
        <f t="shared" si="12"/>
        <v>MIN</v>
      </c>
      <c r="Z18" s="52">
        <f t="shared" si="13"/>
        <v>10</v>
      </c>
      <c r="AA18" s="144">
        <f t="shared" si="14"/>
        <v>-20.139393939393898</v>
      </c>
      <c r="AB18" s="8">
        <f t="shared" si="15"/>
        <v>180.9</v>
      </c>
      <c r="AC18" s="122">
        <f t="shared" si="26"/>
        <v>177</v>
      </c>
      <c r="AD18" s="144" t="str">
        <f t="shared" si="16"/>
        <v>RB</v>
      </c>
      <c r="AE18" s="33">
        <f t="shared" si="17"/>
        <v>35</v>
      </c>
      <c r="AF18" s="33" t="str">
        <f t="shared" si="18"/>
        <v/>
      </c>
      <c r="AG18" s="52" t="str">
        <f t="shared" si="19"/>
        <v>DeAngelo Williams</v>
      </c>
      <c r="AH18" s="52" t="str">
        <f t="shared" si="20"/>
        <v>CAR</v>
      </c>
      <c r="AI18" s="52">
        <f t="shared" si="21"/>
        <v>12</v>
      </c>
      <c r="AJ18" s="144">
        <f t="shared" si="22"/>
        <v>-66.19393939393936</v>
      </c>
      <c r="AK18" s="156">
        <f t="shared" si="23"/>
        <v>139</v>
      </c>
    </row>
    <row r="19" spans="1:37" ht="12.75" customHeight="1">
      <c r="A19" s="33">
        <f>IF(ISERROR(VLOOKUP(RANK(H19,$H$2:$H$331),$A$2:A18,1,0)),RANK(H19,$H$2:$H$331),IF(ISERROR(VLOOKUP((RANK(H19,$H$2:$H$331)+1),$A$2:A18,1,0)),(RANK(H19,$H$2:$H$331)+1),(RANK(H19,$H$2:$H$331)+2)))</f>
        <v>149</v>
      </c>
      <c r="B19" s="33">
        <f>Cheatsheet!A20</f>
        <v>18</v>
      </c>
      <c r="C19" s="33" t="str">
        <f>Cheatsheet!B20</f>
        <v/>
      </c>
      <c r="D19" s="33" t="str">
        <f>Cheatsheet!C20</f>
        <v>Alex Smith</v>
      </c>
      <c r="E19" s="33" t="str">
        <f>Cheatsheet!D20</f>
        <v>KC</v>
      </c>
      <c r="F19" s="33">
        <f>Cheatsheet!E20</f>
        <v>6</v>
      </c>
      <c r="G19" s="70">
        <f>Cheatsheet!F20</f>
        <v>293.5</v>
      </c>
      <c r="H19" s="70">
        <f>Cheatsheet!G20</f>
        <v>-44.618181818181768</v>
      </c>
      <c r="I19" s="33" t="s">
        <v>0</v>
      </c>
      <c r="J19" s="194"/>
      <c r="K19" s="122">
        <f t="shared" si="24"/>
        <v>18</v>
      </c>
      <c r="L19" s="144" t="str">
        <f t="shared" si="0"/>
        <v>RB</v>
      </c>
      <c r="M19" s="33">
        <f t="shared" si="1"/>
        <v>6</v>
      </c>
      <c r="N19" s="33" t="str">
        <f t="shared" si="2"/>
        <v/>
      </c>
      <c r="O19" s="52" t="str">
        <f t="shared" si="3"/>
        <v>DeMarco Murray</v>
      </c>
      <c r="P19" s="52" t="str">
        <f t="shared" si="4"/>
        <v>DAL</v>
      </c>
      <c r="Q19" s="52">
        <f t="shared" si="5"/>
        <v>11</v>
      </c>
      <c r="R19" s="144">
        <f t="shared" si="6"/>
        <v>31.206060606060646</v>
      </c>
      <c r="S19" s="8">
        <f t="shared" si="7"/>
        <v>236.4</v>
      </c>
      <c r="T19" s="122">
        <f t="shared" si="25"/>
        <v>98</v>
      </c>
      <c r="U19" s="144" t="str">
        <f t="shared" si="8"/>
        <v>RB</v>
      </c>
      <c r="V19" s="33">
        <f t="shared" si="9"/>
        <v>24</v>
      </c>
      <c r="W19" s="33" t="str">
        <f t="shared" si="10"/>
        <v/>
      </c>
      <c r="X19" s="52" t="str">
        <f t="shared" si="11"/>
        <v>Bishop Sankey</v>
      </c>
      <c r="Y19" s="52" t="str">
        <f t="shared" si="12"/>
        <v>TEN</v>
      </c>
      <c r="Z19" s="52">
        <f t="shared" si="13"/>
        <v>9</v>
      </c>
      <c r="AA19" s="144">
        <f t="shared" si="14"/>
        <v>-20.593939393939365</v>
      </c>
      <c r="AB19" s="8">
        <f t="shared" si="15"/>
        <v>184.6</v>
      </c>
      <c r="AC19" s="122">
        <f t="shared" si="26"/>
        <v>178</v>
      </c>
      <c r="AD19" s="144" t="str">
        <f t="shared" si="16"/>
        <v>WR</v>
      </c>
      <c r="AE19" s="33">
        <f t="shared" si="17"/>
        <v>44</v>
      </c>
      <c r="AF19" s="33" t="str">
        <f t="shared" si="18"/>
        <v/>
      </c>
      <c r="AG19" s="52" t="str">
        <f t="shared" si="19"/>
        <v>Kelvin Benjamin</v>
      </c>
      <c r="AH19" s="52" t="str">
        <f t="shared" si="20"/>
        <v>CAR</v>
      </c>
      <c r="AI19" s="52">
        <f t="shared" si="21"/>
        <v>12</v>
      </c>
      <c r="AJ19" s="144">
        <f t="shared" si="22"/>
        <v>-66.539393939393904</v>
      </c>
      <c r="AK19" s="156">
        <f t="shared" si="23"/>
        <v>134.5</v>
      </c>
    </row>
    <row r="20" spans="1:37" ht="12.75" customHeight="1">
      <c r="A20" s="33">
        <f>IF(ISERROR(VLOOKUP(RANK(H20,$H$2:$H$331),$A$2:A19,1,0)),RANK(H20,$H$2:$H$331),IF(ISERROR(VLOOKUP((RANK(H20,$H$2:$H$331)+1),$A$2:A19,1,0)),(RANK(H20,$H$2:$H$331)+1),(RANK(H20,$H$2:$H$331)+2)))</f>
        <v>153</v>
      </c>
      <c r="B20" s="33">
        <f>Cheatsheet!A21</f>
        <v>19</v>
      </c>
      <c r="C20" s="33" t="str">
        <f>Cheatsheet!B21</f>
        <v/>
      </c>
      <c r="D20" s="33" t="str">
        <f>Cheatsheet!C21</f>
        <v>Ryan Tannehill</v>
      </c>
      <c r="E20" s="33" t="str">
        <f>Cheatsheet!D21</f>
        <v>MIA</v>
      </c>
      <c r="F20" s="33">
        <f>Cheatsheet!E21</f>
        <v>5</v>
      </c>
      <c r="G20" s="70">
        <f>Cheatsheet!F21</f>
        <v>290.5</v>
      </c>
      <c r="H20" s="70">
        <f>Cheatsheet!G21</f>
        <v>-47.618181818181768</v>
      </c>
      <c r="I20" s="33" t="s">
        <v>0</v>
      </c>
      <c r="J20" s="194"/>
      <c r="K20" s="122">
        <f t="shared" si="24"/>
        <v>19</v>
      </c>
      <c r="L20" s="144" t="str">
        <f t="shared" si="0"/>
        <v>DST</v>
      </c>
      <c r="M20" s="33">
        <f t="shared" si="1"/>
        <v>1</v>
      </c>
      <c r="N20" s="33" t="str">
        <f t="shared" si="2"/>
        <v/>
      </c>
      <c r="O20" s="52" t="str">
        <f t="shared" si="3"/>
        <v>Seahawks</v>
      </c>
      <c r="P20" s="52" t="str">
        <f t="shared" si="4"/>
        <v>SEA</v>
      </c>
      <c r="Q20" s="52">
        <f t="shared" si="5"/>
        <v>4</v>
      </c>
      <c r="R20" s="144">
        <f t="shared" si="6"/>
        <v>29.254545454545465</v>
      </c>
      <c r="S20" s="8">
        <f t="shared" si="7"/>
        <v>141</v>
      </c>
      <c r="T20" s="122">
        <f t="shared" si="25"/>
        <v>99</v>
      </c>
      <c r="U20" s="144" t="str">
        <f t="shared" si="8"/>
        <v>DST</v>
      </c>
      <c r="V20" s="33">
        <f t="shared" si="9"/>
        <v>10</v>
      </c>
      <c r="W20" s="33" t="str">
        <f t="shared" si="10"/>
        <v/>
      </c>
      <c r="X20" s="52" t="str">
        <f t="shared" si="11"/>
        <v>Bills</v>
      </c>
      <c r="Y20" s="52" t="str">
        <f t="shared" si="12"/>
        <v>BUF</v>
      </c>
      <c r="Z20" s="52">
        <f t="shared" si="13"/>
        <v>9</v>
      </c>
      <c r="AA20" s="144">
        <f t="shared" si="14"/>
        <v>-21.745454545454535</v>
      </c>
      <c r="AB20" s="8">
        <f t="shared" si="15"/>
        <v>90</v>
      </c>
      <c r="AC20" s="122">
        <f t="shared" si="26"/>
        <v>179</v>
      </c>
      <c r="AD20" s="144" t="str">
        <f t="shared" si="16"/>
        <v>WR</v>
      </c>
      <c r="AE20" s="33">
        <f t="shared" si="17"/>
        <v>45</v>
      </c>
      <c r="AF20" s="33" t="str">
        <f t="shared" si="18"/>
        <v/>
      </c>
      <c r="AG20" s="52" t="str">
        <f t="shared" si="19"/>
        <v>Riley Cooper</v>
      </c>
      <c r="AH20" s="52" t="str">
        <f t="shared" si="20"/>
        <v>PHI</v>
      </c>
      <c r="AI20" s="52">
        <f t="shared" si="21"/>
        <v>7</v>
      </c>
      <c r="AJ20" s="144">
        <f t="shared" si="22"/>
        <v>-67.439393939393909</v>
      </c>
      <c r="AK20" s="156">
        <f t="shared" si="23"/>
        <v>133.6</v>
      </c>
    </row>
    <row r="21" spans="1:37" ht="12.75" customHeight="1">
      <c r="A21" s="33">
        <f>IF(ISERROR(VLOOKUP(RANK(H21,$H$2:$H$331),$A$2:A20,1,0)),RANK(H21,$H$2:$H$331),IF(ISERROR(VLOOKUP((RANK(H21,$H$2:$H$331)+1),$A$2:A20,1,0)),(RANK(H21,$H$2:$H$331)+1),(RANK(H21,$H$2:$H$331)+2)))</f>
        <v>155</v>
      </c>
      <c r="B21" s="33">
        <f>Cheatsheet!A22</f>
        <v>20</v>
      </c>
      <c r="C21" s="33" t="str">
        <f>Cheatsheet!B22</f>
        <v/>
      </c>
      <c r="D21" s="33" t="str">
        <f>Cheatsheet!C22</f>
        <v>Carson Palmer</v>
      </c>
      <c r="E21" s="33" t="str">
        <f>Cheatsheet!D22</f>
        <v>ARI</v>
      </c>
      <c r="F21" s="33">
        <f>Cheatsheet!E22</f>
        <v>4</v>
      </c>
      <c r="G21" s="70">
        <f>Cheatsheet!F22</f>
        <v>289.7</v>
      </c>
      <c r="H21" s="70">
        <f>Cheatsheet!G22</f>
        <v>-48.418181818181779</v>
      </c>
      <c r="I21" s="33" t="s">
        <v>0</v>
      </c>
      <c r="J21" s="194"/>
      <c r="K21" s="122">
        <f t="shared" si="24"/>
        <v>20</v>
      </c>
      <c r="L21" s="144" t="str">
        <f t="shared" si="0"/>
        <v>RB</v>
      </c>
      <c r="M21" s="33">
        <f t="shared" si="1"/>
        <v>7</v>
      </c>
      <c r="N21" s="33" t="str">
        <f t="shared" si="2"/>
        <v/>
      </c>
      <c r="O21" s="52" t="str">
        <f t="shared" si="3"/>
        <v>Montee Ball</v>
      </c>
      <c r="P21" s="52" t="str">
        <f t="shared" si="4"/>
        <v>DEN</v>
      </c>
      <c r="Q21" s="52">
        <f t="shared" si="5"/>
        <v>4</v>
      </c>
      <c r="R21" s="144">
        <f t="shared" si="6"/>
        <v>23.906060606060635</v>
      </c>
      <c r="S21" s="8">
        <f t="shared" si="7"/>
        <v>229.1</v>
      </c>
      <c r="T21" s="122">
        <f t="shared" si="25"/>
        <v>100</v>
      </c>
      <c r="U21" s="144" t="str">
        <f t="shared" si="8"/>
        <v>DST</v>
      </c>
      <c r="V21" s="33">
        <f t="shared" si="9"/>
        <v>11</v>
      </c>
      <c r="W21" s="33" t="str">
        <f t="shared" si="10"/>
        <v/>
      </c>
      <c r="X21" s="52" t="str">
        <f t="shared" si="11"/>
        <v>Saints</v>
      </c>
      <c r="Y21" s="52" t="str">
        <f t="shared" si="12"/>
        <v>NO</v>
      </c>
      <c r="Z21" s="52">
        <f t="shared" si="13"/>
        <v>6</v>
      </c>
      <c r="AA21" s="144">
        <f t="shared" si="14"/>
        <v>-21.945454545454538</v>
      </c>
      <c r="AB21" s="8">
        <f t="shared" si="15"/>
        <v>89.8</v>
      </c>
      <c r="AC21" s="122">
        <f t="shared" si="26"/>
        <v>180</v>
      </c>
      <c r="AD21" s="144" t="str">
        <f t="shared" si="16"/>
        <v>TE</v>
      </c>
      <c r="AE21" s="33">
        <f t="shared" si="17"/>
        <v>20</v>
      </c>
      <c r="AF21" s="33" t="str">
        <f t="shared" si="18"/>
        <v/>
      </c>
      <c r="AG21" s="52" t="str">
        <f t="shared" si="19"/>
        <v>Eric Ebron</v>
      </c>
      <c r="AH21" s="52" t="str">
        <f t="shared" si="20"/>
        <v>DET</v>
      </c>
      <c r="AI21" s="52">
        <f t="shared" si="21"/>
        <v>9</v>
      </c>
      <c r="AJ21" s="144">
        <f t="shared" si="22"/>
        <v>-68.163636363636371</v>
      </c>
      <c r="AK21" s="156">
        <f t="shared" si="23"/>
        <v>97.7</v>
      </c>
    </row>
    <row r="22" spans="1:37" ht="12.75" customHeight="1">
      <c r="A22" s="33">
        <f>IF(ISERROR(VLOOKUP(RANK(H22,$H$2:$H$331),$A$2:A21,1,0)),RANK(H22,$H$2:$H$331),IF(ISERROR(VLOOKUP((RANK(H22,$H$2:$H$331)+1),$A$2:A21,1,0)),(RANK(H22,$H$2:$H$331)+1),(RANK(H22,$H$2:$H$331)+2)))</f>
        <v>170</v>
      </c>
      <c r="B22" s="33">
        <f>Cheatsheet!A23</f>
        <v>21</v>
      </c>
      <c r="C22" s="33" t="str">
        <f>Cheatsheet!B23</f>
        <v/>
      </c>
      <c r="D22" s="33" t="str">
        <f>Cheatsheet!C23</f>
        <v>Joe Flacco</v>
      </c>
      <c r="E22" s="33" t="str">
        <f>Cheatsheet!D23</f>
        <v>BAL</v>
      </c>
      <c r="F22" s="33">
        <f>Cheatsheet!E23</f>
        <v>11</v>
      </c>
      <c r="G22" s="70">
        <f>Cheatsheet!F23</f>
        <v>276.5</v>
      </c>
      <c r="H22" s="70">
        <f>Cheatsheet!G23</f>
        <v>-61.618181818181768</v>
      </c>
      <c r="I22" s="33" t="s">
        <v>0</v>
      </c>
      <c r="J22" s="194"/>
      <c r="K22" s="122">
        <f t="shared" si="24"/>
        <v>21</v>
      </c>
      <c r="L22" s="144" t="str">
        <f t="shared" si="0"/>
        <v>QB</v>
      </c>
      <c r="M22" s="33">
        <f t="shared" si="1"/>
        <v>4</v>
      </c>
      <c r="N22" s="33" t="str">
        <f t="shared" si="2"/>
        <v/>
      </c>
      <c r="O22" s="52" t="str">
        <f t="shared" si="3"/>
        <v>Matthew Stafford</v>
      </c>
      <c r="P22" s="52" t="str">
        <f t="shared" si="4"/>
        <v>DET</v>
      </c>
      <c r="Q22" s="52">
        <f t="shared" si="5"/>
        <v>9</v>
      </c>
      <c r="R22" s="144">
        <f t="shared" si="6"/>
        <v>23.581818181818221</v>
      </c>
      <c r="S22" s="8">
        <f t="shared" si="7"/>
        <v>361.7</v>
      </c>
      <c r="T22" s="122">
        <f t="shared" si="25"/>
        <v>101</v>
      </c>
      <c r="U22" s="144" t="str">
        <f t="shared" si="8"/>
        <v>K</v>
      </c>
      <c r="V22" s="33">
        <f t="shared" si="9"/>
        <v>20</v>
      </c>
      <c r="W22" s="33" t="str">
        <f t="shared" si="10"/>
        <v/>
      </c>
      <c r="X22" s="52" t="str">
        <f t="shared" si="11"/>
        <v>Graham Gano</v>
      </c>
      <c r="Y22" s="52" t="str">
        <f t="shared" si="12"/>
        <v>CAR</v>
      </c>
      <c r="Z22" s="52">
        <f t="shared" si="13"/>
        <v>12</v>
      </c>
      <c r="AA22" s="144">
        <f t="shared" si="14"/>
        <v>-21.954545454545439</v>
      </c>
      <c r="AB22" s="8">
        <f t="shared" si="15"/>
        <v>115.6</v>
      </c>
      <c r="AC22" s="122">
        <f t="shared" si="26"/>
        <v>181</v>
      </c>
      <c r="AD22" s="144" t="str">
        <f t="shared" si="16"/>
        <v>RB</v>
      </c>
      <c r="AE22" s="33">
        <f t="shared" si="17"/>
        <v>36</v>
      </c>
      <c r="AF22" s="33" t="str">
        <f t="shared" si="18"/>
        <v/>
      </c>
      <c r="AG22" s="52" t="str">
        <f t="shared" si="19"/>
        <v>Darren Sproles</v>
      </c>
      <c r="AH22" s="52" t="str">
        <f t="shared" si="20"/>
        <v>PHI</v>
      </c>
      <c r="AI22" s="52">
        <f t="shared" si="21"/>
        <v>7</v>
      </c>
      <c r="AJ22" s="144">
        <f t="shared" si="22"/>
        <v>-69.493939393939371</v>
      </c>
      <c r="AK22" s="156">
        <f t="shared" si="23"/>
        <v>135.69999999999999</v>
      </c>
    </row>
    <row r="23" spans="1:37" ht="12.75" customHeight="1">
      <c r="A23" s="33">
        <f>IF(ISERROR(VLOOKUP(RANK(H23,$H$2:$H$331),$A$2:A22,1,0)),RANK(H23,$H$2:$H$331),IF(ISERROR(VLOOKUP((RANK(H23,$H$2:$H$331)+1),$A$2:A22,1,0)),(RANK(H23,$H$2:$H$331)+1),(RANK(H23,$H$2:$H$331)+2)))</f>
        <v>173</v>
      </c>
      <c r="B23" s="33">
        <f>Cheatsheet!A24</f>
        <v>22</v>
      </c>
      <c r="C23" s="33" t="str">
        <f>Cheatsheet!B24</f>
        <v/>
      </c>
      <c r="D23" s="33" t="str">
        <f>Cheatsheet!C24</f>
        <v>Eli Manning</v>
      </c>
      <c r="E23" s="33" t="str">
        <f>Cheatsheet!D24</f>
        <v>NYG</v>
      </c>
      <c r="F23" s="33">
        <f>Cheatsheet!E24</f>
        <v>8</v>
      </c>
      <c r="G23" s="70">
        <f>Cheatsheet!F24</f>
        <v>275.5</v>
      </c>
      <c r="H23" s="70">
        <f>Cheatsheet!G24</f>
        <v>-62.618181818181768</v>
      </c>
      <c r="I23" s="33" t="s">
        <v>0</v>
      </c>
      <c r="J23" s="194"/>
      <c r="K23" s="122">
        <f t="shared" si="24"/>
        <v>22</v>
      </c>
      <c r="L23" s="144" t="str">
        <f t="shared" si="0"/>
        <v>RB</v>
      </c>
      <c r="M23" s="33">
        <f t="shared" si="1"/>
        <v>8</v>
      </c>
      <c r="N23" s="33" t="str">
        <f t="shared" si="2"/>
        <v/>
      </c>
      <c r="O23" s="52" t="str">
        <f t="shared" si="3"/>
        <v>Giovani Bernard</v>
      </c>
      <c r="P23" s="52" t="str">
        <f t="shared" si="4"/>
        <v>CIN</v>
      </c>
      <c r="Q23" s="52">
        <f t="shared" si="5"/>
        <v>4</v>
      </c>
      <c r="R23" s="144">
        <f t="shared" si="6"/>
        <v>23.30606060606064</v>
      </c>
      <c r="S23" s="8">
        <f t="shared" si="7"/>
        <v>228.5</v>
      </c>
      <c r="T23" s="122">
        <f t="shared" si="25"/>
        <v>102</v>
      </c>
      <c r="U23" s="144" t="str">
        <f t="shared" si="8"/>
        <v>QB</v>
      </c>
      <c r="V23" s="33">
        <f t="shared" si="9"/>
        <v>16</v>
      </c>
      <c r="W23" s="33" t="str">
        <f t="shared" si="10"/>
        <v/>
      </c>
      <c r="X23" s="52" t="str">
        <f t="shared" si="11"/>
        <v>Ben Roethlisberger</v>
      </c>
      <c r="Y23" s="52" t="str">
        <f t="shared" si="12"/>
        <v>PIT</v>
      </c>
      <c r="Z23" s="52">
        <f t="shared" si="13"/>
        <v>12</v>
      </c>
      <c r="AA23" s="144">
        <f t="shared" si="14"/>
        <v>-22.518181818181745</v>
      </c>
      <c r="AB23" s="8">
        <f t="shared" si="15"/>
        <v>315.60000000000002</v>
      </c>
      <c r="AC23" s="122">
        <f t="shared" si="26"/>
        <v>182</v>
      </c>
      <c r="AD23" s="144" t="str">
        <f t="shared" si="16"/>
        <v>RB</v>
      </c>
      <c r="AE23" s="33">
        <f t="shared" si="17"/>
        <v>37</v>
      </c>
      <c r="AF23" s="33" t="str">
        <f t="shared" si="18"/>
        <v/>
      </c>
      <c r="AG23" s="52" t="str">
        <f t="shared" si="19"/>
        <v>Knowshon Moreno</v>
      </c>
      <c r="AH23" s="52" t="str">
        <f t="shared" si="20"/>
        <v>MIA</v>
      </c>
      <c r="AI23" s="52">
        <f t="shared" si="21"/>
        <v>5</v>
      </c>
      <c r="AJ23" s="144">
        <f t="shared" si="22"/>
        <v>-70.19393939393936</v>
      </c>
      <c r="AK23" s="156">
        <f t="shared" si="23"/>
        <v>135</v>
      </c>
    </row>
    <row r="24" spans="1:37" ht="12.75" customHeight="1">
      <c r="A24" s="33">
        <f>IF(ISERROR(VLOOKUP(RANK(H24,$H$2:$H$331),$A$2:A23,1,0)),RANK(H24,$H$2:$H$331),IF(ISERROR(VLOOKUP((RANK(H24,$H$2:$H$331)+1),$A$2:A23,1,0)),(RANK(H24,$H$2:$H$331)+1),(RANK(H24,$H$2:$H$331)+2)))</f>
        <v>188</v>
      </c>
      <c r="B24" s="33">
        <f>Cheatsheet!A25</f>
        <v>23</v>
      </c>
      <c r="C24" s="33" t="str">
        <f>Cheatsheet!B25</f>
        <v/>
      </c>
      <c r="D24" s="33" t="str">
        <f>Cheatsheet!C25</f>
        <v>Sam Bradford</v>
      </c>
      <c r="E24" s="33" t="str">
        <f>Cheatsheet!D25</f>
        <v>STL</v>
      </c>
      <c r="F24" s="33">
        <f>Cheatsheet!E25</f>
        <v>4</v>
      </c>
      <c r="G24" s="70">
        <f>Cheatsheet!F25</f>
        <v>263.5</v>
      </c>
      <c r="H24" s="70">
        <f>Cheatsheet!G25</f>
        <v>-74.618181818181768</v>
      </c>
      <c r="I24" s="33" t="s">
        <v>0</v>
      </c>
      <c r="J24" s="194"/>
      <c r="K24" s="122">
        <f t="shared" si="24"/>
        <v>23</v>
      </c>
      <c r="L24" s="144" t="str">
        <f t="shared" si="0"/>
        <v>WR</v>
      </c>
      <c r="M24" s="33">
        <f t="shared" si="1"/>
        <v>8</v>
      </c>
      <c r="N24" s="33" t="str">
        <f t="shared" si="2"/>
        <v/>
      </c>
      <c r="O24" s="52" t="str">
        <f t="shared" si="3"/>
        <v>Jordy Nelson</v>
      </c>
      <c r="P24" s="52" t="str">
        <f t="shared" si="4"/>
        <v>GB</v>
      </c>
      <c r="Q24" s="52">
        <f t="shared" si="5"/>
        <v>9</v>
      </c>
      <c r="R24" s="144">
        <f t="shared" si="6"/>
        <v>22.560606060606091</v>
      </c>
      <c r="S24" s="8">
        <f t="shared" si="7"/>
        <v>223.6</v>
      </c>
      <c r="T24" s="122">
        <f t="shared" si="25"/>
        <v>103</v>
      </c>
      <c r="U24" s="144" t="str">
        <f t="shared" si="8"/>
        <v>RB</v>
      </c>
      <c r="V24" s="33">
        <f t="shared" si="9"/>
        <v>25</v>
      </c>
      <c r="W24" s="33" t="str">
        <f t="shared" si="10"/>
        <v/>
      </c>
      <c r="X24" s="52" t="str">
        <f t="shared" si="11"/>
        <v>C.J. Spiller</v>
      </c>
      <c r="Y24" s="52" t="str">
        <f t="shared" si="12"/>
        <v>BUF</v>
      </c>
      <c r="Z24" s="52">
        <f t="shared" si="13"/>
        <v>9</v>
      </c>
      <c r="AA24" s="144">
        <f t="shared" si="14"/>
        <v>-23.293939393939354</v>
      </c>
      <c r="AB24" s="8">
        <f t="shared" si="15"/>
        <v>181.9</v>
      </c>
      <c r="AC24" s="122">
        <f t="shared" si="26"/>
        <v>183</v>
      </c>
      <c r="AD24" s="144" t="str">
        <f t="shared" si="16"/>
        <v>TE</v>
      </c>
      <c r="AE24" s="33">
        <f t="shared" si="17"/>
        <v>21</v>
      </c>
      <c r="AF24" s="33" t="str">
        <f t="shared" si="18"/>
        <v/>
      </c>
      <c r="AG24" s="52" t="str">
        <f t="shared" si="19"/>
        <v>Tyler Eifert</v>
      </c>
      <c r="AH24" s="52" t="str">
        <f t="shared" si="20"/>
        <v>CIN</v>
      </c>
      <c r="AI24" s="52">
        <f t="shared" si="21"/>
        <v>4</v>
      </c>
      <c r="AJ24" s="144">
        <f t="shared" si="22"/>
        <v>-70.26363636363638</v>
      </c>
      <c r="AK24" s="156">
        <f t="shared" si="23"/>
        <v>95.6</v>
      </c>
    </row>
    <row r="25" spans="1:37" ht="12.75" customHeight="1">
      <c r="A25" s="33">
        <f>IF(ISERROR(VLOOKUP(RANK(H25,$H$2:$H$331),$A$2:A24,1,0)),RANK(H25,$H$2:$H$331),IF(ISERROR(VLOOKUP((RANK(H25,$H$2:$H$331)+1),$A$2:A24,1,0)),(RANK(H25,$H$2:$H$331)+1),(RANK(H25,$H$2:$H$331)+2)))</f>
        <v>198</v>
      </c>
      <c r="B25" s="33">
        <f>Cheatsheet!A26</f>
        <v>24</v>
      </c>
      <c r="C25" s="33" t="str">
        <f>Cheatsheet!B26</f>
        <v/>
      </c>
      <c r="D25" s="33" t="str">
        <f>Cheatsheet!C26</f>
        <v>Josh McCown</v>
      </c>
      <c r="E25" s="33" t="str">
        <f>Cheatsheet!D26</f>
        <v>TB</v>
      </c>
      <c r="F25" s="33">
        <f>Cheatsheet!E26</f>
        <v>7</v>
      </c>
      <c r="G25" s="70">
        <f>Cheatsheet!F26</f>
        <v>248.5</v>
      </c>
      <c r="H25" s="70">
        <f>Cheatsheet!G26</f>
        <v>-89.618181818181768</v>
      </c>
      <c r="I25" s="33" t="s">
        <v>0</v>
      </c>
      <c r="J25" s="194"/>
      <c r="K25" s="122">
        <f t="shared" si="24"/>
        <v>24</v>
      </c>
      <c r="L25" s="144" t="str">
        <f t="shared" si="0"/>
        <v>RB</v>
      </c>
      <c r="M25" s="33">
        <f t="shared" si="1"/>
        <v>9</v>
      </c>
      <c r="N25" s="33" t="str">
        <f t="shared" si="2"/>
        <v/>
      </c>
      <c r="O25" s="52" t="str">
        <f t="shared" si="3"/>
        <v>Marshawn Lynch</v>
      </c>
      <c r="P25" s="52" t="str">
        <f t="shared" si="4"/>
        <v>SEA</v>
      </c>
      <c r="Q25" s="52">
        <f t="shared" si="5"/>
        <v>4</v>
      </c>
      <c r="R25" s="144">
        <f t="shared" si="6"/>
        <v>21.006060606060629</v>
      </c>
      <c r="S25" s="8">
        <f t="shared" si="7"/>
        <v>226.2</v>
      </c>
      <c r="T25" s="122">
        <f t="shared" si="25"/>
        <v>104</v>
      </c>
      <c r="U25" s="144" t="str">
        <f t="shared" si="8"/>
        <v>DST</v>
      </c>
      <c r="V25" s="33">
        <f t="shared" si="9"/>
        <v>12</v>
      </c>
      <c r="W25" s="33" t="str">
        <f t="shared" si="10"/>
        <v/>
      </c>
      <c r="X25" s="52" t="str">
        <f t="shared" si="11"/>
        <v>Steelers</v>
      </c>
      <c r="Y25" s="52" t="str">
        <f t="shared" si="12"/>
        <v>PIT</v>
      </c>
      <c r="Z25" s="52">
        <f t="shared" si="13"/>
        <v>12</v>
      </c>
      <c r="AA25" s="144">
        <f t="shared" si="14"/>
        <v>-24.245454545454535</v>
      </c>
      <c r="AB25" s="8">
        <f t="shared" si="15"/>
        <v>87.5</v>
      </c>
      <c r="AC25" s="122">
        <f t="shared" si="26"/>
        <v>184</v>
      </c>
      <c r="AD25" s="144" t="str">
        <f t="shared" si="16"/>
        <v>TE</v>
      </c>
      <c r="AE25" s="33">
        <f t="shared" si="17"/>
        <v>22</v>
      </c>
      <c r="AF25" s="33" t="str">
        <f t="shared" si="18"/>
        <v/>
      </c>
      <c r="AG25" s="52" t="str">
        <f t="shared" si="19"/>
        <v>Garrett Graham</v>
      </c>
      <c r="AH25" s="52" t="str">
        <f t="shared" si="20"/>
        <v>HOU</v>
      </c>
      <c r="AI25" s="52">
        <f t="shared" si="21"/>
        <v>10</v>
      </c>
      <c r="AJ25" s="144">
        <f t="shared" si="22"/>
        <v>-71.363636363636374</v>
      </c>
      <c r="AK25" s="156">
        <f t="shared" si="23"/>
        <v>94.5</v>
      </c>
    </row>
    <row r="26" spans="1:37" ht="12.75" customHeight="1">
      <c r="A26" s="33">
        <f>IF(ISERROR(VLOOKUP(RANK(H26,$H$2:$H$331),$A$2:A25,1,0)),RANK(H26,$H$2:$H$331),IF(ISERROR(VLOOKUP((RANK(H26,$H$2:$H$331)+1),$A$2:A25,1,0)),(RANK(H26,$H$2:$H$331)+1),(RANK(H26,$H$2:$H$331)+2)))</f>
        <v>212</v>
      </c>
      <c r="B26" s="33">
        <f>Cheatsheet!A27</f>
        <v>25</v>
      </c>
      <c r="C26" s="33" t="str">
        <f>Cheatsheet!B27</f>
        <v/>
      </c>
      <c r="D26" s="33" t="str">
        <f>Cheatsheet!C27</f>
        <v>EJ Manuel</v>
      </c>
      <c r="E26" s="33" t="str">
        <f>Cheatsheet!D27</f>
        <v>BUF</v>
      </c>
      <c r="F26" s="33">
        <f>Cheatsheet!E27</f>
        <v>9</v>
      </c>
      <c r="G26" s="70">
        <f>Cheatsheet!F27</f>
        <v>235.5</v>
      </c>
      <c r="H26" s="70">
        <f>Cheatsheet!G27</f>
        <v>-102.61818181818177</v>
      </c>
      <c r="I26" s="33" t="s">
        <v>0</v>
      </c>
      <c r="J26" s="194"/>
      <c r="K26" s="122">
        <f t="shared" si="24"/>
        <v>25</v>
      </c>
      <c r="L26" s="144" t="str">
        <f t="shared" si="0"/>
        <v>WR</v>
      </c>
      <c r="M26" s="33">
        <f t="shared" si="1"/>
        <v>9</v>
      </c>
      <c r="N26" s="33" t="str">
        <f t="shared" si="2"/>
        <v/>
      </c>
      <c r="O26" s="52" t="str">
        <f t="shared" si="3"/>
        <v>Alshon Jeffery</v>
      </c>
      <c r="P26" s="52" t="str">
        <f t="shared" si="4"/>
        <v>CHI</v>
      </c>
      <c r="Q26" s="52">
        <f t="shared" si="5"/>
        <v>9</v>
      </c>
      <c r="R26" s="144">
        <f t="shared" si="6"/>
        <v>20.960606060606096</v>
      </c>
      <c r="S26" s="8">
        <f t="shared" si="7"/>
        <v>222</v>
      </c>
      <c r="T26" s="122">
        <f t="shared" si="25"/>
        <v>105</v>
      </c>
      <c r="U26" s="144" t="str">
        <f t="shared" si="8"/>
        <v>WR</v>
      </c>
      <c r="V26" s="33">
        <f t="shared" si="9"/>
        <v>24</v>
      </c>
      <c r="W26" s="33" t="str">
        <f t="shared" si="10"/>
        <v/>
      </c>
      <c r="X26" s="52" t="str">
        <f t="shared" si="11"/>
        <v>Torrey Smith</v>
      </c>
      <c r="Y26" s="52" t="str">
        <f t="shared" si="12"/>
        <v>BAL</v>
      </c>
      <c r="Z26" s="52">
        <f t="shared" si="13"/>
        <v>11</v>
      </c>
      <c r="AA26" s="144">
        <f t="shared" si="14"/>
        <v>-24.639393939393898</v>
      </c>
      <c r="AB26" s="8">
        <f t="shared" si="15"/>
        <v>176.4</v>
      </c>
      <c r="AC26" s="122">
        <f t="shared" si="26"/>
        <v>185</v>
      </c>
      <c r="AD26" s="144" t="str">
        <f t="shared" si="16"/>
        <v>RB</v>
      </c>
      <c r="AE26" s="33">
        <f t="shared" si="17"/>
        <v>38</v>
      </c>
      <c r="AF26" s="33" t="str">
        <f t="shared" si="18"/>
        <v/>
      </c>
      <c r="AG26" s="52" t="str">
        <f t="shared" si="19"/>
        <v>Lamar Miller</v>
      </c>
      <c r="AH26" s="52" t="str">
        <f t="shared" si="20"/>
        <v>MIA</v>
      </c>
      <c r="AI26" s="52">
        <f t="shared" si="21"/>
        <v>5</v>
      </c>
      <c r="AJ26" s="144">
        <f t="shared" si="22"/>
        <v>-71.69393939393936</v>
      </c>
      <c r="AK26" s="156">
        <f t="shared" si="23"/>
        <v>133.5</v>
      </c>
    </row>
    <row r="27" spans="1:37" ht="12.75" customHeight="1">
      <c r="A27" s="33">
        <f>IF(ISERROR(VLOOKUP(RANK(H27,$H$2:$H$331),$A$2:A26,1,0)),RANK(H27,$H$2:$H$331),IF(ISERROR(VLOOKUP((RANK(H27,$H$2:$H$331)+1),$A$2:A26,1,0)),(RANK(H27,$H$2:$H$331)+1),(RANK(H27,$H$2:$H$331)+2)))</f>
        <v>227</v>
      </c>
      <c r="B27" s="33">
        <f>Cheatsheet!A28</f>
        <v>26</v>
      </c>
      <c r="C27" s="33" t="str">
        <f>Cheatsheet!B28</f>
        <v/>
      </c>
      <c r="D27" s="33" t="str">
        <f>Cheatsheet!C28</f>
        <v>Johnny Manziel</v>
      </c>
      <c r="E27" s="33" t="str">
        <f>Cheatsheet!D28</f>
        <v>CLE</v>
      </c>
      <c r="F27" s="33">
        <f>Cheatsheet!E28</f>
        <v>4</v>
      </c>
      <c r="G27" s="70">
        <f>Cheatsheet!F28</f>
        <v>220.7</v>
      </c>
      <c r="H27" s="70">
        <f>Cheatsheet!G28</f>
        <v>-117.41818181818178</v>
      </c>
      <c r="I27" s="33" t="s">
        <v>0</v>
      </c>
      <c r="J27" s="194"/>
      <c r="K27" s="122">
        <f t="shared" si="24"/>
        <v>26</v>
      </c>
      <c r="L27" s="144" t="str">
        <f t="shared" si="0"/>
        <v>RB</v>
      </c>
      <c r="M27" s="33">
        <f t="shared" si="1"/>
        <v>10</v>
      </c>
      <c r="N27" s="33" t="str">
        <f t="shared" si="2"/>
        <v/>
      </c>
      <c r="O27" s="52" t="str">
        <f t="shared" si="3"/>
        <v>Le'Veon Bell</v>
      </c>
      <c r="P27" s="52" t="str">
        <f t="shared" si="4"/>
        <v>PIT</v>
      </c>
      <c r="Q27" s="52">
        <f t="shared" si="5"/>
        <v>12</v>
      </c>
      <c r="R27" s="144">
        <f t="shared" si="6"/>
        <v>20.906060606060635</v>
      </c>
      <c r="S27" s="8">
        <f t="shared" si="7"/>
        <v>226.1</v>
      </c>
      <c r="T27" s="122">
        <f t="shared" si="25"/>
        <v>106</v>
      </c>
      <c r="U27" s="144" t="str">
        <f t="shared" si="8"/>
        <v>DST</v>
      </c>
      <c r="V27" s="33">
        <f t="shared" si="9"/>
        <v>13</v>
      </c>
      <c r="W27" s="33" t="str">
        <f t="shared" si="10"/>
        <v/>
      </c>
      <c r="X27" s="52" t="str">
        <f t="shared" si="11"/>
        <v>Browns</v>
      </c>
      <c r="Y27" s="52" t="str">
        <f t="shared" si="12"/>
        <v>CLE</v>
      </c>
      <c r="Z27" s="52">
        <f t="shared" si="13"/>
        <v>4</v>
      </c>
      <c r="AA27" s="144">
        <f t="shared" si="14"/>
        <v>-25.045454545454533</v>
      </c>
      <c r="AB27" s="8">
        <f t="shared" si="15"/>
        <v>86.7</v>
      </c>
      <c r="AC27" s="122">
        <f t="shared" si="26"/>
        <v>186</v>
      </c>
      <c r="AD27" s="144" t="str">
        <f t="shared" si="16"/>
        <v>WR</v>
      </c>
      <c r="AE27" s="33">
        <f t="shared" si="17"/>
        <v>46</v>
      </c>
      <c r="AF27" s="33" t="str">
        <f t="shared" si="18"/>
        <v/>
      </c>
      <c r="AG27" s="52" t="str">
        <f t="shared" si="19"/>
        <v>Jarrett Boykin</v>
      </c>
      <c r="AH27" s="52" t="str">
        <f t="shared" si="20"/>
        <v>GB</v>
      </c>
      <c r="AI27" s="52">
        <f t="shared" si="21"/>
        <v>9</v>
      </c>
      <c r="AJ27" s="144">
        <f t="shared" si="22"/>
        <v>-72.239393939393892</v>
      </c>
      <c r="AK27" s="156">
        <f t="shared" si="23"/>
        <v>128.80000000000001</v>
      </c>
    </row>
    <row r="28" spans="1:37" ht="12.75" customHeight="1">
      <c r="A28" s="33">
        <f>IF(ISERROR(VLOOKUP(RANK(H28,$H$2:$H$331),$A$2:A27,1,0)),RANK(H28,$H$2:$H$331),IF(ISERROR(VLOOKUP((RANK(H28,$H$2:$H$331)+1),$A$2:A27,1,0)),(RANK(H28,$H$2:$H$331)+1),(RANK(H28,$H$2:$H$331)+2)))</f>
        <v>234</v>
      </c>
      <c r="B28" s="33">
        <f>Cheatsheet!A29</f>
        <v>27</v>
      </c>
      <c r="C28" s="33" t="str">
        <f>Cheatsheet!B29</f>
        <v/>
      </c>
      <c r="D28" s="33" t="str">
        <f>Cheatsheet!C29</f>
        <v>Geno Smith</v>
      </c>
      <c r="E28" s="33" t="str">
        <f>Cheatsheet!D29</f>
        <v>NYJ</v>
      </c>
      <c r="F28" s="33">
        <f>Cheatsheet!E29</f>
        <v>11</v>
      </c>
      <c r="G28" s="70">
        <f>Cheatsheet!F29</f>
        <v>215.8</v>
      </c>
      <c r="H28" s="70">
        <f>Cheatsheet!G29</f>
        <v>-122.31818181818176</v>
      </c>
      <c r="I28" s="33" t="s">
        <v>0</v>
      </c>
      <c r="J28" s="194"/>
      <c r="K28" s="122">
        <f t="shared" si="24"/>
        <v>27</v>
      </c>
      <c r="L28" s="144" t="str">
        <f t="shared" si="0"/>
        <v>QB</v>
      </c>
      <c r="M28" s="33">
        <f t="shared" si="1"/>
        <v>5</v>
      </c>
      <c r="N28" s="33" t="str">
        <f t="shared" si="2"/>
        <v/>
      </c>
      <c r="O28" s="52" t="str">
        <f t="shared" si="3"/>
        <v>Nick Foles</v>
      </c>
      <c r="P28" s="52" t="str">
        <f t="shared" si="4"/>
        <v>PHI</v>
      </c>
      <c r="Q28" s="52">
        <f t="shared" si="5"/>
        <v>7</v>
      </c>
      <c r="R28" s="144">
        <f t="shared" si="6"/>
        <v>19.78181818181821</v>
      </c>
      <c r="S28" s="8">
        <f t="shared" si="7"/>
        <v>357.9</v>
      </c>
      <c r="T28" s="122">
        <f t="shared" si="25"/>
        <v>107</v>
      </c>
      <c r="U28" s="144" t="str">
        <f t="shared" si="8"/>
        <v>K</v>
      </c>
      <c r="V28" s="33">
        <f t="shared" si="9"/>
        <v>21</v>
      </c>
      <c r="W28" s="33" t="str">
        <f t="shared" si="10"/>
        <v/>
      </c>
      <c r="X28" s="52" t="str">
        <f t="shared" si="11"/>
        <v>Sebastian Janikowski</v>
      </c>
      <c r="Y28" s="52" t="str">
        <f t="shared" si="12"/>
        <v>OAK</v>
      </c>
      <c r="Z28" s="52">
        <f t="shared" si="13"/>
        <v>5</v>
      </c>
      <c r="AA28" s="144">
        <f t="shared" si="14"/>
        <v>-25.154545454545428</v>
      </c>
      <c r="AB28" s="8">
        <f t="shared" si="15"/>
        <v>112.4</v>
      </c>
      <c r="AC28" s="122">
        <f t="shared" si="26"/>
        <v>187</v>
      </c>
      <c r="AD28" s="144" t="str">
        <f t="shared" si="16"/>
        <v>TE</v>
      </c>
      <c r="AE28" s="33">
        <f t="shared" si="17"/>
        <v>23</v>
      </c>
      <c r="AF28" s="33" t="str">
        <f t="shared" si="18"/>
        <v/>
      </c>
      <c r="AG28" s="52" t="str">
        <f t="shared" si="19"/>
        <v>Scott Chandler</v>
      </c>
      <c r="AH28" s="52" t="str">
        <f t="shared" si="20"/>
        <v>BUF</v>
      </c>
      <c r="AI28" s="52">
        <f t="shared" si="21"/>
        <v>9</v>
      </c>
      <c r="AJ28" s="144">
        <f t="shared" si="22"/>
        <v>-73.76363636363638</v>
      </c>
      <c r="AK28" s="156">
        <f t="shared" si="23"/>
        <v>92.1</v>
      </c>
    </row>
    <row r="29" spans="1:37" ht="12.75" customHeight="1">
      <c r="A29" s="33">
        <f>IF(ISERROR(VLOOKUP(RANK(H29,$H$2:$H$331),$A$2:A28,1,0)),RANK(H29,$H$2:$H$331),IF(ISERROR(VLOOKUP((RANK(H29,$H$2:$H$331)+1),$A$2:A28,1,0)),(RANK(H29,$H$2:$H$331)+1),(RANK(H29,$H$2:$H$331)+2)))</f>
        <v>242</v>
      </c>
      <c r="B29" s="33">
        <f>Cheatsheet!A30</f>
        <v>28</v>
      </c>
      <c r="C29" s="33" t="str">
        <f>Cheatsheet!B30</f>
        <v/>
      </c>
      <c r="D29" s="33" t="str">
        <f>Cheatsheet!C30</f>
        <v>Jake Locker</v>
      </c>
      <c r="E29" s="33" t="str">
        <f>Cheatsheet!D30</f>
        <v>TEN</v>
      </c>
      <c r="F29" s="33">
        <f>Cheatsheet!E30</f>
        <v>9</v>
      </c>
      <c r="G29" s="70">
        <f>Cheatsheet!F30</f>
        <v>209</v>
      </c>
      <c r="H29" s="70">
        <f>Cheatsheet!G30</f>
        <v>-129.11818181818177</v>
      </c>
      <c r="I29" s="33" t="s">
        <v>0</v>
      </c>
      <c r="J29" s="194"/>
      <c r="K29" s="122">
        <f t="shared" si="24"/>
        <v>28</v>
      </c>
      <c r="L29" s="144" t="str">
        <f t="shared" si="0"/>
        <v>K</v>
      </c>
      <c r="M29" s="33">
        <f t="shared" si="1"/>
        <v>1</v>
      </c>
      <c r="N29" s="33" t="str">
        <f t="shared" si="2"/>
        <v/>
      </c>
      <c r="O29" s="52" t="str">
        <f t="shared" si="3"/>
        <v>Stephen Gostkowski</v>
      </c>
      <c r="P29" s="52" t="str">
        <f t="shared" si="4"/>
        <v>NE</v>
      </c>
      <c r="Q29" s="52">
        <f t="shared" si="5"/>
        <v>10</v>
      </c>
      <c r="R29" s="144">
        <f t="shared" si="6"/>
        <v>13.745454545454578</v>
      </c>
      <c r="S29" s="8">
        <f t="shared" si="7"/>
        <v>151.30000000000001</v>
      </c>
      <c r="T29" s="122">
        <f t="shared" si="25"/>
        <v>108</v>
      </c>
      <c r="U29" s="144" t="str">
        <f t="shared" si="8"/>
        <v>WR</v>
      </c>
      <c r="V29" s="33">
        <f t="shared" si="9"/>
        <v>25</v>
      </c>
      <c r="W29" s="33" t="str">
        <f t="shared" si="10"/>
        <v/>
      </c>
      <c r="X29" s="52" t="str">
        <f t="shared" si="11"/>
        <v>Jeremy Maclin</v>
      </c>
      <c r="Y29" s="52" t="str">
        <f t="shared" si="12"/>
        <v>PHI</v>
      </c>
      <c r="Z29" s="52">
        <f t="shared" si="13"/>
        <v>7</v>
      </c>
      <c r="AA29" s="144">
        <f t="shared" si="14"/>
        <v>-25.739393939393892</v>
      </c>
      <c r="AB29" s="8">
        <f t="shared" si="15"/>
        <v>175.3</v>
      </c>
      <c r="AC29" s="122">
        <f t="shared" si="26"/>
        <v>188</v>
      </c>
      <c r="AD29" s="144" t="str">
        <f t="shared" si="16"/>
        <v>QB</v>
      </c>
      <c r="AE29" s="33">
        <f t="shared" si="17"/>
        <v>23</v>
      </c>
      <c r="AF29" s="33" t="str">
        <f t="shared" si="18"/>
        <v/>
      </c>
      <c r="AG29" s="52" t="str">
        <f t="shared" si="19"/>
        <v>Sam Bradford</v>
      </c>
      <c r="AH29" s="52" t="str">
        <f t="shared" si="20"/>
        <v>STL</v>
      </c>
      <c r="AI29" s="52">
        <f t="shared" si="21"/>
        <v>4</v>
      </c>
      <c r="AJ29" s="144">
        <f t="shared" si="22"/>
        <v>-74.618181818181768</v>
      </c>
      <c r="AK29" s="156">
        <f t="shared" si="23"/>
        <v>263.5</v>
      </c>
    </row>
    <row r="30" spans="1:37" ht="12.75" customHeight="1">
      <c r="A30" s="33">
        <f>IF(ISERROR(VLOOKUP(RANK(H30,$H$2:$H$331),$A$2:A29,1,0)),RANK(H30,$H$2:$H$331),IF(ISERROR(VLOOKUP((RANK(H30,$H$2:$H$331)+1),$A$2:A29,1,0)),(RANK(H30,$H$2:$H$331)+1),(RANK(H30,$H$2:$H$331)+2)))</f>
        <v>259</v>
      </c>
      <c r="B30" s="33">
        <f>Cheatsheet!A31</f>
        <v>29</v>
      </c>
      <c r="C30" s="33" t="str">
        <f>Cheatsheet!B31</f>
        <v/>
      </c>
      <c r="D30" s="33" t="str">
        <f>Cheatsheet!C31</f>
        <v>Matt Schaub</v>
      </c>
      <c r="E30" s="33" t="str">
        <f>Cheatsheet!D31</f>
        <v>OAK</v>
      </c>
      <c r="F30" s="33">
        <f>Cheatsheet!E31</f>
        <v>5</v>
      </c>
      <c r="G30" s="70">
        <f>Cheatsheet!F31</f>
        <v>199.8</v>
      </c>
      <c r="H30" s="70">
        <f>Cheatsheet!G31</f>
        <v>-138.31818181818176</v>
      </c>
      <c r="I30" s="33" t="s">
        <v>0</v>
      </c>
      <c r="J30" s="194"/>
      <c r="K30" s="122">
        <f t="shared" si="24"/>
        <v>29</v>
      </c>
      <c r="L30" s="144" t="str">
        <f t="shared" si="0"/>
        <v>RB</v>
      </c>
      <c r="M30" s="33">
        <f t="shared" si="1"/>
        <v>11</v>
      </c>
      <c r="N30" s="33" t="str">
        <f t="shared" si="2"/>
        <v/>
      </c>
      <c r="O30" s="52" t="str">
        <f t="shared" si="3"/>
        <v>Doug Martin</v>
      </c>
      <c r="P30" s="52" t="str">
        <f t="shared" si="4"/>
        <v>TB</v>
      </c>
      <c r="Q30" s="52">
        <f t="shared" si="5"/>
        <v>7</v>
      </c>
      <c r="R30" s="144">
        <f t="shared" si="6"/>
        <v>12.80606060606064</v>
      </c>
      <c r="S30" s="8">
        <f t="shared" si="7"/>
        <v>218</v>
      </c>
      <c r="T30" s="122">
        <f t="shared" si="25"/>
        <v>109</v>
      </c>
      <c r="U30" s="144" t="str">
        <f t="shared" si="8"/>
        <v>RB</v>
      </c>
      <c r="V30" s="33">
        <f t="shared" si="9"/>
        <v>26</v>
      </c>
      <c r="W30" s="33" t="str">
        <f t="shared" si="10"/>
        <v/>
      </c>
      <c r="X30" s="52" t="str">
        <f t="shared" si="11"/>
        <v>Frank Gore</v>
      </c>
      <c r="Y30" s="52" t="str">
        <f t="shared" si="12"/>
        <v>SF</v>
      </c>
      <c r="Z30" s="52">
        <f t="shared" si="13"/>
        <v>8</v>
      </c>
      <c r="AA30" s="144">
        <f t="shared" si="14"/>
        <v>-25.793939393939354</v>
      </c>
      <c r="AB30" s="8">
        <f t="shared" si="15"/>
        <v>179.4</v>
      </c>
      <c r="AC30" s="122">
        <f t="shared" si="26"/>
        <v>189</v>
      </c>
      <c r="AD30" s="144" t="str">
        <f t="shared" si="16"/>
        <v>WR</v>
      </c>
      <c r="AE30" s="33">
        <f t="shared" si="17"/>
        <v>47</v>
      </c>
      <c r="AF30" s="33" t="str">
        <f t="shared" si="18"/>
        <v/>
      </c>
      <c r="AG30" s="52" t="str">
        <f t="shared" si="19"/>
        <v>James Jones</v>
      </c>
      <c r="AH30" s="52" t="str">
        <f t="shared" si="20"/>
        <v>OAK</v>
      </c>
      <c r="AI30" s="52">
        <f t="shared" si="21"/>
        <v>5</v>
      </c>
      <c r="AJ30" s="144">
        <f t="shared" si="22"/>
        <v>-74.839393939393901</v>
      </c>
      <c r="AK30" s="156">
        <f t="shared" si="23"/>
        <v>126.2</v>
      </c>
    </row>
    <row r="31" spans="1:37" ht="12.75" customHeight="1">
      <c r="A31" s="33">
        <f>IF(ISERROR(VLOOKUP(RANK(H31,$H$2:$H$331),$A$2:A30,1,0)),RANK(H31,$H$2:$H$331),IF(ISERROR(VLOOKUP((RANK(H31,$H$2:$H$331)+1),$A$2:A30,1,0)),(RANK(H31,$H$2:$H$331)+1),(RANK(H31,$H$2:$H$331)+2)))</f>
        <v>274</v>
      </c>
      <c r="B31" s="33">
        <f>Cheatsheet!A32</f>
        <v>30</v>
      </c>
      <c r="C31" s="33" t="str">
        <f>Cheatsheet!B32</f>
        <v/>
      </c>
      <c r="D31" s="33" t="str">
        <f>Cheatsheet!C32</f>
        <v>Ryan Fitzpatrick</v>
      </c>
      <c r="E31" s="33" t="str">
        <f>Cheatsheet!D32</f>
        <v>HOU</v>
      </c>
      <c r="F31" s="33">
        <f>Cheatsheet!E32</f>
        <v>10</v>
      </c>
      <c r="G31" s="70">
        <f>Cheatsheet!F32</f>
        <v>187.9</v>
      </c>
      <c r="H31" s="70">
        <f>Cheatsheet!G32</f>
        <v>-150.21818181818176</v>
      </c>
      <c r="I31" s="33" t="s">
        <v>0</v>
      </c>
      <c r="J31" s="194"/>
      <c r="K31" s="122">
        <f t="shared" si="24"/>
        <v>30</v>
      </c>
      <c r="L31" s="144" t="str">
        <f t="shared" si="0"/>
        <v>DST</v>
      </c>
      <c r="M31" s="33">
        <f t="shared" si="1"/>
        <v>2</v>
      </c>
      <c r="N31" s="33" t="str">
        <f t="shared" si="2"/>
        <v/>
      </c>
      <c r="O31" s="52" t="str">
        <f t="shared" si="3"/>
        <v>Panthers</v>
      </c>
      <c r="P31" s="52" t="str">
        <f t="shared" si="4"/>
        <v>CAR</v>
      </c>
      <c r="Q31" s="52">
        <f t="shared" si="5"/>
        <v>12</v>
      </c>
      <c r="R31" s="144">
        <f t="shared" si="6"/>
        <v>12.454545454545467</v>
      </c>
      <c r="S31" s="8">
        <f t="shared" si="7"/>
        <v>124.2</v>
      </c>
      <c r="T31" s="122">
        <f t="shared" si="25"/>
        <v>110</v>
      </c>
      <c r="U31" s="144" t="str">
        <f t="shared" si="8"/>
        <v>K</v>
      </c>
      <c r="V31" s="33">
        <f t="shared" si="9"/>
        <v>22</v>
      </c>
      <c r="W31" s="33" t="str">
        <f t="shared" si="10"/>
        <v/>
      </c>
      <c r="X31" s="52" t="str">
        <f t="shared" si="11"/>
        <v>Mike Nugent</v>
      </c>
      <c r="Y31" s="52" t="str">
        <f t="shared" si="12"/>
        <v>CIN</v>
      </c>
      <c r="Z31" s="52">
        <f t="shared" si="13"/>
        <v>4</v>
      </c>
      <c r="AA31" s="144">
        <f t="shared" si="14"/>
        <v>-25.954545454545439</v>
      </c>
      <c r="AB31" s="8">
        <f t="shared" si="15"/>
        <v>111.6</v>
      </c>
      <c r="AC31" s="122">
        <f t="shared" si="26"/>
        <v>190</v>
      </c>
      <c r="AD31" s="144" t="str">
        <f t="shared" si="16"/>
        <v>WR</v>
      </c>
      <c r="AE31" s="33">
        <f t="shared" si="17"/>
        <v>48</v>
      </c>
      <c r="AF31" s="33" t="str">
        <f t="shared" si="18"/>
        <v/>
      </c>
      <c r="AG31" s="52" t="str">
        <f t="shared" si="19"/>
        <v>Harry Douglas</v>
      </c>
      <c r="AH31" s="52" t="str">
        <f t="shared" si="20"/>
        <v>ATL</v>
      </c>
      <c r="AI31" s="52">
        <f t="shared" si="21"/>
        <v>9</v>
      </c>
      <c r="AJ31" s="144">
        <f t="shared" si="22"/>
        <v>-74.939393939393909</v>
      </c>
      <c r="AK31" s="156">
        <f t="shared" si="23"/>
        <v>126.1</v>
      </c>
    </row>
    <row r="32" spans="1:37" ht="12.75" customHeight="1">
      <c r="A32" s="33"/>
      <c r="B32" s="33"/>
      <c r="C32" s="33"/>
      <c r="D32" s="33"/>
      <c r="E32" s="33"/>
      <c r="F32" s="33"/>
      <c r="G32" s="70"/>
      <c r="H32" s="70"/>
      <c r="I32" s="33"/>
      <c r="J32" s="194"/>
      <c r="K32" s="122">
        <f t="shared" si="24"/>
        <v>31</v>
      </c>
      <c r="L32" s="144" t="str">
        <f t="shared" si="0"/>
        <v>WR</v>
      </c>
      <c r="M32" s="33">
        <f t="shared" si="1"/>
        <v>10</v>
      </c>
      <c r="N32" s="33" t="str">
        <f t="shared" si="2"/>
        <v/>
      </c>
      <c r="O32" s="52" t="str">
        <f t="shared" si="3"/>
        <v>Randall Cobb</v>
      </c>
      <c r="P32" s="52" t="str">
        <f t="shared" si="4"/>
        <v>GB</v>
      </c>
      <c r="Q32" s="52">
        <f t="shared" si="5"/>
        <v>9</v>
      </c>
      <c r="R32" s="144">
        <f t="shared" si="6"/>
        <v>12.360606060606102</v>
      </c>
      <c r="S32" s="8">
        <f t="shared" si="7"/>
        <v>213.4</v>
      </c>
      <c r="T32" s="122">
        <f t="shared" si="25"/>
        <v>111</v>
      </c>
      <c r="U32" s="144" t="str">
        <f t="shared" si="8"/>
        <v>K</v>
      </c>
      <c r="V32" s="33">
        <f t="shared" si="9"/>
        <v>23</v>
      </c>
      <c r="W32" s="33" t="str">
        <f t="shared" si="10"/>
        <v/>
      </c>
      <c r="X32" s="52" t="str">
        <f t="shared" si="11"/>
        <v>Caleb Sturgis</v>
      </c>
      <c r="Y32" s="52" t="str">
        <f t="shared" si="12"/>
        <v>MIA</v>
      </c>
      <c r="Z32" s="52">
        <f t="shared" si="13"/>
        <v>5</v>
      </c>
      <c r="AA32" s="144">
        <f t="shared" si="14"/>
        <v>-26.154545454545428</v>
      </c>
      <c r="AB32" s="8">
        <f t="shared" si="15"/>
        <v>111.4</v>
      </c>
      <c r="AC32" s="122">
        <f t="shared" si="26"/>
        <v>191</v>
      </c>
      <c r="AD32" s="144" t="str">
        <f t="shared" si="16"/>
        <v>WR</v>
      </c>
      <c r="AE32" s="33">
        <f t="shared" si="17"/>
        <v>49</v>
      </c>
      <c r="AF32" s="33" t="str">
        <f t="shared" si="18"/>
        <v/>
      </c>
      <c r="AG32" s="52" t="str">
        <f t="shared" si="19"/>
        <v>Tavon Austin</v>
      </c>
      <c r="AH32" s="52" t="str">
        <f t="shared" si="20"/>
        <v>STL</v>
      </c>
      <c r="AI32" s="52">
        <f t="shared" si="21"/>
        <v>4</v>
      </c>
      <c r="AJ32" s="144">
        <f t="shared" si="22"/>
        <v>-75.739393939393906</v>
      </c>
      <c r="AK32" s="156">
        <f t="shared" si="23"/>
        <v>125.3</v>
      </c>
    </row>
    <row r="33" spans="1:37" ht="12.75" customHeight="1">
      <c r="A33" s="33"/>
      <c r="B33" s="33"/>
      <c r="C33" s="33"/>
      <c r="D33" s="33"/>
      <c r="E33" s="33"/>
      <c r="F33" s="33"/>
      <c r="G33" s="70"/>
      <c r="H33" s="70"/>
      <c r="I33" s="33"/>
      <c r="J33" s="194"/>
      <c r="K33" s="122">
        <f t="shared" si="24"/>
        <v>32</v>
      </c>
      <c r="L33" s="144" t="str">
        <f t="shared" si="0"/>
        <v>QB</v>
      </c>
      <c r="M33" s="33">
        <f t="shared" si="1"/>
        <v>6</v>
      </c>
      <c r="N33" s="33" t="str">
        <f t="shared" si="2"/>
        <v/>
      </c>
      <c r="O33" s="52" t="str">
        <f t="shared" si="3"/>
        <v>Andrew Luck</v>
      </c>
      <c r="P33" s="52" t="str">
        <f t="shared" si="4"/>
        <v>IND</v>
      </c>
      <c r="Q33" s="52">
        <f t="shared" si="5"/>
        <v>10</v>
      </c>
      <c r="R33" s="144">
        <f t="shared" si="6"/>
        <v>10.481818181818255</v>
      </c>
      <c r="S33" s="8">
        <f t="shared" si="7"/>
        <v>348.6</v>
      </c>
      <c r="T33" s="122">
        <f t="shared" si="25"/>
        <v>112</v>
      </c>
      <c r="U33" s="144" t="str">
        <f t="shared" si="8"/>
        <v>WR</v>
      </c>
      <c r="V33" s="33">
        <f t="shared" si="9"/>
        <v>26</v>
      </c>
      <c r="W33" s="33" t="str">
        <f t="shared" si="10"/>
        <v/>
      </c>
      <c r="X33" s="52" t="str">
        <f t="shared" si="11"/>
        <v>T.Y. Hilton</v>
      </c>
      <c r="Y33" s="52" t="str">
        <f t="shared" si="12"/>
        <v>IND</v>
      </c>
      <c r="Z33" s="52">
        <f t="shared" si="13"/>
        <v>10</v>
      </c>
      <c r="AA33" s="144">
        <f t="shared" si="14"/>
        <v>-26.539393939393904</v>
      </c>
      <c r="AB33" s="8">
        <f t="shared" si="15"/>
        <v>174.5</v>
      </c>
      <c r="AC33" s="122">
        <f t="shared" si="26"/>
        <v>192</v>
      </c>
      <c r="AD33" s="144" t="str">
        <f t="shared" si="16"/>
        <v>TE</v>
      </c>
      <c r="AE33" s="33">
        <f t="shared" si="17"/>
        <v>24</v>
      </c>
      <c r="AF33" s="33" t="str">
        <f t="shared" si="18"/>
        <v/>
      </c>
      <c r="AG33" s="52" t="str">
        <f t="shared" si="19"/>
        <v>Marcedes Lewis</v>
      </c>
      <c r="AH33" s="52" t="str">
        <f t="shared" si="20"/>
        <v>JAC</v>
      </c>
      <c r="AI33" s="52">
        <f t="shared" si="21"/>
        <v>11</v>
      </c>
      <c r="AJ33" s="144">
        <f t="shared" si="22"/>
        <v>-79.363636363636374</v>
      </c>
      <c r="AK33" s="156">
        <f t="shared" si="23"/>
        <v>86.5</v>
      </c>
    </row>
    <row r="34" spans="1:37" ht="12.75" customHeight="1">
      <c r="A34" s="33">
        <f>IF(ISERROR(VLOOKUP(RANK(H34,$H$2:$H$331),$A$2:A33,1,0)),RANK(H34,$H$2:$H$331),IF(ISERROR(VLOOKUP((RANK(H34,$H$2:$H$331)+1),$A$2:A33,1,0)),(RANK(H34,$H$2:$H$331)+1),(RANK(H34,$H$2:$H$331)+2)))</f>
        <v>8</v>
      </c>
      <c r="B34" s="33">
        <f>Cheatsheet!A57</f>
        <v>1</v>
      </c>
      <c r="C34" s="33" t="str">
        <f>Cheatsheet!B57</f>
        <v/>
      </c>
      <c r="D34" s="33" t="str">
        <f>Cheatsheet!C57</f>
        <v>Jimmy Graham</v>
      </c>
      <c r="E34" s="33" t="str">
        <f>Cheatsheet!D57</f>
        <v>NO</v>
      </c>
      <c r="F34" s="33">
        <f>Cheatsheet!E57</f>
        <v>6</v>
      </c>
      <c r="G34" s="70">
        <f>Cheatsheet!F57</f>
        <v>236</v>
      </c>
      <c r="H34" s="70">
        <f>Cheatsheet!G57</f>
        <v>70.136363636363626</v>
      </c>
      <c r="I34" s="33" t="s">
        <v>16</v>
      </c>
      <c r="J34" s="194"/>
      <c r="K34" s="122">
        <f t="shared" si="24"/>
        <v>33</v>
      </c>
      <c r="L34" s="144" t="str">
        <f t="shared" ref="L34:L65" si="27">VLOOKUP(K34,$A:$I,9,0)</f>
        <v>RB</v>
      </c>
      <c r="M34" s="33">
        <f t="shared" ref="M34:M65" si="28">VLOOKUP(K34,$A:$I,2,0)</f>
        <v>12</v>
      </c>
      <c r="N34" s="33" t="str">
        <f t="shared" ref="N34:N65" si="29">VLOOKUP(K34,$A:$I,3,0)</f>
        <v/>
      </c>
      <c r="O34" s="52" t="str">
        <f t="shared" ref="O34:O65" si="30">VLOOKUP(K34,$A:$I,4,0)</f>
        <v>Arian Foster</v>
      </c>
      <c r="P34" s="52" t="str">
        <f t="shared" ref="P34:P65" si="31">VLOOKUP(K34,$A:$I,5,0)</f>
        <v>HOU</v>
      </c>
      <c r="Q34" s="52">
        <f t="shared" ref="Q34:Q65" si="32">VLOOKUP(K34,$A:$I,6,0)</f>
        <v>10</v>
      </c>
      <c r="R34" s="144">
        <f t="shared" ref="R34:R65" si="33">VLOOKUP(K34,$A:$I,8,0)</f>
        <v>10.006060606060629</v>
      </c>
      <c r="S34" s="8">
        <f t="shared" ref="S34:S65" si="34">VLOOKUP(K34,$A:$I,7,0)</f>
        <v>215.2</v>
      </c>
      <c r="T34" s="122">
        <f t="shared" si="25"/>
        <v>113</v>
      </c>
      <c r="U34" s="144" t="str">
        <f t="shared" ref="U34:U65" si="35">VLOOKUP(T34,$A:$I,9,0)</f>
        <v>DST</v>
      </c>
      <c r="V34" s="33">
        <f t="shared" ref="V34:V65" si="36">VLOOKUP(T34,$A:$I,2,0)</f>
        <v>14</v>
      </c>
      <c r="W34" s="33" t="str">
        <f t="shared" ref="W34:W65" si="37">VLOOKUP(T34,$A:$I,3,0)</f>
        <v/>
      </c>
      <c r="X34" s="52" t="str">
        <f t="shared" ref="X34:X65" si="38">VLOOKUP(T34,$A:$I,4,0)</f>
        <v>Ravens</v>
      </c>
      <c r="Y34" s="52" t="str">
        <f t="shared" ref="Y34:Y65" si="39">VLOOKUP(T34,$A:$I,5,0)</f>
        <v>BAL</v>
      </c>
      <c r="Z34" s="52">
        <f t="shared" ref="Z34:Z65" si="40">VLOOKUP(T34,$A:$I,6,0)</f>
        <v>11</v>
      </c>
      <c r="AA34" s="144">
        <f t="shared" ref="AA34:AA65" si="41">VLOOKUP(T34,$A:$I,8,0)</f>
        <v>-26.945454545454538</v>
      </c>
      <c r="AB34" s="8">
        <f t="shared" ref="AB34:AB65" si="42">VLOOKUP(T34,$A:$I,7,0)</f>
        <v>84.8</v>
      </c>
      <c r="AC34" s="122">
        <f t="shared" si="26"/>
        <v>193</v>
      </c>
      <c r="AD34" s="144" t="str">
        <f t="shared" ref="AD34:AD65" si="43">VLOOKUP(AC34,$A:$I,9,0)</f>
        <v>WR</v>
      </c>
      <c r="AE34" s="33">
        <f t="shared" ref="AE34:AE65" si="44">VLOOKUP(AC34,$A:$I,2,0)</f>
        <v>50</v>
      </c>
      <c r="AF34" s="33" t="str">
        <f t="shared" ref="AF34:AF65" si="45">VLOOKUP(AC34,$A:$I,3,0)</f>
        <v/>
      </c>
      <c r="AG34" s="52" t="str">
        <f t="shared" ref="AG34:AG65" si="46">VLOOKUP(AC34,$A:$I,4,0)</f>
        <v>Kenny Stills</v>
      </c>
      <c r="AH34" s="52" t="str">
        <f t="shared" ref="AH34:AH65" si="47">VLOOKUP(AC34,$A:$I,5,0)</f>
        <v>NO</v>
      </c>
      <c r="AI34" s="52">
        <f t="shared" ref="AI34:AI65" si="48">VLOOKUP(AC34,$A:$I,6,0)</f>
        <v>6</v>
      </c>
      <c r="AJ34" s="144">
        <f t="shared" ref="AJ34:AJ65" si="49">VLOOKUP(AC34,$A:$I,8,0)</f>
        <v>-80.239393939393906</v>
      </c>
      <c r="AK34" s="156">
        <f t="shared" ref="AK34:AK65" si="50">VLOOKUP(AC34,$A:$I,7,0)</f>
        <v>120.8</v>
      </c>
    </row>
    <row r="35" spans="1:37" ht="12.75" customHeight="1">
      <c r="A35" s="33">
        <f>IF(ISERROR(VLOOKUP(RANK(H35,$H$2:$H$331),$A$2:A34,1,0)),RANK(H35,$H$2:$H$331),IF(ISERROR(VLOOKUP((RANK(H35,$H$2:$H$331)+1),$A$2:A34,1,0)),(RANK(H35,$H$2:$H$331)+1),(RANK(H35,$H$2:$H$331)+2)))</f>
        <v>16</v>
      </c>
      <c r="B35" s="33">
        <f>Cheatsheet!A58</f>
        <v>2</v>
      </c>
      <c r="C35" s="33" t="str">
        <f>Cheatsheet!B58</f>
        <v/>
      </c>
      <c r="D35" s="33" t="str">
        <f>Cheatsheet!C58</f>
        <v>Julius Thomas</v>
      </c>
      <c r="E35" s="33" t="str">
        <f>Cheatsheet!D58</f>
        <v>DEN</v>
      </c>
      <c r="F35" s="33">
        <f>Cheatsheet!E58</f>
        <v>4</v>
      </c>
      <c r="G35" s="70">
        <f>Cheatsheet!F58</f>
        <v>197.8</v>
      </c>
      <c r="H35" s="70">
        <f>Cheatsheet!G58</f>
        <v>31.936363636363637</v>
      </c>
      <c r="I35" s="33" t="s">
        <v>16</v>
      </c>
      <c r="J35" s="194"/>
      <c r="K35" s="122">
        <f t="shared" ref="K35:K66" si="51">K34+1</f>
        <v>34</v>
      </c>
      <c r="L35" s="144" t="str">
        <f t="shared" si="27"/>
        <v>TE</v>
      </c>
      <c r="M35" s="33">
        <f t="shared" si="28"/>
        <v>3</v>
      </c>
      <c r="N35" s="33" t="str">
        <f t="shared" si="29"/>
        <v/>
      </c>
      <c r="O35" s="52" t="str">
        <f t="shared" si="30"/>
        <v>Rob Gronkowski</v>
      </c>
      <c r="P35" s="52" t="str">
        <f t="shared" si="31"/>
        <v>NE</v>
      </c>
      <c r="Q35" s="52">
        <f t="shared" si="32"/>
        <v>10</v>
      </c>
      <c r="R35" s="144">
        <f t="shared" si="33"/>
        <v>8.4363636363636374</v>
      </c>
      <c r="S35" s="8">
        <f t="shared" si="34"/>
        <v>174.3</v>
      </c>
      <c r="T35" s="122">
        <f t="shared" ref="T35:T66" si="52">T34+1</f>
        <v>114</v>
      </c>
      <c r="U35" s="144" t="str">
        <f t="shared" si="35"/>
        <v>WR</v>
      </c>
      <c r="V35" s="33">
        <f t="shared" si="36"/>
        <v>27</v>
      </c>
      <c r="W35" s="33" t="str">
        <f t="shared" si="37"/>
        <v/>
      </c>
      <c r="X35" s="52" t="str">
        <f t="shared" si="38"/>
        <v>Kendall Wright</v>
      </c>
      <c r="Y35" s="52" t="str">
        <f t="shared" si="39"/>
        <v>TEN</v>
      </c>
      <c r="Z35" s="52">
        <f t="shared" si="40"/>
        <v>9</v>
      </c>
      <c r="AA35" s="144">
        <f t="shared" si="41"/>
        <v>-27.339393939393915</v>
      </c>
      <c r="AB35" s="8">
        <f t="shared" si="42"/>
        <v>173.7</v>
      </c>
      <c r="AC35" s="122">
        <f t="shared" ref="AC35:AC66" si="53">AC34+1</f>
        <v>194</v>
      </c>
      <c r="AD35" s="144" t="str">
        <f t="shared" si="43"/>
        <v>TE</v>
      </c>
      <c r="AE35" s="33">
        <f t="shared" si="44"/>
        <v>25</v>
      </c>
      <c r="AF35" s="33" t="str">
        <f t="shared" si="45"/>
        <v/>
      </c>
      <c r="AG35" s="52" t="str">
        <f t="shared" si="46"/>
        <v>Coby Fleener</v>
      </c>
      <c r="AH35" s="52" t="str">
        <f t="shared" si="47"/>
        <v>IND</v>
      </c>
      <c r="AI35" s="52">
        <f t="shared" si="48"/>
        <v>10</v>
      </c>
      <c r="AJ35" s="144">
        <f t="shared" si="49"/>
        <v>-81.663636363636371</v>
      </c>
      <c r="AK35" s="156">
        <f t="shared" si="50"/>
        <v>84.2</v>
      </c>
    </row>
    <row r="36" spans="1:37" ht="12.75" customHeight="1">
      <c r="A36" s="33">
        <f>IF(ISERROR(VLOOKUP(RANK(H36,$H$2:$H$331),$A$2:A35,1,0)),RANK(H36,$H$2:$H$331),IF(ISERROR(VLOOKUP((RANK(H36,$H$2:$H$331)+1),$A$2:A35,1,0)),(RANK(H36,$H$2:$H$331)+1),(RANK(H36,$H$2:$H$331)+2)))</f>
        <v>34</v>
      </c>
      <c r="B36" s="33">
        <f>Cheatsheet!A59</f>
        <v>3</v>
      </c>
      <c r="C36" s="33" t="str">
        <f>Cheatsheet!B59</f>
        <v/>
      </c>
      <c r="D36" s="33" t="str">
        <f>Cheatsheet!C59</f>
        <v>Rob Gronkowski</v>
      </c>
      <c r="E36" s="33" t="str">
        <f>Cheatsheet!D59</f>
        <v>NE</v>
      </c>
      <c r="F36" s="33">
        <f>Cheatsheet!E59</f>
        <v>10</v>
      </c>
      <c r="G36" s="70">
        <f>Cheatsheet!F59</f>
        <v>174.3</v>
      </c>
      <c r="H36" s="70">
        <f>Cheatsheet!G59</f>
        <v>8.4363636363636374</v>
      </c>
      <c r="I36" s="33" t="s">
        <v>16</v>
      </c>
      <c r="J36" s="194"/>
      <c r="K36" s="122">
        <f t="shared" si="51"/>
        <v>35</v>
      </c>
      <c r="L36" s="144" t="str">
        <f t="shared" si="27"/>
        <v>K</v>
      </c>
      <c r="M36" s="33">
        <f t="shared" si="28"/>
        <v>2</v>
      </c>
      <c r="N36" s="33" t="str">
        <f t="shared" si="29"/>
        <v/>
      </c>
      <c r="O36" s="52" t="str">
        <f t="shared" si="30"/>
        <v>Matt Prater</v>
      </c>
      <c r="P36" s="52" t="str">
        <f t="shared" si="31"/>
        <v>DEN</v>
      </c>
      <c r="Q36" s="52">
        <f t="shared" si="32"/>
        <v>4</v>
      </c>
      <c r="R36" s="144">
        <f t="shared" si="33"/>
        <v>7.6454545454545553</v>
      </c>
      <c r="S36" s="8">
        <f t="shared" si="34"/>
        <v>145.19999999999999</v>
      </c>
      <c r="T36" s="122">
        <f t="shared" si="52"/>
        <v>115</v>
      </c>
      <c r="U36" s="144" t="str">
        <f t="shared" si="35"/>
        <v>WR</v>
      </c>
      <c r="V36" s="33">
        <f t="shared" si="36"/>
        <v>28</v>
      </c>
      <c r="W36" s="33" t="str">
        <f t="shared" si="37"/>
        <v/>
      </c>
      <c r="X36" s="52" t="str">
        <f t="shared" si="38"/>
        <v>Marques Colston</v>
      </c>
      <c r="Y36" s="52" t="str">
        <f t="shared" si="39"/>
        <v>NO</v>
      </c>
      <c r="Z36" s="52">
        <f t="shared" si="40"/>
        <v>6</v>
      </c>
      <c r="AA36" s="144">
        <f t="shared" si="41"/>
        <v>-27.439393939393909</v>
      </c>
      <c r="AB36" s="8">
        <f t="shared" si="42"/>
        <v>173.6</v>
      </c>
      <c r="AC36" s="122">
        <f t="shared" si="53"/>
        <v>195</v>
      </c>
      <c r="AD36" s="144" t="str">
        <f t="shared" si="43"/>
        <v>TE</v>
      </c>
      <c r="AE36" s="33">
        <f t="shared" si="44"/>
        <v>26</v>
      </c>
      <c r="AF36" s="33" t="str">
        <f t="shared" si="45"/>
        <v/>
      </c>
      <c r="AG36" s="52" t="str">
        <f t="shared" si="46"/>
        <v>Mychal Rivera</v>
      </c>
      <c r="AH36" s="52" t="str">
        <f t="shared" si="47"/>
        <v>OAK</v>
      </c>
      <c r="AI36" s="52">
        <f t="shared" si="48"/>
        <v>5</v>
      </c>
      <c r="AJ36" s="144">
        <f t="shared" si="49"/>
        <v>-81.863636363636374</v>
      </c>
      <c r="AK36" s="156">
        <f t="shared" si="50"/>
        <v>84</v>
      </c>
    </row>
    <row r="37" spans="1:37" ht="12.75" customHeight="1">
      <c r="A37" s="33">
        <f>IF(ISERROR(VLOOKUP(RANK(H37,$H$2:$H$331),$A$2:A36,1,0)),RANK(H37,$H$2:$H$331),IF(ISERROR(VLOOKUP((RANK(H37,$H$2:$H$331)+1),$A$2:A36,1,0)),(RANK(H37,$H$2:$H$331)+1),(RANK(H37,$H$2:$H$331)+2)))</f>
        <v>46</v>
      </c>
      <c r="B37" s="33">
        <f>Cheatsheet!A60</f>
        <v>4</v>
      </c>
      <c r="C37" s="33" t="str">
        <f>Cheatsheet!B60</f>
        <v/>
      </c>
      <c r="D37" s="33" t="str">
        <f>Cheatsheet!C60</f>
        <v>Vernon Davis</v>
      </c>
      <c r="E37" s="33" t="str">
        <f>Cheatsheet!D60</f>
        <v>SF</v>
      </c>
      <c r="F37" s="33">
        <f>Cheatsheet!E60</f>
        <v>8</v>
      </c>
      <c r="G37" s="70">
        <f>Cheatsheet!F60</f>
        <v>168.4</v>
      </c>
      <c r="H37" s="70">
        <f>Cheatsheet!G60</f>
        <v>2.5363636363636317</v>
      </c>
      <c r="I37" s="33" t="s">
        <v>16</v>
      </c>
      <c r="J37" s="194"/>
      <c r="K37" s="122">
        <f t="shared" si="51"/>
        <v>36</v>
      </c>
      <c r="L37" s="144" t="str">
        <f t="shared" si="27"/>
        <v>WR</v>
      </c>
      <c r="M37" s="33">
        <f t="shared" si="28"/>
        <v>11</v>
      </c>
      <c r="N37" s="33" t="str">
        <f t="shared" si="29"/>
        <v/>
      </c>
      <c r="O37" s="52" t="str">
        <f t="shared" si="30"/>
        <v>Andre Johnson</v>
      </c>
      <c r="P37" s="52" t="str">
        <f t="shared" si="31"/>
        <v>HOU</v>
      </c>
      <c r="Q37" s="52">
        <f t="shared" si="32"/>
        <v>10</v>
      </c>
      <c r="R37" s="144">
        <f t="shared" si="33"/>
        <v>7.1606060606060851</v>
      </c>
      <c r="S37" s="8">
        <f t="shared" si="34"/>
        <v>208.2</v>
      </c>
      <c r="T37" s="122">
        <f t="shared" si="52"/>
        <v>116</v>
      </c>
      <c r="U37" s="144" t="str">
        <f t="shared" si="35"/>
        <v>K</v>
      </c>
      <c r="V37" s="33">
        <f t="shared" si="36"/>
        <v>24</v>
      </c>
      <c r="W37" s="33" t="str">
        <f t="shared" si="37"/>
        <v/>
      </c>
      <c r="X37" s="52" t="str">
        <f t="shared" si="38"/>
        <v>Josh Brown</v>
      </c>
      <c r="Y37" s="52" t="str">
        <f t="shared" si="39"/>
        <v>NYG</v>
      </c>
      <c r="Z37" s="52">
        <f t="shared" si="40"/>
        <v>8</v>
      </c>
      <c r="AA37" s="144">
        <f t="shared" si="41"/>
        <v>-27.554545454545433</v>
      </c>
      <c r="AB37" s="8">
        <f t="shared" si="42"/>
        <v>110</v>
      </c>
      <c r="AC37" s="122">
        <f t="shared" si="53"/>
        <v>196</v>
      </c>
      <c r="AD37" s="144" t="str">
        <f t="shared" si="43"/>
        <v>RB</v>
      </c>
      <c r="AE37" s="33">
        <f t="shared" si="44"/>
        <v>39</v>
      </c>
      <c r="AF37" s="33" t="str">
        <f t="shared" si="45"/>
        <v/>
      </c>
      <c r="AG37" s="52" t="str">
        <f t="shared" si="46"/>
        <v>Terrance West</v>
      </c>
      <c r="AH37" s="52" t="str">
        <f t="shared" si="47"/>
        <v>CLE</v>
      </c>
      <c r="AI37" s="52">
        <f t="shared" si="48"/>
        <v>4</v>
      </c>
      <c r="AJ37" s="144">
        <f t="shared" si="49"/>
        <v>-83.19393939393936</v>
      </c>
      <c r="AK37" s="156">
        <f t="shared" si="50"/>
        <v>122</v>
      </c>
    </row>
    <row r="38" spans="1:37" ht="12.75" customHeight="1">
      <c r="A38" s="33">
        <f>IF(ISERROR(VLOOKUP(RANK(H38,$H$2:$H$331),$A$2:A37,1,0)),RANK(H38,$H$2:$H$331),IF(ISERROR(VLOOKUP((RANK(H38,$H$2:$H$331)+1),$A$2:A37,1,0)),(RANK(H38,$H$2:$H$331)+1),(RANK(H38,$H$2:$H$331)+2)))</f>
        <v>60</v>
      </c>
      <c r="B38" s="33">
        <f>Cheatsheet!A61</f>
        <v>5</v>
      </c>
      <c r="C38" s="33" t="str">
        <f>Cheatsheet!B61</f>
        <v/>
      </c>
      <c r="D38" s="33" t="str">
        <f>Cheatsheet!C61</f>
        <v>Jordan Cameron</v>
      </c>
      <c r="E38" s="33" t="str">
        <f>Cheatsheet!D61</f>
        <v>CLE</v>
      </c>
      <c r="F38" s="33">
        <f>Cheatsheet!E61</f>
        <v>4</v>
      </c>
      <c r="G38" s="70">
        <f>Cheatsheet!F61</f>
        <v>162</v>
      </c>
      <c r="H38" s="70">
        <f>Cheatsheet!G61</f>
        <v>-3.863636363636374</v>
      </c>
      <c r="I38" s="33" t="s">
        <v>16</v>
      </c>
      <c r="J38" s="194"/>
      <c r="K38" s="122">
        <f t="shared" si="51"/>
        <v>37</v>
      </c>
      <c r="L38" s="144" t="str">
        <f t="shared" si="27"/>
        <v>DST</v>
      </c>
      <c r="M38" s="33">
        <f t="shared" si="28"/>
        <v>3</v>
      </c>
      <c r="N38" s="33" t="str">
        <f t="shared" si="29"/>
        <v/>
      </c>
      <c r="O38" s="52" t="str">
        <f t="shared" si="30"/>
        <v>Cardinals</v>
      </c>
      <c r="P38" s="52" t="str">
        <f t="shared" si="31"/>
        <v>ARI</v>
      </c>
      <c r="Q38" s="52">
        <f t="shared" si="32"/>
        <v>4</v>
      </c>
      <c r="R38" s="144">
        <f t="shared" si="33"/>
        <v>5.5545454545454618</v>
      </c>
      <c r="S38" s="8">
        <f t="shared" si="34"/>
        <v>117.3</v>
      </c>
      <c r="T38" s="122">
        <f t="shared" si="52"/>
        <v>117</v>
      </c>
      <c r="U38" s="144" t="str">
        <f t="shared" si="35"/>
        <v>RB</v>
      </c>
      <c r="V38" s="33">
        <f t="shared" si="36"/>
        <v>27</v>
      </c>
      <c r="W38" s="33" t="str">
        <f t="shared" si="37"/>
        <v/>
      </c>
      <c r="X38" s="52" t="str">
        <f t="shared" si="38"/>
        <v>Ryan Mathews</v>
      </c>
      <c r="Y38" s="52" t="str">
        <f t="shared" si="39"/>
        <v>SD</v>
      </c>
      <c r="Z38" s="52">
        <f t="shared" si="40"/>
        <v>10</v>
      </c>
      <c r="AA38" s="144">
        <f t="shared" si="41"/>
        <v>-27.793939393939354</v>
      </c>
      <c r="AB38" s="8">
        <f t="shared" si="42"/>
        <v>177.4</v>
      </c>
      <c r="AC38" s="122">
        <f t="shared" si="53"/>
        <v>197</v>
      </c>
      <c r="AD38" s="144" t="str">
        <f t="shared" si="43"/>
        <v>TE</v>
      </c>
      <c r="AE38" s="33">
        <f t="shared" si="44"/>
        <v>27</v>
      </c>
      <c r="AF38" s="33" t="str">
        <f t="shared" si="45"/>
        <v/>
      </c>
      <c r="AG38" s="52" t="str">
        <f t="shared" si="46"/>
        <v>Travis Kelce</v>
      </c>
      <c r="AH38" s="52" t="str">
        <f t="shared" si="47"/>
        <v>KC</v>
      </c>
      <c r="AI38" s="52">
        <f t="shared" si="48"/>
        <v>6</v>
      </c>
      <c r="AJ38" s="144">
        <f t="shared" si="49"/>
        <v>-87.26363636363638</v>
      </c>
      <c r="AK38" s="156">
        <f t="shared" si="50"/>
        <v>78.599999999999994</v>
      </c>
    </row>
    <row r="39" spans="1:37" ht="12.75" customHeight="1">
      <c r="A39" s="33">
        <f>IF(ISERROR(VLOOKUP(RANK(H39,$H$2:$H$331),$A$2:A38,1,0)),RANK(H39,$H$2:$H$331),IF(ISERROR(VLOOKUP((RANK(H39,$H$2:$H$331)+1),$A$2:A38,1,0)),(RANK(H39,$H$2:$H$331)+1),(RANK(H39,$H$2:$H$331)+2)))</f>
        <v>68</v>
      </c>
      <c r="B39" s="33">
        <f>Cheatsheet!A62</f>
        <v>6</v>
      </c>
      <c r="C39" s="33" t="str">
        <f>Cheatsheet!B62</f>
        <v/>
      </c>
      <c r="D39" s="33" t="str">
        <f>Cheatsheet!C62</f>
        <v>Jason Witten</v>
      </c>
      <c r="E39" s="33" t="str">
        <f>Cheatsheet!D62</f>
        <v>DAL</v>
      </c>
      <c r="F39" s="33">
        <f>Cheatsheet!E62</f>
        <v>11</v>
      </c>
      <c r="G39" s="70">
        <f>Cheatsheet!F62</f>
        <v>159.1</v>
      </c>
      <c r="H39" s="70">
        <f>Cheatsheet!G62</f>
        <v>-6.7636363636363797</v>
      </c>
      <c r="I39" s="33" t="s">
        <v>16</v>
      </c>
      <c r="J39" s="194"/>
      <c r="K39" s="122">
        <f t="shared" si="51"/>
        <v>38</v>
      </c>
      <c r="L39" s="144" t="str">
        <f t="shared" si="27"/>
        <v>QB</v>
      </c>
      <c r="M39" s="33">
        <f t="shared" si="28"/>
        <v>7</v>
      </c>
      <c r="N39" s="33" t="str">
        <f t="shared" si="29"/>
        <v/>
      </c>
      <c r="O39" s="52" t="str">
        <f t="shared" si="30"/>
        <v>Cam Newton</v>
      </c>
      <c r="P39" s="52" t="str">
        <f t="shared" si="31"/>
        <v>CAR</v>
      </c>
      <c r="Q39" s="52">
        <f t="shared" si="32"/>
        <v>12</v>
      </c>
      <c r="R39" s="144">
        <f t="shared" si="33"/>
        <v>5.0818181818182211</v>
      </c>
      <c r="S39" s="8">
        <f t="shared" si="34"/>
        <v>343.2</v>
      </c>
      <c r="T39" s="122">
        <f t="shared" si="52"/>
        <v>118</v>
      </c>
      <c r="U39" s="144" t="str">
        <f t="shared" si="35"/>
        <v>K</v>
      </c>
      <c r="V39" s="33">
        <f t="shared" si="36"/>
        <v>25</v>
      </c>
      <c r="W39" s="33" t="str">
        <f t="shared" si="37"/>
        <v/>
      </c>
      <c r="X39" s="52" t="str">
        <f t="shared" si="38"/>
        <v>Connor Barth</v>
      </c>
      <c r="Y39" s="52" t="str">
        <f t="shared" si="39"/>
        <v>TB</v>
      </c>
      <c r="Z39" s="52">
        <f t="shared" si="40"/>
        <v>7</v>
      </c>
      <c r="AA39" s="144">
        <f t="shared" si="41"/>
        <v>-28.254545454545436</v>
      </c>
      <c r="AB39" s="8">
        <f t="shared" si="42"/>
        <v>109.3</v>
      </c>
      <c r="AC39" s="122">
        <f t="shared" si="53"/>
        <v>198</v>
      </c>
      <c r="AD39" s="144" t="str">
        <f t="shared" si="43"/>
        <v>QB</v>
      </c>
      <c r="AE39" s="33">
        <f t="shared" si="44"/>
        <v>24</v>
      </c>
      <c r="AF39" s="33" t="str">
        <f t="shared" si="45"/>
        <v/>
      </c>
      <c r="AG39" s="52" t="str">
        <f t="shared" si="46"/>
        <v>Josh McCown</v>
      </c>
      <c r="AH39" s="52" t="str">
        <f t="shared" si="47"/>
        <v>TB</v>
      </c>
      <c r="AI39" s="52">
        <f t="shared" si="48"/>
        <v>7</v>
      </c>
      <c r="AJ39" s="144">
        <f t="shared" si="49"/>
        <v>-89.618181818181768</v>
      </c>
      <c r="AK39" s="156">
        <f t="shared" si="50"/>
        <v>248.5</v>
      </c>
    </row>
    <row r="40" spans="1:37" ht="12.75" customHeight="1">
      <c r="A40" s="33">
        <f>IF(ISERROR(VLOOKUP(RANK(H40,$H$2:$H$331),$A$2:A39,1,0)),RANK(H40,$H$2:$H$331),IF(ISERROR(VLOOKUP((RANK(H40,$H$2:$H$331)+1),$A$2:A39,1,0)),(RANK(H40,$H$2:$H$331)+1),(RANK(H40,$H$2:$H$331)+2)))</f>
        <v>78</v>
      </c>
      <c r="B40" s="33">
        <f>Cheatsheet!A63</f>
        <v>7</v>
      </c>
      <c r="C40" s="33" t="str">
        <f>Cheatsheet!B63</f>
        <v/>
      </c>
      <c r="D40" s="33" t="str">
        <f>Cheatsheet!C63</f>
        <v>Dennis Pitta</v>
      </c>
      <c r="E40" s="33" t="str">
        <f>Cheatsheet!D63</f>
        <v>BAL</v>
      </c>
      <c r="F40" s="33">
        <f>Cheatsheet!E63</f>
        <v>11</v>
      </c>
      <c r="G40" s="70">
        <f>Cheatsheet!F63</f>
        <v>152.9</v>
      </c>
      <c r="H40" s="70">
        <f>Cheatsheet!G63</f>
        <v>-12.963636363636368</v>
      </c>
      <c r="I40" s="33" t="s">
        <v>16</v>
      </c>
      <c r="J40" s="194"/>
      <c r="K40" s="122">
        <f t="shared" si="51"/>
        <v>39</v>
      </c>
      <c r="L40" s="144" t="str">
        <f t="shared" si="27"/>
        <v>QB</v>
      </c>
      <c r="M40" s="33">
        <f t="shared" si="28"/>
        <v>8</v>
      </c>
      <c r="N40" s="33" t="str">
        <f t="shared" si="29"/>
        <v/>
      </c>
      <c r="O40" s="52" t="str">
        <f t="shared" si="30"/>
        <v>Colin Kaepernick</v>
      </c>
      <c r="P40" s="52" t="str">
        <f t="shared" si="31"/>
        <v>SF</v>
      </c>
      <c r="Q40" s="52">
        <f t="shared" si="32"/>
        <v>8</v>
      </c>
      <c r="R40" s="144">
        <f t="shared" si="33"/>
        <v>5.0818181818182211</v>
      </c>
      <c r="S40" s="8">
        <f t="shared" si="34"/>
        <v>343.2</v>
      </c>
      <c r="T40" s="122">
        <f t="shared" si="52"/>
        <v>119</v>
      </c>
      <c r="U40" s="144" t="str">
        <f t="shared" si="35"/>
        <v>DST</v>
      </c>
      <c r="V40" s="33">
        <f t="shared" si="36"/>
        <v>15</v>
      </c>
      <c r="W40" s="33" t="str">
        <f t="shared" si="37"/>
        <v/>
      </c>
      <c r="X40" s="52" t="str">
        <f t="shared" si="38"/>
        <v>Buccaneers</v>
      </c>
      <c r="Y40" s="52" t="str">
        <f t="shared" si="39"/>
        <v>TB</v>
      </c>
      <c r="Z40" s="52">
        <f t="shared" si="40"/>
        <v>7</v>
      </c>
      <c r="AA40" s="144">
        <f t="shared" si="41"/>
        <v>-28.545454545454533</v>
      </c>
      <c r="AB40" s="8">
        <f t="shared" si="42"/>
        <v>83.2</v>
      </c>
      <c r="AC40" s="122">
        <f t="shared" si="53"/>
        <v>199</v>
      </c>
      <c r="AD40" s="144" t="str">
        <f t="shared" si="43"/>
        <v>TE</v>
      </c>
      <c r="AE40" s="33">
        <f t="shared" si="44"/>
        <v>28</v>
      </c>
      <c r="AF40" s="33" t="str">
        <f t="shared" si="45"/>
        <v/>
      </c>
      <c r="AG40" s="52" t="str">
        <f t="shared" si="46"/>
        <v>Brent Celek</v>
      </c>
      <c r="AH40" s="52" t="str">
        <f t="shared" si="47"/>
        <v>PHI</v>
      </c>
      <c r="AI40" s="52">
        <f t="shared" si="48"/>
        <v>7</v>
      </c>
      <c r="AJ40" s="144">
        <f t="shared" si="49"/>
        <v>-89.863636363636374</v>
      </c>
      <c r="AK40" s="156">
        <f t="shared" si="50"/>
        <v>76</v>
      </c>
    </row>
    <row r="41" spans="1:37" ht="12.75" customHeight="1">
      <c r="A41" s="33">
        <f>IF(ISERROR(VLOOKUP(RANK(H41,$H$2:$H$331),$A$2:A40,1,0)),RANK(H41,$H$2:$H$331),IF(ISERROR(VLOOKUP((RANK(H41,$H$2:$H$331)+1),$A$2:A40,1,0)),(RANK(H41,$H$2:$H$331)+1),(RANK(H41,$H$2:$H$331)+2)))</f>
        <v>84</v>
      </c>
      <c r="B41" s="33">
        <f>Cheatsheet!A64</f>
        <v>8</v>
      </c>
      <c r="C41" s="33" t="str">
        <f>Cheatsheet!B64</f>
        <v/>
      </c>
      <c r="D41" s="33" t="str">
        <f>Cheatsheet!C64</f>
        <v>Greg Olsen</v>
      </c>
      <c r="E41" s="33" t="str">
        <f>Cheatsheet!D64</f>
        <v>CAR</v>
      </c>
      <c r="F41" s="33">
        <f>Cheatsheet!E64</f>
        <v>12</v>
      </c>
      <c r="G41" s="70">
        <f>Cheatsheet!F64</f>
        <v>150.5</v>
      </c>
      <c r="H41" s="70">
        <f>Cheatsheet!G64</f>
        <v>-15.363636363636374</v>
      </c>
      <c r="I41" s="33" t="s">
        <v>16</v>
      </c>
      <c r="J41" s="194"/>
      <c r="K41" s="122">
        <f t="shared" si="51"/>
        <v>40</v>
      </c>
      <c r="L41" s="144" t="str">
        <f t="shared" si="27"/>
        <v>RB</v>
      </c>
      <c r="M41" s="33">
        <f t="shared" si="28"/>
        <v>13</v>
      </c>
      <c r="N41" s="33" t="str">
        <f t="shared" si="29"/>
        <v/>
      </c>
      <c r="O41" s="52" t="str">
        <f t="shared" si="30"/>
        <v>Zac Stacy</v>
      </c>
      <c r="P41" s="52" t="str">
        <f t="shared" si="31"/>
        <v>STL</v>
      </c>
      <c r="Q41" s="52">
        <f t="shared" si="32"/>
        <v>4</v>
      </c>
      <c r="R41" s="144">
        <f t="shared" si="33"/>
        <v>4.3060606060606403</v>
      </c>
      <c r="S41" s="8">
        <f t="shared" si="34"/>
        <v>209.5</v>
      </c>
      <c r="T41" s="122">
        <f t="shared" si="52"/>
        <v>120</v>
      </c>
      <c r="U41" s="144" t="str">
        <f t="shared" si="35"/>
        <v>WR</v>
      </c>
      <c r="V41" s="33">
        <f t="shared" si="36"/>
        <v>29</v>
      </c>
      <c r="W41" s="33" t="str">
        <f t="shared" si="37"/>
        <v/>
      </c>
      <c r="X41" s="52" t="str">
        <f t="shared" si="38"/>
        <v>Mike Wallace</v>
      </c>
      <c r="Y41" s="52" t="str">
        <f t="shared" si="39"/>
        <v>MIA</v>
      </c>
      <c r="Z41" s="52">
        <f t="shared" si="40"/>
        <v>5</v>
      </c>
      <c r="AA41" s="144">
        <f t="shared" si="41"/>
        <v>-29.039393939393904</v>
      </c>
      <c r="AB41" s="8">
        <f t="shared" si="42"/>
        <v>172</v>
      </c>
      <c r="AC41" s="122">
        <f t="shared" si="53"/>
        <v>200</v>
      </c>
      <c r="AD41" s="144" t="str">
        <f t="shared" si="43"/>
        <v>RB</v>
      </c>
      <c r="AE41" s="33">
        <f t="shared" si="44"/>
        <v>40</v>
      </c>
      <c r="AF41" s="33" t="str">
        <f t="shared" si="45"/>
        <v/>
      </c>
      <c r="AG41" s="52" t="str">
        <f t="shared" si="46"/>
        <v>Khiry Robinson</v>
      </c>
      <c r="AH41" s="52" t="str">
        <f t="shared" si="47"/>
        <v>NO</v>
      </c>
      <c r="AI41" s="52">
        <f t="shared" si="48"/>
        <v>6</v>
      </c>
      <c r="AJ41" s="144">
        <f t="shared" si="49"/>
        <v>-90.993939393939357</v>
      </c>
      <c r="AK41" s="156">
        <f t="shared" si="50"/>
        <v>114.2</v>
      </c>
    </row>
    <row r="42" spans="1:37" ht="12.75" customHeight="1">
      <c r="A42" s="33">
        <f>IF(ISERROR(VLOOKUP(RANK(H42,$H$2:$H$331),$A$2:A41,1,0)),RANK(H42,$H$2:$H$331),IF(ISERROR(VLOOKUP((RANK(H42,$H$2:$H$331)+1),$A$2:A41,1,0)),(RANK(H42,$H$2:$H$331)+1),(RANK(H42,$H$2:$H$331)+2)))</f>
        <v>126</v>
      </c>
      <c r="B42" s="33">
        <f>Cheatsheet!A67</f>
        <v>11</v>
      </c>
      <c r="C42" s="33" t="str">
        <f>Cheatsheet!B67</f>
        <v/>
      </c>
      <c r="D42" s="33" t="str">
        <f>Cheatsheet!C67</f>
        <v>Martellus Bennett</v>
      </c>
      <c r="E42" s="33" t="str">
        <f>Cheatsheet!D67</f>
        <v>CHI</v>
      </c>
      <c r="F42" s="33">
        <f>Cheatsheet!E67</f>
        <v>9</v>
      </c>
      <c r="G42" s="70">
        <f>Cheatsheet!F67</f>
        <v>134</v>
      </c>
      <c r="H42" s="70">
        <f>Cheatsheet!G67</f>
        <v>-31.863636363636374</v>
      </c>
      <c r="I42" s="33" t="s">
        <v>16</v>
      </c>
      <c r="J42" s="194"/>
      <c r="K42" s="122">
        <f t="shared" si="51"/>
        <v>41</v>
      </c>
      <c r="L42" s="144" t="str">
        <f t="shared" si="27"/>
        <v>QB</v>
      </c>
      <c r="M42" s="33">
        <f t="shared" si="28"/>
        <v>9</v>
      </c>
      <c r="N42" s="33" t="str">
        <f t="shared" si="29"/>
        <v/>
      </c>
      <c r="O42" s="52" t="str">
        <f t="shared" si="30"/>
        <v>Matt Ryan</v>
      </c>
      <c r="P42" s="52" t="str">
        <f t="shared" si="31"/>
        <v>ATL</v>
      </c>
      <c r="Q42" s="52">
        <f t="shared" si="32"/>
        <v>9</v>
      </c>
      <c r="R42" s="144">
        <f t="shared" si="33"/>
        <v>4.1818181818182438</v>
      </c>
      <c r="S42" s="8">
        <f t="shared" si="34"/>
        <v>342.3</v>
      </c>
      <c r="T42" s="122">
        <f t="shared" si="52"/>
        <v>121</v>
      </c>
      <c r="U42" s="144" t="str">
        <f t="shared" si="35"/>
        <v>DST</v>
      </c>
      <c r="V42" s="33">
        <f t="shared" si="36"/>
        <v>16</v>
      </c>
      <c r="W42" s="33" t="str">
        <f t="shared" si="37"/>
        <v/>
      </c>
      <c r="X42" s="52" t="str">
        <f t="shared" si="38"/>
        <v>Dolphins</v>
      </c>
      <c r="Y42" s="52" t="str">
        <f t="shared" si="39"/>
        <v>MIA</v>
      </c>
      <c r="Z42" s="52">
        <f t="shared" si="40"/>
        <v>5</v>
      </c>
      <c r="AA42" s="144">
        <f t="shared" si="41"/>
        <v>-29.545454545454533</v>
      </c>
      <c r="AB42" s="8">
        <f t="shared" si="42"/>
        <v>82.2</v>
      </c>
      <c r="AC42" s="122">
        <f t="shared" si="53"/>
        <v>201</v>
      </c>
      <c r="AD42" s="144" t="str">
        <f t="shared" si="43"/>
        <v>WR</v>
      </c>
      <c r="AE42" s="33">
        <f t="shared" si="44"/>
        <v>51</v>
      </c>
      <c r="AF42" s="33" t="str">
        <f t="shared" si="45"/>
        <v/>
      </c>
      <c r="AG42" s="52" t="str">
        <f t="shared" si="46"/>
        <v>Steve Smith</v>
      </c>
      <c r="AH42" s="52" t="str">
        <f t="shared" si="47"/>
        <v>BAL</v>
      </c>
      <c r="AI42" s="52">
        <f t="shared" si="48"/>
        <v>11</v>
      </c>
      <c r="AJ42" s="144">
        <f t="shared" si="49"/>
        <v>-91.239393939393906</v>
      </c>
      <c r="AK42" s="156">
        <f t="shared" si="50"/>
        <v>109.8</v>
      </c>
    </row>
    <row r="43" spans="1:37" ht="12.75" customHeight="1">
      <c r="A43" s="33">
        <f>IF(ISERROR(VLOOKUP(RANK(H43,$H$2:$H$331),$A$2:A42,1,0)),RANK(H43,$H$2:$H$331),IF(ISERROR(VLOOKUP((RANK(H43,$H$2:$H$331)+1),$A$2:A42,1,0)),(RANK(H43,$H$2:$H$331)+1),(RANK(H43,$H$2:$H$331)+2)))</f>
        <v>133</v>
      </c>
      <c r="B43" s="33">
        <f>Cheatsheet!A68</f>
        <v>12</v>
      </c>
      <c r="C43" s="33" t="str">
        <f>Cheatsheet!B68</f>
        <v/>
      </c>
      <c r="D43" s="33" t="str">
        <f>Cheatsheet!C68</f>
        <v>Zach Ertz</v>
      </c>
      <c r="E43" s="33" t="str">
        <f>Cheatsheet!D68</f>
        <v>PHI</v>
      </c>
      <c r="F43" s="33">
        <f>Cheatsheet!E68</f>
        <v>7</v>
      </c>
      <c r="G43" s="70">
        <f>Cheatsheet!F68</f>
        <v>128.19999999999999</v>
      </c>
      <c r="H43" s="70">
        <f>Cheatsheet!G68</f>
        <v>-37.663636363636385</v>
      </c>
      <c r="I43" s="33" t="s">
        <v>16</v>
      </c>
      <c r="J43" s="194"/>
      <c r="K43" s="122">
        <f t="shared" si="51"/>
        <v>42</v>
      </c>
      <c r="L43" s="144" t="str">
        <f t="shared" si="27"/>
        <v>RB</v>
      </c>
      <c r="M43" s="33">
        <f t="shared" si="28"/>
        <v>14</v>
      </c>
      <c r="N43" s="33" t="str">
        <f t="shared" si="29"/>
        <v/>
      </c>
      <c r="O43" s="52" t="str">
        <f t="shared" si="30"/>
        <v>Andre Ellington</v>
      </c>
      <c r="P43" s="52" t="str">
        <f t="shared" si="31"/>
        <v>ARI</v>
      </c>
      <c r="Q43" s="52">
        <f t="shared" si="32"/>
        <v>4</v>
      </c>
      <c r="R43" s="144">
        <f t="shared" si="33"/>
        <v>4.006060606060629</v>
      </c>
      <c r="S43" s="8">
        <f t="shared" si="34"/>
        <v>209.2</v>
      </c>
      <c r="T43" s="122">
        <f t="shared" si="52"/>
        <v>122</v>
      </c>
      <c r="U43" s="144" t="str">
        <f t="shared" si="35"/>
        <v>WR</v>
      </c>
      <c r="V43" s="33">
        <f t="shared" si="36"/>
        <v>30</v>
      </c>
      <c r="W43" s="33" t="str">
        <f t="shared" si="37"/>
        <v/>
      </c>
      <c r="X43" s="52" t="str">
        <f t="shared" si="38"/>
        <v>DeSean Jackson</v>
      </c>
      <c r="Y43" s="52" t="str">
        <f t="shared" si="39"/>
        <v>WSH</v>
      </c>
      <c r="Z43" s="52">
        <f t="shared" si="40"/>
        <v>10</v>
      </c>
      <c r="AA43" s="144">
        <f t="shared" si="41"/>
        <v>-29.839393939393915</v>
      </c>
      <c r="AB43" s="8">
        <f t="shared" si="42"/>
        <v>171.2</v>
      </c>
      <c r="AC43" s="122">
        <f t="shared" si="53"/>
        <v>202</v>
      </c>
      <c r="AD43" s="144" t="str">
        <f t="shared" si="43"/>
        <v>TE</v>
      </c>
      <c r="AE43" s="33">
        <f t="shared" si="44"/>
        <v>29</v>
      </c>
      <c r="AF43" s="33" t="str">
        <f t="shared" si="45"/>
        <v/>
      </c>
      <c r="AG43" s="52" t="str">
        <f t="shared" si="46"/>
        <v>Zach Miller</v>
      </c>
      <c r="AH43" s="52" t="str">
        <f t="shared" si="47"/>
        <v>SEA</v>
      </c>
      <c r="AI43" s="52">
        <f t="shared" si="48"/>
        <v>4</v>
      </c>
      <c r="AJ43" s="144">
        <f t="shared" si="49"/>
        <v>-91.963636363636368</v>
      </c>
      <c r="AK43" s="156">
        <f t="shared" si="50"/>
        <v>73.900000000000006</v>
      </c>
    </row>
    <row r="44" spans="1:37" ht="12.75" customHeight="1">
      <c r="A44" s="33">
        <f>IF(ISERROR(VLOOKUP(RANK(H44,$H$2:$H$331),$A$2:A43,1,0)),RANK(H44,$H$2:$H$331),IF(ISERROR(VLOOKUP((RANK(H44,$H$2:$H$331)+1),$A$2:A43,1,0)),(RANK(H44,$H$2:$H$331)+1),(RANK(H44,$H$2:$H$331)+2)))</f>
        <v>138</v>
      </c>
      <c r="B44" s="33">
        <f>Cheatsheet!A69</f>
        <v>13</v>
      </c>
      <c r="C44" s="33" t="str">
        <f>Cheatsheet!B69</f>
        <v/>
      </c>
      <c r="D44" s="33" t="str">
        <f>Cheatsheet!C69</f>
        <v>Charles Clay</v>
      </c>
      <c r="E44" s="33" t="str">
        <f>Cheatsheet!D69</f>
        <v>MIA</v>
      </c>
      <c r="F44" s="33">
        <f>Cheatsheet!E69</f>
        <v>5</v>
      </c>
      <c r="G44" s="70">
        <f>Cheatsheet!F69</f>
        <v>126.4</v>
      </c>
      <c r="H44" s="70">
        <f>Cheatsheet!G69</f>
        <v>-39.463636363636368</v>
      </c>
      <c r="I44" s="33" t="s">
        <v>16</v>
      </c>
      <c r="J44" s="194"/>
      <c r="K44" s="122">
        <f t="shared" si="51"/>
        <v>43</v>
      </c>
      <c r="L44" s="144" t="str">
        <f t="shared" si="27"/>
        <v>K</v>
      </c>
      <c r="M44" s="33">
        <f t="shared" si="28"/>
        <v>3</v>
      </c>
      <c r="N44" s="33" t="str">
        <f t="shared" si="29"/>
        <v/>
      </c>
      <c r="O44" s="52" t="str">
        <f t="shared" si="30"/>
        <v>Phil Dawson</v>
      </c>
      <c r="P44" s="52" t="str">
        <f t="shared" si="31"/>
        <v>SF</v>
      </c>
      <c r="Q44" s="52">
        <f t="shared" si="32"/>
        <v>8</v>
      </c>
      <c r="R44" s="144">
        <f t="shared" si="33"/>
        <v>3.745454545454578</v>
      </c>
      <c r="S44" s="8">
        <f t="shared" si="34"/>
        <v>141.30000000000001</v>
      </c>
      <c r="T44" s="122">
        <f t="shared" si="52"/>
        <v>123</v>
      </c>
      <c r="U44" s="144" t="str">
        <f t="shared" si="35"/>
        <v>K</v>
      </c>
      <c r="V44" s="33">
        <f t="shared" si="36"/>
        <v>26</v>
      </c>
      <c r="W44" s="33" t="str">
        <f t="shared" si="37"/>
        <v/>
      </c>
      <c r="X44" s="52" t="str">
        <f t="shared" si="38"/>
        <v>Kai Forbath</v>
      </c>
      <c r="Y44" s="52" t="str">
        <f t="shared" si="39"/>
        <v>WSH</v>
      </c>
      <c r="Z44" s="52">
        <f t="shared" si="40"/>
        <v>10</v>
      </c>
      <c r="AA44" s="144">
        <f t="shared" si="41"/>
        <v>-29.954545454545439</v>
      </c>
      <c r="AB44" s="8">
        <f t="shared" si="42"/>
        <v>107.6</v>
      </c>
      <c r="AC44" s="122">
        <f t="shared" si="53"/>
        <v>203</v>
      </c>
      <c r="AD44" s="144" t="str">
        <f t="shared" si="43"/>
        <v>TE</v>
      </c>
      <c r="AE44" s="33">
        <f t="shared" si="44"/>
        <v>30</v>
      </c>
      <c r="AF44" s="33" t="str">
        <f t="shared" si="45"/>
        <v/>
      </c>
      <c r="AG44" s="52" t="str">
        <f t="shared" si="46"/>
        <v>Jermaine Gresham</v>
      </c>
      <c r="AH44" s="52" t="str">
        <f t="shared" si="47"/>
        <v>CIN</v>
      </c>
      <c r="AI44" s="52">
        <f t="shared" si="48"/>
        <v>4</v>
      </c>
      <c r="AJ44" s="144">
        <f t="shared" si="49"/>
        <v>-92.563636363636377</v>
      </c>
      <c r="AK44" s="156">
        <f t="shared" si="50"/>
        <v>73.3</v>
      </c>
    </row>
    <row r="45" spans="1:37" ht="12.75" customHeight="1">
      <c r="A45" s="33">
        <f>IF(ISERROR(VLOOKUP(RANK(H45,$H$2:$H$331),$A$2:A44,1,0)),RANK(H45,$H$2:$H$331),IF(ISERROR(VLOOKUP((RANK(H45,$H$2:$H$331)+1),$A$2:A44,1,0)),(RANK(H45,$H$2:$H$331)+1),(RANK(H45,$H$2:$H$331)+2)))</f>
        <v>139</v>
      </c>
      <c r="B45" s="33">
        <f>Cheatsheet!A70</f>
        <v>14</v>
      </c>
      <c r="C45" s="33" t="str">
        <f>Cheatsheet!B70</f>
        <v/>
      </c>
      <c r="D45" s="33" t="str">
        <f>Cheatsheet!C70</f>
        <v>Antonio Gates</v>
      </c>
      <c r="E45" s="33" t="str">
        <f>Cheatsheet!D70</f>
        <v>SD</v>
      </c>
      <c r="F45" s="33">
        <f>Cheatsheet!E70</f>
        <v>10</v>
      </c>
      <c r="G45" s="70">
        <f>Cheatsheet!F70</f>
        <v>125.9</v>
      </c>
      <c r="H45" s="70">
        <f>Cheatsheet!G70</f>
        <v>-39.963636363636368</v>
      </c>
      <c r="I45" s="33" t="s">
        <v>16</v>
      </c>
      <c r="J45" s="194"/>
      <c r="K45" s="122">
        <f t="shared" si="51"/>
        <v>44</v>
      </c>
      <c r="L45" s="144" t="str">
        <f t="shared" si="27"/>
        <v>K</v>
      </c>
      <c r="M45" s="33">
        <f t="shared" si="28"/>
        <v>4</v>
      </c>
      <c r="N45" s="33" t="str">
        <f t="shared" si="29"/>
        <v/>
      </c>
      <c r="O45" s="52" t="str">
        <f t="shared" si="30"/>
        <v>Justin Tucker</v>
      </c>
      <c r="P45" s="52" t="str">
        <f t="shared" si="31"/>
        <v>BAL</v>
      </c>
      <c r="Q45" s="52">
        <f t="shared" si="32"/>
        <v>11</v>
      </c>
      <c r="R45" s="144">
        <f t="shared" si="33"/>
        <v>3.045454545454561</v>
      </c>
      <c r="S45" s="8">
        <f t="shared" si="34"/>
        <v>140.6</v>
      </c>
      <c r="T45" s="122">
        <f t="shared" si="52"/>
        <v>124</v>
      </c>
      <c r="U45" s="144" t="str">
        <f t="shared" si="35"/>
        <v>DST</v>
      </c>
      <c r="V45" s="33">
        <f t="shared" si="36"/>
        <v>17</v>
      </c>
      <c r="W45" s="33" t="str">
        <f t="shared" si="37"/>
        <v/>
      </c>
      <c r="X45" s="52" t="str">
        <f t="shared" si="38"/>
        <v>Texans</v>
      </c>
      <c r="Y45" s="52" t="str">
        <f t="shared" si="39"/>
        <v>HOU</v>
      </c>
      <c r="Z45" s="52">
        <f t="shared" si="40"/>
        <v>10</v>
      </c>
      <c r="AA45" s="144">
        <f t="shared" si="41"/>
        <v>-31.245454545454535</v>
      </c>
      <c r="AB45" s="8">
        <f t="shared" si="42"/>
        <v>80.5</v>
      </c>
      <c r="AC45" s="122">
        <f t="shared" si="53"/>
        <v>204</v>
      </c>
      <c r="AD45" s="144" t="str">
        <f t="shared" si="43"/>
        <v>RB</v>
      </c>
      <c r="AE45" s="33">
        <f t="shared" si="44"/>
        <v>41</v>
      </c>
      <c r="AF45" s="33" t="str">
        <f t="shared" si="45"/>
        <v/>
      </c>
      <c r="AG45" s="52" t="str">
        <f t="shared" si="46"/>
        <v>Bernard Pierce</v>
      </c>
      <c r="AH45" s="52" t="str">
        <f t="shared" si="47"/>
        <v>BAL</v>
      </c>
      <c r="AI45" s="52">
        <f t="shared" si="48"/>
        <v>11</v>
      </c>
      <c r="AJ45" s="144">
        <f t="shared" si="49"/>
        <v>-92.793939393939354</v>
      </c>
      <c r="AK45" s="156">
        <f t="shared" si="50"/>
        <v>112.4</v>
      </c>
    </row>
    <row r="46" spans="1:37" ht="12.75" customHeight="1">
      <c r="A46" s="33">
        <f>IF(ISERROR(VLOOKUP(RANK(H46,$H$2:$H$331),$A$2:A45,1,0)),RANK(H46,$H$2:$H$331),IF(ISERROR(VLOOKUP((RANK(H46,$H$2:$H$331)+1),$A$2:A45,1,0)),(RANK(H46,$H$2:$H$331)+1),(RANK(H46,$H$2:$H$331)+2)))</f>
        <v>143</v>
      </c>
      <c r="B46" s="33">
        <f>Cheatsheet!A71</f>
        <v>15</v>
      </c>
      <c r="C46" s="33" t="str">
        <f>Cheatsheet!B71</f>
        <v/>
      </c>
      <c r="D46" s="33" t="str">
        <f>Cheatsheet!C71</f>
        <v>Heath Miller</v>
      </c>
      <c r="E46" s="33" t="str">
        <f>Cheatsheet!D71</f>
        <v>PIT</v>
      </c>
      <c r="F46" s="33">
        <f>Cheatsheet!E71</f>
        <v>12</v>
      </c>
      <c r="G46" s="70">
        <f>Cheatsheet!F71</f>
        <v>123.8</v>
      </c>
      <c r="H46" s="70">
        <f>Cheatsheet!G71</f>
        <v>-42.063636363636377</v>
      </c>
      <c r="I46" s="33" t="s">
        <v>16</v>
      </c>
      <c r="J46" s="194"/>
      <c r="K46" s="122">
        <f t="shared" si="51"/>
        <v>45</v>
      </c>
      <c r="L46" s="144" t="str">
        <f t="shared" si="27"/>
        <v>K</v>
      </c>
      <c r="M46" s="33">
        <f t="shared" si="28"/>
        <v>5</v>
      </c>
      <c r="N46" s="33" t="str">
        <f t="shared" si="29"/>
        <v/>
      </c>
      <c r="O46" s="52" t="str">
        <f t="shared" si="30"/>
        <v>Mason Crosby</v>
      </c>
      <c r="P46" s="52" t="str">
        <f t="shared" si="31"/>
        <v>GB</v>
      </c>
      <c r="Q46" s="52">
        <f t="shared" si="32"/>
        <v>9</v>
      </c>
      <c r="R46" s="144">
        <f t="shared" si="33"/>
        <v>2.6454545454545553</v>
      </c>
      <c r="S46" s="8">
        <f t="shared" si="34"/>
        <v>140.19999999999999</v>
      </c>
      <c r="T46" s="122">
        <f t="shared" si="52"/>
        <v>125</v>
      </c>
      <c r="U46" s="144" t="str">
        <f t="shared" si="35"/>
        <v>RB</v>
      </c>
      <c r="V46" s="33">
        <f t="shared" si="36"/>
        <v>28</v>
      </c>
      <c r="W46" s="33" t="str">
        <f t="shared" si="37"/>
        <v/>
      </c>
      <c r="X46" s="52" t="str">
        <f t="shared" si="38"/>
        <v>Ben Tate</v>
      </c>
      <c r="Y46" s="52" t="str">
        <f t="shared" si="39"/>
        <v>CLE</v>
      </c>
      <c r="Z46" s="52">
        <f t="shared" si="40"/>
        <v>4</v>
      </c>
      <c r="AA46" s="144">
        <f t="shared" si="41"/>
        <v>-31.69393939393936</v>
      </c>
      <c r="AB46" s="8">
        <f t="shared" si="42"/>
        <v>173.5</v>
      </c>
      <c r="AC46" s="122">
        <f t="shared" si="53"/>
        <v>205</v>
      </c>
      <c r="AD46" s="144" t="str">
        <f t="shared" si="43"/>
        <v>WR</v>
      </c>
      <c r="AE46" s="33">
        <f t="shared" si="44"/>
        <v>52</v>
      </c>
      <c r="AF46" s="33" t="str">
        <f t="shared" si="45"/>
        <v/>
      </c>
      <c r="AG46" s="52" t="str">
        <f t="shared" si="46"/>
        <v>Mike Williams</v>
      </c>
      <c r="AH46" s="52" t="str">
        <f t="shared" si="47"/>
        <v>BUF</v>
      </c>
      <c r="AI46" s="52">
        <f t="shared" si="48"/>
        <v>9</v>
      </c>
      <c r="AJ46" s="144">
        <f t="shared" si="49"/>
        <v>-92.939393939393909</v>
      </c>
      <c r="AK46" s="156">
        <f t="shared" si="50"/>
        <v>108.1</v>
      </c>
    </row>
    <row r="47" spans="1:37" ht="12.75" customHeight="1">
      <c r="A47" s="33">
        <f>IF(ISERROR(VLOOKUP(RANK(H47,$H$2:$H$331),$A$2:A46,1,0)),RANK(H47,$H$2:$H$331),IF(ISERROR(VLOOKUP((RANK(H47,$H$2:$H$331)+1),$A$2:A46,1,0)),(RANK(H47,$H$2:$H$331)+1),(RANK(H47,$H$2:$H$331)+2)))</f>
        <v>148</v>
      </c>
      <c r="B47" s="33">
        <f>Cheatsheet!A72</f>
        <v>16</v>
      </c>
      <c r="C47" s="33" t="str">
        <f>Cheatsheet!B72</f>
        <v/>
      </c>
      <c r="D47" s="33" t="str">
        <f>Cheatsheet!C72</f>
        <v>Delanie Walker</v>
      </c>
      <c r="E47" s="33" t="str">
        <f>Cheatsheet!D72</f>
        <v>TEN</v>
      </c>
      <c r="F47" s="33">
        <f>Cheatsheet!E72</f>
        <v>9</v>
      </c>
      <c r="G47" s="70">
        <f>Cheatsheet!F72</f>
        <v>121.9</v>
      </c>
      <c r="H47" s="70">
        <f>Cheatsheet!G72</f>
        <v>-43.963636363636368</v>
      </c>
      <c r="I47" s="33" t="s">
        <v>16</v>
      </c>
      <c r="J47" s="194"/>
      <c r="K47" s="122">
        <f t="shared" si="51"/>
        <v>46</v>
      </c>
      <c r="L47" s="144" t="str">
        <f t="shared" si="27"/>
        <v>TE</v>
      </c>
      <c r="M47" s="33">
        <f t="shared" si="28"/>
        <v>4</v>
      </c>
      <c r="N47" s="33" t="str">
        <f t="shared" si="29"/>
        <v/>
      </c>
      <c r="O47" s="52" t="str">
        <f t="shared" si="30"/>
        <v>Vernon Davis</v>
      </c>
      <c r="P47" s="52" t="str">
        <f t="shared" si="31"/>
        <v>SF</v>
      </c>
      <c r="Q47" s="52">
        <f t="shared" si="32"/>
        <v>8</v>
      </c>
      <c r="R47" s="144">
        <f t="shared" si="33"/>
        <v>2.5363636363636317</v>
      </c>
      <c r="S47" s="8">
        <f t="shared" si="34"/>
        <v>168.4</v>
      </c>
      <c r="T47" s="122">
        <f t="shared" si="52"/>
        <v>126</v>
      </c>
      <c r="U47" s="144" t="str">
        <f t="shared" si="35"/>
        <v>TE</v>
      </c>
      <c r="V47" s="33">
        <f t="shared" si="36"/>
        <v>11</v>
      </c>
      <c r="W47" s="33" t="str">
        <f t="shared" si="37"/>
        <v/>
      </c>
      <c r="X47" s="52" t="str">
        <f t="shared" si="38"/>
        <v>Martellus Bennett</v>
      </c>
      <c r="Y47" s="52" t="str">
        <f t="shared" si="39"/>
        <v>CHI</v>
      </c>
      <c r="Z47" s="52">
        <f t="shared" si="40"/>
        <v>9</v>
      </c>
      <c r="AA47" s="144">
        <f t="shared" si="41"/>
        <v>-31.863636363636374</v>
      </c>
      <c r="AB47" s="8">
        <f t="shared" si="42"/>
        <v>134</v>
      </c>
      <c r="AC47" s="122">
        <f t="shared" si="53"/>
        <v>206</v>
      </c>
      <c r="AD47" s="144" t="str">
        <f t="shared" si="43"/>
        <v>RB</v>
      </c>
      <c r="AE47" s="33">
        <f t="shared" si="44"/>
        <v>42</v>
      </c>
      <c r="AF47" s="33" t="str">
        <f t="shared" si="45"/>
        <v/>
      </c>
      <c r="AG47" s="52" t="str">
        <f t="shared" si="46"/>
        <v>Jeremy Hill</v>
      </c>
      <c r="AH47" s="52" t="str">
        <f t="shared" si="47"/>
        <v>CIN</v>
      </c>
      <c r="AI47" s="52">
        <f t="shared" si="48"/>
        <v>4</v>
      </c>
      <c r="AJ47" s="144">
        <f t="shared" si="49"/>
        <v>-94.093939393939365</v>
      </c>
      <c r="AK47" s="156">
        <f t="shared" si="50"/>
        <v>111.1</v>
      </c>
    </row>
    <row r="48" spans="1:37" ht="12.75" customHeight="1">
      <c r="A48" s="33">
        <f>IF(ISERROR(VLOOKUP(RANK(H48,$H$2:$H$331),$A$2:A47,1,0)),RANK(H48,$H$2:$H$331),IF(ISERROR(VLOOKUP((RANK(H48,$H$2:$H$331)+1),$A$2:A47,1,0)),(RANK(H48,$H$2:$H$331)+1),(RANK(H48,$H$2:$H$331)+2)))</f>
        <v>159</v>
      </c>
      <c r="B48" s="33">
        <f>Cheatsheet!A73</f>
        <v>17</v>
      </c>
      <c r="C48" s="33" t="str">
        <f>Cheatsheet!B73</f>
        <v/>
      </c>
      <c r="D48" s="33" t="str">
        <f>Cheatsheet!C73</f>
        <v>Ladarius Green</v>
      </c>
      <c r="E48" s="33" t="str">
        <f>Cheatsheet!D73</f>
        <v>SD</v>
      </c>
      <c r="F48" s="33">
        <f>Cheatsheet!E73</f>
        <v>10</v>
      </c>
      <c r="G48" s="70">
        <f>Cheatsheet!F73</f>
        <v>114.8</v>
      </c>
      <c r="H48" s="70">
        <f>Cheatsheet!G73</f>
        <v>-51.063636363636377</v>
      </c>
      <c r="I48" s="33" t="s">
        <v>16</v>
      </c>
      <c r="J48" s="194"/>
      <c r="K48" s="122">
        <f t="shared" si="51"/>
        <v>47</v>
      </c>
      <c r="L48" s="144" t="str">
        <f t="shared" si="27"/>
        <v>DST</v>
      </c>
      <c r="M48" s="33">
        <f t="shared" si="28"/>
        <v>4</v>
      </c>
      <c r="N48" s="33" t="str">
        <f t="shared" si="29"/>
        <v/>
      </c>
      <c r="O48" s="52" t="str">
        <f t="shared" si="30"/>
        <v>Patriots</v>
      </c>
      <c r="P48" s="52" t="str">
        <f t="shared" si="31"/>
        <v>NE</v>
      </c>
      <c r="Q48" s="52">
        <f t="shared" si="32"/>
        <v>10</v>
      </c>
      <c r="R48" s="144">
        <f t="shared" si="33"/>
        <v>1.9545454545454675</v>
      </c>
      <c r="S48" s="8">
        <f t="shared" si="34"/>
        <v>113.7</v>
      </c>
      <c r="T48" s="122">
        <f t="shared" si="52"/>
        <v>127</v>
      </c>
      <c r="U48" s="144" t="str">
        <f t="shared" si="35"/>
        <v>QB</v>
      </c>
      <c r="V48" s="33">
        <f t="shared" si="36"/>
        <v>17</v>
      </c>
      <c r="W48" s="33" t="str">
        <f t="shared" si="37"/>
        <v/>
      </c>
      <c r="X48" s="52" t="str">
        <f t="shared" si="38"/>
        <v>Andy Dalton</v>
      </c>
      <c r="Y48" s="52" t="str">
        <f t="shared" si="39"/>
        <v>CIN</v>
      </c>
      <c r="Z48" s="52">
        <f t="shared" si="40"/>
        <v>4</v>
      </c>
      <c r="AA48" s="144">
        <f t="shared" si="41"/>
        <v>-32.618181818181768</v>
      </c>
      <c r="AB48" s="8">
        <f t="shared" si="42"/>
        <v>305.5</v>
      </c>
      <c r="AC48" s="122">
        <f t="shared" si="53"/>
        <v>207</v>
      </c>
      <c r="AD48" s="144" t="str">
        <f t="shared" si="43"/>
        <v>RB</v>
      </c>
      <c r="AE48" s="33">
        <f t="shared" si="44"/>
        <v>43</v>
      </c>
      <c r="AF48" s="33" t="str">
        <f t="shared" si="45"/>
        <v/>
      </c>
      <c r="AG48" s="52" t="str">
        <f t="shared" si="46"/>
        <v>Darren McFadden</v>
      </c>
      <c r="AH48" s="52" t="str">
        <f t="shared" si="47"/>
        <v>OAK</v>
      </c>
      <c r="AI48" s="52">
        <f t="shared" si="48"/>
        <v>5</v>
      </c>
      <c r="AJ48" s="144">
        <f t="shared" si="49"/>
        <v>-95.19393939393936</v>
      </c>
      <c r="AK48" s="156">
        <f t="shared" si="50"/>
        <v>110</v>
      </c>
    </row>
    <row r="49" spans="1:37" ht="12.75" customHeight="1">
      <c r="A49" s="33">
        <f>IF(ISERROR(VLOOKUP(RANK(H49,$H$2:$H$331),$A$2:A48,1,0)),RANK(H49,$H$2:$H$331),IF(ISERROR(VLOOKUP((RANK(H49,$H$2:$H$331)+1),$A$2:A48,1,0)),(RANK(H49,$H$2:$H$331)+1),(RANK(H49,$H$2:$H$331)+2)))</f>
        <v>167</v>
      </c>
      <c r="B49" s="33">
        <f>Cheatsheet!A74</f>
        <v>18</v>
      </c>
      <c r="C49" s="33" t="str">
        <f>Cheatsheet!B74</f>
        <v/>
      </c>
      <c r="D49" s="33" t="str">
        <f>Cheatsheet!C74</f>
        <v>Jared Cook</v>
      </c>
      <c r="E49" s="33" t="str">
        <f>Cheatsheet!D74</f>
        <v>STL</v>
      </c>
      <c r="F49" s="33">
        <f>Cheatsheet!E74</f>
        <v>4</v>
      </c>
      <c r="G49" s="70">
        <f>Cheatsheet!F74</f>
        <v>106.7</v>
      </c>
      <c r="H49" s="70">
        <f>Cheatsheet!G74</f>
        <v>-59.163636363636371</v>
      </c>
      <c r="I49" s="33" t="s">
        <v>16</v>
      </c>
      <c r="J49" s="194"/>
      <c r="K49" s="122">
        <f t="shared" si="51"/>
        <v>48</v>
      </c>
      <c r="L49" s="144" t="str">
        <f t="shared" si="27"/>
        <v>DST</v>
      </c>
      <c r="M49" s="33">
        <f t="shared" si="28"/>
        <v>5</v>
      </c>
      <c r="N49" s="33" t="str">
        <f t="shared" si="29"/>
        <v/>
      </c>
      <c r="O49" s="52" t="str">
        <f t="shared" si="30"/>
        <v>Bengals</v>
      </c>
      <c r="P49" s="52" t="str">
        <f t="shared" si="31"/>
        <v>CIN</v>
      </c>
      <c r="Q49" s="52">
        <f t="shared" si="32"/>
        <v>4</v>
      </c>
      <c r="R49" s="144">
        <f t="shared" si="33"/>
        <v>1.8545454545454589</v>
      </c>
      <c r="S49" s="8">
        <f t="shared" si="34"/>
        <v>113.6</v>
      </c>
      <c r="T49" s="122">
        <f t="shared" si="52"/>
        <v>128</v>
      </c>
      <c r="U49" s="144" t="str">
        <f t="shared" si="35"/>
        <v>K</v>
      </c>
      <c r="V49" s="33">
        <f t="shared" si="36"/>
        <v>27</v>
      </c>
      <c r="W49" s="33" t="str">
        <f t="shared" si="37"/>
        <v/>
      </c>
      <c r="X49" s="52" t="str">
        <f t="shared" si="38"/>
        <v>Randy Bullock</v>
      </c>
      <c r="Y49" s="52" t="str">
        <f t="shared" si="39"/>
        <v>HOU</v>
      </c>
      <c r="Z49" s="52">
        <f t="shared" si="40"/>
        <v>10</v>
      </c>
      <c r="AA49" s="144">
        <f t="shared" si="41"/>
        <v>-32.854545454545431</v>
      </c>
      <c r="AB49" s="8">
        <f t="shared" si="42"/>
        <v>104.7</v>
      </c>
      <c r="AC49" s="122">
        <f t="shared" si="53"/>
        <v>208</v>
      </c>
      <c r="AD49" s="144" t="str">
        <f t="shared" si="43"/>
        <v>WR</v>
      </c>
      <c r="AE49" s="33">
        <f t="shared" si="44"/>
        <v>53</v>
      </c>
      <c r="AF49" s="33" t="str">
        <f t="shared" si="45"/>
        <v/>
      </c>
      <c r="AG49" s="52" t="str">
        <f t="shared" si="46"/>
        <v>Doug Baldwin</v>
      </c>
      <c r="AH49" s="52" t="str">
        <f t="shared" si="47"/>
        <v>SEA</v>
      </c>
      <c r="AI49" s="52">
        <f t="shared" si="48"/>
        <v>4</v>
      </c>
      <c r="AJ49" s="144">
        <f t="shared" si="49"/>
        <v>-96.339393939393901</v>
      </c>
      <c r="AK49" s="156">
        <f t="shared" si="50"/>
        <v>104.7</v>
      </c>
    </row>
    <row r="50" spans="1:37" ht="12.75" customHeight="1">
      <c r="A50" s="33">
        <f>IF(ISERROR(VLOOKUP(RANK(H50,$H$2:$H$331),$A$2:A49,1,0)),RANK(H50,$H$2:$H$331),IF(ISERROR(VLOOKUP((RANK(H50,$H$2:$H$331)+1),$A$2:A49,1,0)),(RANK(H50,$H$2:$H$331)+1),(RANK(H50,$H$2:$H$331)+2)))</f>
        <v>172</v>
      </c>
      <c r="B50" s="33">
        <f>Cheatsheet!A75</f>
        <v>19</v>
      </c>
      <c r="C50" s="33" t="str">
        <f>Cheatsheet!B75</f>
        <v/>
      </c>
      <c r="D50" s="33" t="str">
        <f>Cheatsheet!C75</f>
        <v>Dwayne Allen</v>
      </c>
      <c r="E50" s="33" t="str">
        <f>Cheatsheet!D75</f>
        <v>IND</v>
      </c>
      <c r="F50" s="33">
        <f>Cheatsheet!E75</f>
        <v>10</v>
      </c>
      <c r="G50" s="70">
        <f>Cheatsheet!F75</f>
        <v>104</v>
      </c>
      <c r="H50" s="70">
        <f>Cheatsheet!G75</f>
        <v>-61.863636363636374</v>
      </c>
      <c r="I50" s="33" t="s">
        <v>16</v>
      </c>
      <c r="J50" s="194"/>
      <c r="K50" s="122">
        <f t="shared" si="51"/>
        <v>49</v>
      </c>
      <c r="L50" s="144" t="str">
        <f t="shared" si="27"/>
        <v>WR</v>
      </c>
      <c r="M50" s="33">
        <f t="shared" si="28"/>
        <v>12</v>
      </c>
      <c r="N50" s="33" t="str">
        <f t="shared" si="29"/>
        <v/>
      </c>
      <c r="O50" s="52" t="str">
        <f t="shared" si="30"/>
        <v>Vincent Jackson</v>
      </c>
      <c r="P50" s="52" t="str">
        <f t="shared" si="31"/>
        <v>TB</v>
      </c>
      <c r="Q50" s="52">
        <f t="shared" si="32"/>
        <v>7</v>
      </c>
      <c r="R50" s="144">
        <f t="shared" si="33"/>
        <v>1.4606060606060964</v>
      </c>
      <c r="S50" s="8">
        <f t="shared" si="34"/>
        <v>202.5</v>
      </c>
      <c r="T50" s="122">
        <f t="shared" si="52"/>
        <v>129</v>
      </c>
      <c r="U50" s="144" t="str">
        <f t="shared" si="35"/>
        <v>K</v>
      </c>
      <c r="V50" s="33">
        <f t="shared" si="36"/>
        <v>28</v>
      </c>
      <c r="W50" s="33" t="str">
        <f t="shared" si="37"/>
        <v/>
      </c>
      <c r="X50" s="52" t="str">
        <f t="shared" si="38"/>
        <v>Josh Scobee</v>
      </c>
      <c r="Y50" s="52" t="str">
        <f t="shared" si="39"/>
        <v>JAC</v>
      </c>
      <c r="Z50" s="52">
        <f t="shared" si="40"/>
        <v>11</v>
      </c>
      <c r="AA50" s="144">
        <f t="shared" si="41"/>
        <v>-33.554545454545433</v>
      </c>
      <c r="AB50" s="8">
        <f t="shared" si="42"/>
        <v>104</v>
      </c>
      <c r="AC50" s="122">
        <f t="shared" si="53"/>
        <v>209</v>
      </c>
      <c r="AD50" s="144" t="str">
        <f t="shared" si="43"/>
        <v>RB</v>
      </c>
      <c r="AE50" s="33">
        <f t="shared" si="44"/>
        <v>44</v>
      </c>
      <c r="AF50" s="33" t="str">
        <f t="shared" si="45"/>
        <v/>
      </c>
      <c r="AG50" s="52" t="str">
        <f t="shared" si="46"/>
        <v>Dexter McCluster</v>
      </c>
      <c r="AH50" s="52" t="str">
        <f t="shared" si="47"/>
        <v>TEN WR,</v>
      </c>
      <c r="AI50" s="52" t="e">
        <f t="shared" si="48"/>
        <v>#N/A</v>
      </c>
      <c r="AJ50" s="144">
        <f t="shared" si="49"/>
        <v>-97.093939393939365</v>
      </c>
      <c r="AK50" s="156">
        <f t="shared" si="50"/>
        <v>108.1</v>
      </c>
    </row>
    <row r="51" spans="1:37" ht="12.75" customHeight="1">
      <c r="A51" s="33">
        <f>IF(ISERROR(VLOOKUP(RANK(H51,$H$2:$H$331),$A$2:A50,1,0)),RANK(H51,$H$2:$H$331),IF(ISERROR(VLOOKUP((RANK(H51,$H$2:$H$331)+1),$A$2:A50,1,0)),(RANK(H51,$H$2:$H$331)+1),(RANK(H51,$H$2:$H$331)+2)))</f>
        <v>180</v>
      </c>
      <c r="B51" s="33">
        <f>Cheatsheet!A76</f>
        <v>20</v>
      </c>
      <c r="C51" s="33" t="str">
        <f>Cheatsheet!B76</f>
        <v/>
      </c>
      <c r="D51" s="33" t="str">
        <f>Cheatsheet!C76</f>
        <v>Eric Ebron</v>
      </c>
      <c r="E51" s="33" t="str">
        <f>Cheatsheet!D76</f>
        <v>DET</v>
      </c>
      <c r="F51" s="33">
        <f>Cheatsheet!E76</f>
        <v>9</v>
      </c>
      <c r="G51" s="70">
        <f>Cheatsheet!F76</f>
        <v>97.7</v>
      </c>
      <c r="H51" s="70">
        <f>Cheatsheet!G76</f>
        <v>-68.163636363636371</v>
      </c>
      <c r="I51" s="33" t="s">
        <v>16</v>
      </c>
      <c r="J51" s="194"/>
      <c r="K51" s="122">
        <f t="shared" si="51"/>
        <v>50</v>
      </c>
      <c r="L51" s="144" t="str">
        <f t="shared" si="27"/>
        <v>DST</v>
      </c>
      <c r="M51" s="33">
        <f t="shared" si="28"/>
        <v>6</v>
      </c>
      <c r="N51" s="33" t="str">
        <f t="shared" si="29"/>
        <v/>
      </c>
      <c r="O51" s="52" t="str">
        <f t="shared" si="30"/>
        <v>Rams</v>
      </c>
      <c r="P51" s="52" t="str">
        <f t="shared" si="31"/>
        <v>STL</v>
      </c>
      <c r="Q51" s="52">
        <f t="shared" si="32"/>
        <v>4</v>
      </c>
      <c r="R51" s="144">
        <f t="shared" si="33"/>
        <v>1.3545454545454589</v>
      </c>
      <c r="S51" s="8">
        <f t="shared" si="34"/>
        <v>113.1</v>
      </c>
      <c r="T51" s="122">
        <f t="shared" si="52"/>
        <v>130</v>
      </c>
      <c r="U51" s="144" t="str">
        <f t="shared" si="35"/>
        <v>DST</v>
      </c>
      <c r="V51" s="33">
        <f t="shared" si="36"/>
        <v>18</v>
      </c>
      <c r="W51" s="33" t="str">
        <f t="shared" si="37"/>
        <v/>
      </c>
      <c r="X51" s="52" t="str">
        <f t="shared" si="38"/>
        <v>Packers</v>
      </c>
      <c r="Y51" s="52" t="str">
        <f t="shared" si="39"/>
        <v>GB</v>
      </c>
      <c r="Z51" s="52">
        <f t="shared" si="40"/>
        <v>9</v>
      </c>
      <c r="AA51" s="144">
        <f t="shared" si="41"/>
        <v>-33.84545454545453</v>
      </c>
      <c r="AB51" s="8">
        <f t="shared" si="42"/>
        <v>77.900000000000006</v>
      </c>
      <c r="AC51" s="122">
        <f t="shared" si="53"/>
        <v>210</v>
      </c>
      <c r="AD51" s="144" t="str">
        <f t="shared" si="43"/>
        <v>WR</v>
      </c>
      <c r="AE51" s="33">
        <f t="shared" si="44"/>
        <v>54</v>
      </c>
      <c r="AF51" s="33" t="str">
        <f t="shared" si="45"/>
        <v/>
      </c>
      <c r="AG51" s="52" t="str">
        <f t="shared" si="46"/>
        <v>Nate Washington</v>
      </c>
      <c r="AH51" s="52" t="str">
        <f t="shared" si="47"/>
        <v>TEN</v>
      </c>
      <c r="AI51" s="52">
        <f t="shared" si="48"/>
        <v>9</v>
      </c>
      <c r="AJ51" s="144">
        <f t="shared" si="49"/>
        <v>-98.339393939393901</v>
      </c>
      <c r="AK51" s="156">
        <f t="shared" si="50"/>
        <v>102.7</v>
      </c>
    </row>
    <row r="52" spans="1:37" ht="12.75" customHeight="1">
      <c r="A52" s="33">
        <f>IF(ISERROR(VLOOKUP(RANK(H52,$H$2:$H$331),$A$2:A51,1,0)),RANK(H52,$H$2:$H$331),IF(ISERROR(VLOOKUP((RANK(H52,$H$2:$H$331)+1),$A$2:A51,1,0)),(RANK(H52,$H$2:$H$331)+1),(RANK(H52,$H$2:$H$331)+2)))</f>
        <v>183</v>
      </c>
      <c r="B52" s="33">
        <f>Cheatsheet!A77</f>
        <v>21</v>
      </c>
      <c r="C52" s="33" t="str">
        <f>Cheatsheet!B77</f>
        <v/>
      </c>
      <c r="D52" s="33" t="str">
        <f>Cheatsheet!C77</f>
        <v>Tyler Eifert</v>
      </c>
      <c r="E52" s="33" t="str">
        <f>Cheatsheet!D77</f>
        <v>CIN</v>
      </c>
      <c r="F52" s="33">
        <f>Cheatsheet!E77</f>
        <v>4</v>
      </c>
      <c r="G52" s="70">
        <f>Cheatsheet!F77</f>
        <v>95.6</v>
      </c>
      <c r="H52" s="70">
        <f>Cheatsheet!G77</f>
        <v>-70.26363636363638</v>
      </c>
      <c r="I52" s="33" t="s">
        <v>16</v>
      </c>
      <c r="J52" s="194"/>
      <c r="K52" s="122">
        <f t="shared" si="51"/>
        <v>51</v>
      </c>
      <c r="L52" s="144" t="str">
        <f t="shared" si="27"/>
        <v>RB</v>
      </c>
      <c r="M52" s="33">
        <f t="shared" si="28"/>
        <v>15</v>
      </c>
      <c r="N52" s="33" t="str">
        <f t="shared" si="29"/>
        <v/>
      </c>
      <c r="O52" s="52" t="str">
        <f t="shared" si="30"/>
        <v>Toby Gerhart</v>
      </c>
      <c r="P52" s="52" t="str">
        <f t="shared" si="31"/>
        <v>JAC</v>
      </c>
      <c r="Q52" s="52">
        <f t="shared" si="32"/>
        <v>11</v>
      </c>
      <c r="R52" s="144">
        <f t="shared" si="33"/>
        <v>1.3060606060606403</v>
      </c>
      <c r="S52" s="8">
        <f t="shared" si="34"/>
        <v>206.5</v>
      </c>
      <c r="T52" s="122">
        <f t="shared" si="52"/>
        <v>131</v>
      </c>
      <c r="U52" s="144" t="str">
        <f t="shared" si="35"/>
        <v>WR</v>
      </c>
      <c r="V52" s="33">
        <f t="shared" si="36"/>
        <v>31</v>
      </c>
      <c r="W52" s="33" t="str">
        <f t="shared" si="37"/>
        <v/>
      </c>
      <c r="X52" s="52" t="str">
        <f t="shared" si="38"/>
        <v>Emmanuel Sanders</v>
      </c>
      <c r="Y52" s="52" t="str">
        <f t="shared" si="39"/>
        <v>DEN</v>
      </c>
      <c r="Z52" s="52">
        <f t="shared" si="40"/>
        <v>4</v>
      </c>
      <c r="AA52" s="144">
        <f t="shared" si="41"/>
        <v>-34.039393939393904</v>
      </c>
      <c r="AB52" s="8">
        <f t="shared" si="42"/>
        <v>167</v>
      </c>
      <c r="AC52" s="122">
        <f t="shared" si="53"/>
        <v>211</v>
      </c>
      <c r="AD52" s="144" t="str">
        <f t="shared" si="43"/>
        <v>WR</v>
      </c>
      <c r="AE52" s="33">
        <f t="shared" si="44"/>
        <v>55</v>
      </c>
      <c r="AF52" s="33" t="str">
        <f t="shared" si="45"/>
        <v/>
      </c>
      <c r="AG52" s="52" t="str">
        <f t="shared" si="46"/>
        <v>Rod Streater</v>
      </c>
      <c r="AH52" s="52" t="str">
        <f t="shared" si="47"/>
        <v>OAK</v>
      </c>
      <c r="AI52" s="52">
        <f t="shared" si="48"/>
        <v>5</v>
      </c>
      <c r="AJ52" s="144">
        <f t="shared" si="49"/>
        <v>-101.8393939393939</v>
      </c>
      <c r="AK52" s="156">
        <f t="shared" si="50"/>
        <v>99.2</v>
      </c>
    </row>
    <row r="53" spans="1:37" ht="12.75" customHeight="1">
      <c r="A53" s="33">
        <f>IF(ISERROR(VLOOKUP(RANK(H53,$H$2:$H$331),$A$2:A52,1,0)),RANK(H53,$H$2:$H$331),IF(ISERROR(VLOOKUP((RANK(H53,$H$2:$H$331)+1),$A$2:A52,1,0)),(RANK(H53,$H$2:$H$331)+1),(RANK(H53,$H$2:$H$331)+2)))</f>
        <v>184</v>
      </c>
      <c r="B53" s="33">
        <f>Cheatsheet!A78</f>
        <v>22</v>
      </c>
      <c r="C53" s="33" t="str">
        <f>Cheatsheet!B78</f>
        <v/>
      </c>
      <c r="D53" s="33" t="str">
        <f>Cheatsheet!C78</f>
        <v>Garrett Graham</v>
      </c>
      <c r="E53" s="33" t="str">
        <f>Cheatsheet!D78</f>
        <v>HOU</v>
      </c>
      <c r="F53" s="33">
        <f>Cheatsheet!E78</f>
        <v>10</v>
      </c>
      <c r="G53" s="70">
        <f>Cheatsheet!F78</f>
        <v>94.5</v>
      </c>
      <c r="H53" s="70">
        <f>Cheatsheet!G78</f>
        <v>-71.363636363636374</v>
      </c>
      <c r="I53" s="33" t="s">
        <v>16</v>
      </c>
      <c r="J53" s="194"/>
      <c r="K53" s="122">
        <f t="shared" si="51"/>
        <v>52</v>
      </c>
      <c r="L53" s="144" t="str">
        <f t="shared" si="27"/>
        <v>DST</v>
      </c>
      <c r="M53" s="33">
        <f t="shared" si="28"/>
        <v>7</v>
      </c>
      <c r="N53" s="33" t="str">
        <f t="shared" si="29"/>
        <v/>
      </c>
      <c r="O53" s="52" t="str">
        <f t="shared" si="30"/>
        <v>49ers</v>
      </c>
      <c r="P53" s="52" t="str">
        <f t="shared" si="31"/>
        <v>SF</v>
      </c>
      <c r="Q53" s="52">
        <f t="shared" si="32"/>
        <v>8</v>
      </c>
      <c r="R53" s="144">
        <f t="shared" si="33"/>
        <v>0.15454545454547031</v>
      </c>
      <c r="S53" s="8">
        <f t="shared" si="34"/>
        <v>111.9</v>
      </c>
      <c r="T53" s="122">
        <f t="shared" si="52"/>
        <v>132</v>
      </c>
      <c r="U53" s="144" t="str">
        <f t="shared" si="35"/>
        <v>WR</v>
      </c>
      <c r="V53" s="33">
        <f t="shared" si="36"/>
        <v>32</v>
      </c>
      <c r="W53" s="33" t="str">
        <f t="shared" si="37"/>
        <v/>
      </c>
      <c r="X53" s="52" t="str">
        <f t="shared" si="38"/>
        <v>Golden Tate</v>
      </c>
      <c r="Y53" s="52" t="str">
        <f t="shared" si="39"/>
        <v>DET</v>
      </c>
      <c r="Z53" s="52">
        <f t="shared" si="40"/>
        <v>9</v>
      </c>
      <c r="AA53" s="144">
        <f t="shared" si="41"/>
        <v>-37.439393939393909</v>
      </c>
      <c r="AB53" s="8">
        <f t="shared" si="42"/>
        <v>163.6</v>
      </c>
      <c r="AC53" s="122">
        <f t="shared" si="53"/>
        <v>212</v>
      </c>
      <c r="AD53" s="144" t="str">
        <f t="shared" si="43"/>
        <v>QB</v>
      </c>
      <c r="AE53" s="33">
        <f t="shared" si="44"/>
        <v>25</v>
      </c>
      <c r="AF53" s="33" t="str">
        <f t="shared" si="45"/>
        <v/>
      </c>
      <c r="AG53" s="52" t="str">
        <f t="shared" si="46"/>
        <v>EJ Manuel</v>
      </c>
      <c r="AH53" s="52" t="str">
        <f t="shared" si="47"/>
        <v>BUF</v>
      </c>
      <c r="AI53" s="52">
        <f t="shared" si="48"/>
        <v>9</v>
      </c>
      <c r="AJ53" s="144">
        <f t="shared" si="49"/>
        <v>-102.61818181818177</v>
      </c>
      <c r="AK53" s="156">
        <f t="shared" si="50"/>
        <v>235.5</v>
      </c>
    </row>
    <row r="54" spans="1:37" ht="12.75" customHeight="1">
      <c r="A54" s="33">
        <f>IF(ISERROR(VLOOKUP(RANK(H54,$H$2:$H$331),$A$2:A53,1,0)),RANK(H54,$H$2:$H$331),IF(ISERROR(VLOOKUP((RANK(H54,$H$2:$H$331)+1),$A$2:A53,1,0)),(RANK(H54,$H$2:$H$331)+1),(RANK(H54,$H$2:$H$331)+2)))</f>
        <v>187</v>
      </c>
      <c r="B54" s="33">
        <f>Cheatsheet!A79</f>
        <v>23</v>
      </c>
      <c r="C54" s="33" t="str">
        <f>Cheatsheet!B79</f>
        <v/>
      </c>
      <c r="D54" s="33" t="str">
        <f>Cheatsheet!C79</f>
        <v>Scott Chandler</v>
      </c>
      <c r="E54" s="33" t="str">
        <f>Cheatsheet!D79</f>
        <v>BUF</v>
      </c>
      <c r="F54" s="33">
        <f>Cheatsheet!E79</f>
        <v>9</v>
      </c>
      <c r="G54" s="70">
        <f>Cheatsheet!F79</f>
        <v>92.1</v>
      </c>
      <c r="H54" s="70">
        <f>Cheatsheet!G79</f>
        <v>-73.76363636363638</v>
      </c>
      <c r="I54" s="33" t="s">
        <v>16</v>
      </c>
      <c r="J54" s="194"/>
      <c r="K54" s="122">
        <f t="shared" si="51"/>
        <v>53</v>
      </c>
      <c r="L54" s="144" t="str">
        <f t="shared" si="27"/>
        <v>QB</v>
      </c>
      <c r="M54" s="33">
        <f t="shared" si="28"/>
        <v>10</v>
      </c>
      <c r="N54" s="33" t="str">
        <f t="shared" si="29"/>
        <v/>
      </c>
      <c r="O54" s="52" t="str">
        <f t="shared" si="30"/>
        <v>Robert Griffin III</v>
      </c>
      <c r="P54" s="52" t="str">
        <f t="shared" si="31"/>
        <v>WSH</v>
      </c>
      <c r="Q54" s="52">
        <f t="shared" si="32"/>
        <v>10</v>
      </c>
      <c r="R54" s="144">
        <f t="shared" si="33"/>
        <v>-1.8181818181744802E-2</v>
      </c>
      <c r="S54" s="8">
        <f t="shared" si="34"/>
        <v>338.1</v>
      </c>
      <c r="T54" s="122">
        <f t="shared" si="52"/>
        <v>133</v>
      </c>
      <c r="U54" s="144" t="str">
        <f t="shared" si="35"/>
        <v>TE</v>
      </c>
      <c r="V54" s="33">
        <f t="shared" si="36"/>
        <v>12</v>
      </c>
      <c r="W54" s="33" t="str">
        <f t="shared" si="37"/>
        <v/>
      </c>
      <c r="X54" s="52" t="str">
        <f t="shared" si="38"/>
        <v>Zach Ertz</v>
      </c>
      <c r="Y54" s="52" t="str">
        <f t="shared" si="39"/>
        <v>PHI</v>
      </c>
      <c r="Z54" s="52">
        <f t="shared" si="40"/>
        <v>7</v>
      </c>
      <c r="AA54" s="144">
        <f t="shared" si="41"/>
        <v>-37.663636363636385</v>
      </c>
      <c r="AB54" s="8">
        <f t="shared" si="42"/>
        <v>128.19999999999999</v>
      </c>
      <c r="AC54" s="122">
        <f t="shared" si="53"/>
        <v>213</v>
      </c>
      <c r="AD54" s="144" t="str">
        <f t="shared" si="43"/>
        <v>WR</v>
      </c>
      <c r="AE54" s="33">
        <f t="shared" si="44"/>
        <v>56</v>
      </c>
      <c r="AF54" s="33" t="str">
        <f t="shared" si="45"/>
        <v/>
      </c>
      <c r="AG54" s="52" t="str">
        <f t="shared" si="46"/>
        <v>Brandon LaFell</v>
      </c>
      <c r="AH54" s="52" t="str">
        <f t="shared" si="47"/>
        <v>NE</v>
      </c>
      <c r="AI54" s="52">
        <f t="shared" si="48"/>
        <v>10</v>
      </c>
      <c r="AJ54" s="144">
        <f t="shared" si="49"/>
        <v>-102.6393939393939</v>
      </c>
      <c r="AK54" s="156">
        <f t="shared" si="50"/>
        <v>98.4</v>
      </c>
    </row>
    <row r="55" spans="1:37" ht="12.75" customHeight="1">
      <c r="A55" s="33">
        <f>IF(ISERROR(VLOOKUP(RANK(H55,$H$2:$H$331),$A$2:A54,1,0)),RANK(H55,$H$2:$H$331),IF(ISERROR(VLOOKUP((RANK(H55,$H$2:$H$331)+1),$A$2:A54,1,0)),(RANK(H55,$H$2:$H$331)+1),(RANK(H55,$H$2:$H$331)+2)))</f>
        <v>192</v>
      </c>
      <c r="B55" s="33">
        <f>Cheatsheet!A80</f>
        <v>24</v>
      </c>
      <c r="C55" s="33" t="str">
        <f>Cheatsheet!B80</f>
        <v/>
      </c>
      <c r="D55" s="33" t="str">
        <f>Cheatsheet!C80</f>
        <v>Marcedes Lewis</v>
      </c>
      <c r="E55" s="33" t="str">
        <f>Cheatsheet!D80</f>
        <v>JAC</v>
      </c>
      <c r="F55" s="33">
        <f>Cheatsheet!E80</f>
        <v>11</v>
      </c>
      <c r="G55" s="70">
        <f>Cheatsheet!F80</f>
        <v>86.5</v>
      </c>
      <c r="H55" s="70">
        <f>Cheatsheet!G80</f>
        <v>-79.363636363636374</v>
      </c>
      <c r="I55" s="33" t="s">
        <v>16</v>
      </c>
      <c r="J55" s="194"/>
      <c r="K55" s="122">
        <f t="shared" si="51"/>
        <v>54</v>
      </c>
      <c r="L55" s="144" t="str">
        <f t="shared" si="27"/>
        <v>DST</v>
      </c>
      <c r="M55" s="33">
        <f t="shared" si="28"/>
        <v>8</v>
      </c>
      <c r="N55" s="33" t="str">
        <f t="shared" si="29"/>
        <v/>
      </c>
      <c r="O55" s="52" t="str">
        <f t="shared" si="30"/>
        <v>Broncos</v>
      </c>
      <c r="P55" s="52" t="str">
        <f t="shared" si="31"/>
        <v>DEN</v>
      </c>
      <c r="Q55" s="52">
        <f t="shared" si="32"/>
        <v>4</v>
      </c>
      <c r="R55" s="144">
        <f t="shared" si="33"/>
        <v>-0.24545454545453538</v>
      </c>
      <c r="S55" s="8">
        <f t="shared" si="34"/>
        <v>111.5</v>
      </c>
      <c r="T55" s="122">
        <f t="shared" si="52"/>
        <v>134</v>
      </c>
      <c r="U55" s="144" t="str">
        <f t="shared" si="35"/>
        <v>DST</v>
      </c>
      <c r="V55" s="33">
        <f t="shared" si="36"/>
        <v>19</v>
      </c>
      <c r="W55" s="33" t="str">
        <f t="shared" si="37"/>
        <v/>
      </c>
      <c r="X55" s="52" t="str">
        <f t="shared" si="38"/>
        <v>Chargers</v>
      </c>
      <c r="Y55" s="52" t="str">
        <f t="shared" si="39"/>
        <v>SD</v>
      </c>
      <c r="Z55" s="52">
        <f t="shared" si="40"/>
        <v>10</v>
      </c>
      <c r="AA55" s="144">
        <f t="shared" si="41"/>
        <v>-38.245454545454535</v>
      </c>
      <c r="AB55" s="8">
        <f t="shared" si="42"/>
        <v>73.5</v>
      </c>
      <c r="AC55" s="122">
        <f t="shared" si="53"/>
        <v>214</v>
      </c>
      <c r="AD55" s="144" t="str">
        <f t="shared" si="43"/>
        <v>WR</v>
      </c>
      <c r="AE55" s="33">
        <f t="shared" si="44"/>
        <v>57</v>
      </c>
      <c r="AF55" s="33" t="str">
        <f t="shared" si="45"/>
        <v/>
      </c>
      <c r="AG55" s="52" t="str">
        <f t="shared" si="46"/>
        <v>Andre Roberts</v>
      </c>
      <c r="AH55" s="52" t="str">
        <f t="shared" si="47"/>
        <v>WSH</v>
      </c>
      <c r="AI55" s="52">
        <f t="shared" si="48"/>
        <v>10</v>
      </c>
      <c r="AJ55" s="144">
        <f t="shared" si="49"/>
        <v>-102.6393939393939</v>
      </c>
      <c r="AK55" s="156">
        <f t="shared" si="50"/>
        <v>98.4</v>
      </c>
    </row>
    <row r="56" spans="1:37" ht="12.75" customHeight="1">
      <c r="A56" s="33">
        <f>IF(ISERROR(VLOOKUP(RANK(H56,$H$2:$H$331),$A$2:A55,1,0)),RANK(H56,$H$2:$H$331),IF(ISERROR(VLOOKUP((RANK(H56,$H$2:$H$331)+1),$A$2:A55,1,0)),(RANK(H56,$H$2:$H$331)+1),(RANK(H56,$H$2:$H$331)+2)))</f>
        <v>194</v>
      </c>
      <c r="B56" s="33">
        <f>Cheatsheet!A81</f>
        <v>25</v>
      </c>
      <c r="C56" s="33" t="str">
        <f>Cheatsheet!B81</f>
        <v/>
      </c>
      <c r="D56" s="33" t="str">
        <f>Cheatsheet!C81</f>
        <v>Coby Fleener</v>
      </c>
      <c r="E56" s="33" t="str">
        <f>Cheatsheet!D81</f>
        <v>IND</v>
      </c>
      <c r="F56" s="33">
        <f>Cheatsheet!E81</f>
        <v>10</v>
      </c>
      <c r="G56" s="70">
        <f>Cheatsheet!F81</f>
        <v>84.2</v>
      </c>
      <c r="H56" s="70">
        <f>Cheatsheet!G81</f>
        <v>-81.663636363636371</v>
      </c>
      <c r="I56" s="33" t="s">
        <v>16</v>
      </c>
      <c r="J56" s="194"/>
      <c r="K56" s="122">
        <f t="shared" si="51"/>
        <v>55</v>
      </c>
      <c r="L56" s="144" t="str">
        <f t="shared" si="27"/>
        <v>K</v>
      </c>
      <c r="M56" s="33">
        <f t="shared" si="28"/>
        <v>6</v>
      </c>
      <c r="N56" s="33" t="str">
        <f t="shared" si="29"/>
        <v/>
      </c>
      <c r="O56" s="52" t="str">
        <f t="shared" si="30"/>
        <v>Adam Vinatieri</v>
      </c>
      <c r="P56" s="52" t="str">
        <f t="shared" si="31"/>
        <v>IND</v>
      </c>
      <c r="Q56" s="52">
        <f t="shared" si="32"/>
        <v>10</v>
      </c>
      <c r="R56" s="144">
        <f t="shared" si="33"/>
        <v>-0.25454545454542199</v>
      </c>
      <c r="S56" s="8">
        <f t="shared" si="34"/>
        <v>137.30000000000001</v>
      </c>
      <c r="T56" s="122">
        <f t="shared" si="52"/>
        <v>135</v>
      </c>
      <c r="U56" s="144" t="str">
        <f t="shared" si="35"/>
        <v>RB</v>
      </c>
      <c r="V56" s="33">
        <f t="shared" si="36"/>
        <v>29</v>
      </c>
      <c r="W56" s="33" t="str">
        <f t="shared" si="37"/>
        <v/>
      </c>
      <c r="X56" s="52" t="str">
        <f t="shared" si="38"/>
        <v>Pierre Thomas</v>
      </c>
      <c r="Y56" s="52" t="str">
        <f t="shared" si="39"/>
        <v>NO</v>
      </c>
      <c r="Z56" s="52">
        <f t="shared" si="40"/>
        <v>6</v>
      </c>
      <c r="AA56" s="144">
        <f t="shared" si="41"/>
        <v>-38.293939393939354</v>
      </c>
      <c r="AB56" s="8">
        <f t="shared" si="42"/>
        <v>166.9</v>
      </c>
      <c r="AC56" s="122">
        <f t="shared" si="53"/>
        <v>215</v>
      </c>
      <c r="AD56" s="144" t="str">
        <f t="shared" si="43"/>
        <v>WR</v>
      </c>
      <c r="AE56" s="33">
        <f t="shared" si="44"/>
        <v>58</v>
      </c>
      <c r="AF56" s="33" t="str">
        <f t="shared" si="45"/>
        <v/>
      </c>
      <c r="AG56" s="52" t="str">
        <f t="shared" si="46"/>
        <v>Jerome Simpson</v>
      </c>
      <c r="AH56" s="52" t="str">
        <f t="shared" si="47"/>
        <v>MIN</v>
      </c>
      <c r="AI56" s="52">
        <f t="shared" si="48"/>
        <v>10</v>
      </c>
      <c r="AJ56" s="144">
        <f t="shared" si="49"/>
        <v>-105.43939393939391</v>
      </c>
      <c r="AK56" s="156">
        <f t="shared" si="50"/>
        <v>95.6</v>
      </c>
    </row>
    <row r="57" spans="1:37" ht="12.75" customHeight="1">
      <c r="A57" s="33">
        <f>IF(ISERROR(VLOOKUP(RANK(H57,$H$2:$H$331),$A$2:A56,1,0)),RANK(H57,$H$2:$H$331),IF(ISERROR(VLOOKUP((RANK(H57,$H$2:$H$331)+1),$A$2:A56,1,0)),(RANK(H57,$H$2:$H$331)+1),(RANK(H57,$H$2:$H$331)+2)))</f>
        <v>195</v>
      </c>
      <c r="B57" s="33">
        <f>Cheatsheet!A82</f>
        <v>26</v>
      </c>
      <c r="C57" s="33" t="str">
        <f>Cheatsheet!B82</f>
        <v/>
      </c>
      <c r="D57" s="33" t="str">
        <f>Cheatsheet!C82</f>
        <v>Mychal Rivera</v>
      </c>
      <c r="E57" s="33" t="str">
        <f>Cheatsheet!D82</f>
        <v>OAK</v>
      </c>
      <c r="F57" s="33">
        <f>Cheatsheet!E82</f>
        <v>5</v>
      </c>
      <c r="G57" s="70">
        <f>Cheatsheet!F82</f>
        <v>84</v>
      </c>
      <c r="H57" s="70">
        <f>Cheatsheet!G82</f>
        <v>-81.863636363636374</v>
      </c>
      <c r="I57" s="33" t="s">
        <v>16</v>
      </c>
      <c r="J57" s="194"/>
      <c r="K57" s="122">
        <f t="shared" si="51"/>
        <v>56</v>
      </c>
      <c r="L57" s="144" t="str">
        <f t="shared" si="27"/>
        <v>QB</v>
      </c>
      <c r="M57" s="33">
        <f t="shared" si="28"/>
        <v>11</v>
      </c>
      <c r="N57" s="33" t="str">
        <f t="shared" si="29"/>
        <v/>
      </c>
      <c r="O57" s="52" t="str">
        <f t="shared" si="30"/>
        <v>Tony Romo</v>
      </c>
      <c r="P57" s="52" t="str">
        <f t="shared" si="31"/>
        <v>DAL</v>
      </c>
      <c r="Q57" s="52">
        <f t="shared" si="32"/>
        <v>11</v>
      </c>
      <c r="R57" s="144">
        <f t="shared" si="33"/>
        <v>-0.5181818181817448</v>
      </c>
      <c r="S57" s="8">
        <f t="shared" si="34"/>
        <v>337.6</v>
      </c>
      <c r="T57" s="122">
        <f t="shared" si="52"/>
        <v>136</v>
      </c>
      <c r="U57" s="144" t="str">
        <f t="shared" si="35"/>
        <v>DST</v>
      </c>
      <c r="V57" s="33">
        <f t="shared" si="36"/>
        <v>20</v>
      </c>
      <c r="W57" s="33" t="str">
        <f t="shared" si="37"/>
        <v/>
      </c>
      <c r="X57" s="52" t="str">
        <f t="shared" si="38"/>
        <v>Lions</v>
      </c>
      <c r="Y57" s="52" t="str">
        <f t="shared" si="39"/>
        <v>DET</v>
      </c>
      <c r="Z57" s="52">
        <f t="shared" si="40"/>
        <v>9</v>
      </c>
      <c r="AA57" s="144">
        <f t="shared" si="41"/>
        <v>-38.34545454545453</v>
      </c>
      <c r="AB57" s="8">
        <f t="shared" si="42"/>
        <v>73.400000000000006</v>
      </c>
      <c r="AC57" s="122">
        <f t="shared" si="53"/>
        <v>216</v>
      </c>
      <c r="AD57" s="144" t="str">
        <f t="shared" si="43"/>
        <v>WR</v>
      </c>
      <c r="AE57" s="33">
        <f t="shared" si="44"/>
        <v>59</v>
      </c>
      <c r="AF57" s="33" t="str">
        <f t="shared" si="45"/>
        <v/>
      </c>
      <c r="AG57" s="52" t="str">
        <f t="shared" si="46"/>
        <v>Mike Evans</v>
      </c>
      <c r="AH57" s="52" t="str">
        <f t="shared" si="47"/>
        <v>TB</v>
      </c>
      <c r="AI57" s="52">
        <f t="shared" si="48"/>
        <v>7</v>
      </c>
      <c r="AJ57" s="144">
        <f t="shared" si="49"/>
        <v>-108.3393939393939</v>
      </c>
      <c r="AK57" s="156">
        <f t="shared" si="50"/>
        <v>92.7</v>
      </c>
    </row>
    <row r="58" spans="1:37" ht="12.75" customHeight="1">
      <c r="A58" s="33">
        <f>IF(ISERROR(VLOOKUP(RANK(H58,$H$2:$H$331),$A$2:A57,1,0)),RANK(H58,$H$2:$H$331),IF(ISERROR(VLOOKUP((RANK(H58,$H$2:$H$331)+1),$A$2:A57,1,0)),(RANK(H58,$H$2:$H$331)+1),(RANK(H58,$H$2:$H$331)+2)))</f>
        <v>197</v>
      </c>
      <c r="B58" s="33">
        <f>Cheatsheet!A83</f>
        <v>27</v>
      </c>
      <c r="C58" s="33" t="str">
        <f>Cheatsheet!B83</f>
        <v/>
      </c>
      <c r="D58" s="33" t="str">
        <f>Cheatsheet!C83</f>
        <v>Travis Kelce</v>
      </c>
      <c r="E58" s="33" t="str">
        <f>Cheatsheet!D83</f>
        <v>KC</v>
      </c>
      <c r="F58" s="33">
        <f>Cheatsheet!E83</f>
        <v>6</v>
      </c>
      <c r="G58" s="70">
        <f>Cheatsheet!F83</f>
        <v>78.599999999999994</v>
      </c>
      <c r="H58" s="70">
        <f>Cheatsheet!G83</f>
        <v>-87.26363636363638</v>
      </c>
      <c r="I58" s="33" t="s">
        <v>16</v>
      </c>
      <c r="J58" s="194"/>
      <c r="K58" s="122">
        <f t="shared" si="51"/>
        <v>57</v>
      </c>
      <c r="L58" s="144" t="str">
        <f t="shared" si="27"/>
        <v>QB</v>
      </c>
      <c r="M58" s="33">
        <f t="shared" si="28"/>
        <v>12</v>
      </c>
      <c r="N58" s="33" t="str">
        <f t="shared" si="29"/>
        <v/>
      </c>
      <c r="O58" s="52" t="str">
        <f t="shared" si="30"/>
        <v>Tom Brady</v>
      </c>
      <c r="P58" s="52" t="str">
        <f t="shared" si="31"/>
        <v>NE</v>
      </c>
      <c r="Q58" s="52">
        <f t="shared" si="32"/>
        <v>10</v>
      </c>
      <c r="R58" s="144">
        <f t="shared" si="33"/>
        <v>-0.71818181818179028</v>
      </c>
      <c r="S58" s="8">
        <f t="shared" si="34"/>
        <v>337.4</v>
      </c>
      <c r="T58" s="122">
        <f t="shared" si="52"/>
        <v>137</v>
      </c>
      <c r="U58" s="144" t="str">
        <f t="shared" si="35"/>
        <v>DST</v>
      </c>
      <c r="V58" s="33">
        <f t="shared" si="36"/>
        <v>21</v>
      </c>
      <c r="W58" s="33" t="str">
        <f t="shared" si="37"/>
        <v/>
      </c>
      <c r="X58" s="52" t="str">
        <f t="shared" si="38"/>
        <v>Colts</v>
      </c>
      <c r="Y58" s="52" t="str">
        <f t="shared" si="39"/>
        <v>IND</v>
      </c>
      <c r="Z58" s="52">
        <f t="shared" si="40"/>
        <v>10</v>
      </c>
      <c r="AA58" s="144">
        <f t="shared" si="41"/>
        <v>-38.445454545454538</v>
      </c>
      <c r="AB58" s="8">
        <f t="shared" si="42"/>
        <v>73.3</v>
      </c>
      <c r="AC58" s="122">
        <f t="shared" si="53"/>
        <v>217</v>
      </c>
      <c r="AD58" s="144" t="str">
        <f t="shared" si="43"/>
        <v>RB</v>
      </c>
      <c r="AE58" s="33">
        <f t="shared" si="44"/>
        <v>45</v>
      </c>
      <c r="AF58" s="33" t="str">
        <f t="shared" si="45"/>
        <v/>
      </c>
      <c r="AG58" s="52" t="str">
        <f t="shared" si="46"/>
        <v>Chris Ivory</v>
      </c>
      <c r="AH58" s="52" t="str">
        <f t="shared" si="47"/>
        <v>NYJ</v>
      </c>
      <c r="AI58" s="52">
        <f t="shared" si="48"/>
        <v>11</v>
      </c>
      <c r="AJ58" s="144">
        <f t="shared" si="49"/>
        <v>-109.29393939393935</v>
      </c>
      <c r="AK58" s="156">
        <f t="shared" si="50"/>
        <v>95.9</v>
      </c>
    </row>
    <row r="59" spans="1:37" ht="12.75" customHeight="1">
      <c r="A59" s="33">
        <f>IF(ISERROR(VLOOKUP(RANK(H59,$H$2:$H$331),$A$2:A58,1,0)),RANK(H59,$H$2:$H$331),IF(ISERROR(VLOOKUP((RANK(H59,$H$2:$H$331)+1),$A$2:A58,1,0)),(RANK(H59,$H$2:$H$331)+1),(RANK(H59,$H$2:$H$331)+2)))</f>
        <v>199</v>
      </c>
      <c r="B59" s="33">
        <f>Cheatsheet!A84</f>
        <v>28</v>
      </c>
      <c r="C59" s="33" t="str">
        <f>Cheatsheet!B84</f>
        <v/>
      </c>
      <c r="D59" s="33" t="str">
        <f>Cheatsheet!C84</f>
        <v>Brent Celek</v>
      </c>
      <c r="E59" s="33" t="str">
        <f>Cheatsheet!D84</f>
        <v>PHI</v>
      </c>
      <c r="F59" s="33">
        <f>Cheatsheet!E84</f>
        <v>7</v>
      </c>
      <c r="G59" s="70">
        <f>Cheatsheet!F84</f>
        <v>76</v>
      </c>
      <c r="H59" s="70">
        <f>Cheatsheet!G84</f>
        <v>-89.863636363636374</v>
      </c>
      <c r="I59" s="33" t="s">
        <v>16</v>
      </c>
      <c r="J59" s="194"/>
      <c r="K59" s="122">
        <f t="shared" si="51"/>
        <v>58</v>
      </c>
      <c r="L59" s="144" t="str">
        <f t="shared" si="27"/>
        <v>WR</v>
      </c>
      <c r="M59" s="33">
        <f t="shared" si="28"/>
        <v>13</v>
      </c>
      <c r="N59" s="33" t="str">
        <f t="shared" si="29"/>
        <v/>
      </c>
      <c r="O59" s="52" t="str">
        <f t="shared" si="30"/>
        <v>Larry Fitzgerald</v>
      </c>
      <c r="P59" s="52" t="str">
        <f t="shared" si="31"/>
        <v>ARI</v>
      </c>
      <c r="Q59" s="52">
        <f t="shared" si="32"/>
        <v>4</v>
      </c>
      <c r="R59" s="144">
        <f t="shared" si="33"/>
        <v>-1.4393939393939092</v>
      </c>
      <c r="S59" s="8">
        <f t="shared" si="34"/>
        <v>199.6</v>
      </c>
      <c r="T59" s="122">
        <f t="shared" si="52"/>
        <v>138</v>
      </c>
      <c r="U59" s="144" t="str">
        <f t="shared" si="35"/>
        <v>TE</v>
      </c>
      <c r="V59" s="33">
        <f t="shared" si="36"/>
        <v>13</v>
      </c>
      <c r="W59" s="33" t="str">
        <f t="shared" si="37"/>
        <v/>
      </c>
      <c r="X59" s="52" t="str">
        <f t="shared" si="38"/>
        <v>Charles Clay</v>
      </c>
      <c r="Y59" s="52" t="str">
        <f t="shared" si="39"/>
        <v>MIA</v>
      </c>
      <c r="Z59" s="52">
        <f t="shared" si="40"/>
        <v>5</v>
      </c>
      <c r="AA59" s="144">
        <f t="shared" si="41"/>
        <v>-39.463636363636368</v>
      </c>
      <c r="AB59" s="8">
        <f t="shared" si="42"/>
        <v>126.4</v>
      </c>
      <c r="AC59" s="122">
        <f t="shared" si="53"/>
        <v>218</v>
      </c>
      <c r="AD59" s="144" t="str">
        <f t="shared" si="43"/>
        <v>WR</v>
      </c>
      <c r="AE59" s="33">
        <f t="shared" si="44"/>
        <v>60</v>
      </c>
      <c r="AF59" s="33" t="str">
        <f t="shared" si="45"/>
        <v/>
      </c>
      <c r="AG59" s="52" t="str">
        <f t="shared" si="46"/>
        <v>Brandin Cooks</v>
      </c>
      <c r="AH59" s="52" t="str">
        <f t="shared" si="47"/>
        <v>NO</v>
      </c>
      <c r="AI59" s="52">
        <f t="shared" si="48"/>
        <v>6</v>
      </c>
      <c r="AJ59" s="144">
        <f t="shared" si="49"/>
        <v>-110.23939393939391</v>
      </c>
      <c r="AK59" s="156">
        <f t="shared" si="50"/>
        <v>90.8</v>
      </c>
    </row>
    <row r="60" spans="1:37" ht="12.75" customHeight="1">
      <c r="A60" s="33">
        <f>IF(ISERROR(VLOOKUP(RANK(H60,$H$2:$H$331),$A$2:A59,1,0)),RANK(H60,$H$2:$H$331),IF(ISERROR(VLOOKUP((RANK(H60,$H$2:$H$331)+1),$A$2:A59,1,0)),(RANK(H60,$H$2:$H$331)+1),(RANK(H60,$H$2:$H$331)+2)))</f>
        <v>202</v>
      </c>
      <c r="B60" s="33">
        <f>Cheatsheet!A85</f>
        <v>29</v>
      </c>
      <c r="C60" s="33" t="str">
        <f>Cheatsheet!B85</f>
        <v/>
      </c>
      <c r="D60" s="33" t="str">
        <f>Cheatsheet!C85</f>
        <v>Zach Miller</v>
      </c>
      <c r="E60" s="33" t="str">
        <f>Cheatsheet!D85</f>
        <v>SEA</v>
      </c>
      <c r="F60" s="33">
        <f>Cheatsheet!E85</f>
        <v>4</v>
      </c>
      <c r="G60" s="70">
        <f>Cheatsheet!F85</f>
        <v>73.900000000000006</v>
      </c>
      <c r="H60" s="70">
        <f>Cheatsheet!G85</f>
        <v>-91.963636363636368</v>
      </c>
      <c r="I60" s="33" t="s">
        <v>16</v>
      </c>
      <c r="J60" s="194"/>
      <c r="K60" s="122">
        <f t="shared" si="51"/>
        <v>59</v>
      </c>
      <c r="L60" s="144" t="str">
        <f t="shared" si="27"/>
        <v>K</v>
      </c>
      <c r="M60" s="33">
        <f t="shared" si="28"/>
        <v>7</v>
      </c>
      <c r="N60" s="33" t="str">
        <f t="shared" si="29"/>
        <v/>
      </c>
      <c r="O60" s="52" t="str">
        <f t="shared" si="30"/>
        <v>Nick Novak</v>
      </c>
      <c r="P60" s="52" t="str">
        <f t="shared" si="31"/>
        <v>SD</v>
      </c>
      <c r="Q60" s="52">
        <f t="shared" si="32"/>
        <v>10</v>
      </c>
      <c r="R60" s="144">
        <f t="shared" si="33"/>
        <v>-3.254545454545422</v>
      </c>
      <c r="S60" s="8">
        <f t="shared" si="34"/>
        <v>134.30000000000001</v>
      </c>
      <c r="T60" s="122">
        <f t="shared" si="52"/>
        <v>139</v>
      </c>
      <c r="U60" s="144" t="str">
        <f t="shared" si="35"/>
        <v>TE</v>
      </c>
      <c r="V60" s="33">
        <f t="shared" si="36"/>
        <v>14</v>
      </c>
      <c r="W60" s="33" t="str">
        <f t="shared" si="37"/>
        <v/>
      </c>
      <c r="X60" s="52" t="str">
        <f t="shared" si="38"/>
        <v>Antonio Gates</v>
      </c>
      <c r="Y60" s="52" t="str">
        <f t="shared" si="39"/>
        <v>SD</v>
      </c>
      <c r="Z60" s="52">
        <f t="shared" si="40"/>
        <v>10</v>
      </c>
      <c r="AA60" s="144">
        <f t="shared" si="41"/>
        <v>-39.963636363636368</v>
      </c>
      <c r="AB60" s="8">
        <f t="shared" si="42"/>
        <v>125.9</v>
      </c>
      <c r="AC60" s="122">
        <f t="shared" si="53"/>
        <v>219</v>
      </c>
      <c r="AD60" s="144" t="str">
        <f t="shared" si="43"/>
        <v>RB</v>
      </c>
      <c r="AE60" s="33">
        <f t="shared" si="44"/>
        <v>46</v>
      </c>
      <c r="AF60" s="33" t="str">
        <f t="shared" si="45"/>
        <v/>
      </c>
      <c r="AG60" s="52" t="str">
        <f t="shared" si="46"/>
        <v>Shonn Greene</v>
      </c>
      <c r="AH60" s="52" t="str">
        <f t="shared" si="47"/>
        <v>TEN</v>
      </c>
      <c r="AI60" s="52">
        <f t="shared" si="48"/>
        <v>9</v>
      </c>
      <c r="AJ60" s="144">
        <f t="shared" si="49"/>
        <v>-112.99393939393936</v>
      </c>
      <c r="AK60" s="156">
        <f t="shared" si="50"/>
        <v>92.2</v>
      </c>
    </row>
    <row r="61" spans="1:37" ht="12.75" customHeight="1">
      <c r="A61" s="33">
        <f>IF(ISERROR(VLOOKUP(RANK(H61,$H$2:$H$331),$A$2:A60,1,0)),RANK(H61,$H$2:$H$331),IF(ISERROR(VLOOKUP((RANK(H61,$H$2:$H$331)+1),$A$2:A60,1,0)),(RANK(H61,$H$2:$H$331)+1),(RANK(H61,$H$2:$H$331)+2)))</f>
        <v>203</v>
      </c>
      <c r="B61" s="33">
        <f>Cheatsheet!A86</f>
        <v>30</v>
      </c>
      <c r="C61" s="33" t="str">
        <f>Cheatsheet!B86</f>
        <v/>
      </c>
      <c r="D61" s="33" t="str">
        <f>Cheatsheet!C86</f>
        <v>Jermaine Gresham</v>
      </c>
      <c r="E61" s="33" t="str">
        <f>Cheatsheet!D86</f>
        <v>CIN</v>
      </c>
      <c r="F61" s="33">
        <f>Cheatsheet!E86</f>
        <v>4</v>
      </c>
      <c r="G61" s="70">
        <f>Cheatsheet!F86</f>
        <v>73.3</v>
      </c>
      <c r="H61" s="70">
        <f>Cheatsheet!G86</f>
        <v>-92.563636363636377</v>
      </c>
      <c r="I61" s="33" t="s">
        <v>16</v>
      </c>
      <c r="J61" s="194"/>
      <c r="K61" s="122">
        <f t="shared" si="51"/>
        <v>60</v>
      </c>
      <c r="L61" s="144" t="str">
        <f t="shared" si="27"/>
        <v>TE</v>
      </c>
      <c r="M61" s="33">
        <f t="shared" si="28"/>
        <v>5</v>
      </c>
      <c r="N61" s="33" t="str">
        <f t="shared" si="29"/>
        <v/>
      </c>
      <c r="O61" s="52" t="str">
        <f t="shared" si="30"/>
        <v>Jordan Cameron</v>
      </c>
      <c r="P61" s="52" t="str">
        <f t="shared" si="31"/>
        <v>CLE</v>
      </c>
      <c r="Q61" s="52">
        <f t="shared" si="32"/>
        <v>4</v>
      </c>
      <c r="R61" s="144">
        <f t="shared" si="33"/>
        <v>-3.863636363636374</v>
      </c>
      <c r="S61" s="8">
        <f t="shared" si="34"/>
        <v>162</v>
      </c>
      <c r="T61" s="122">
        <f t="shared" si="52"/>
        <v>140</v>
      </c>
      <c r="U61" s="144" t="str">
        <f t="shared" si="35"/>
        <v>DST</v>
      </c>
      <c r="V61" s="33">
        <f t="shared" si="36"/>
        <v>22</v>
      </c>
      <c r="W61" s="33" t="str">
        <f t="shared" si="37"/>
        <v/>
      </c>
      <c r="X61" s="52" t="str">
        <f t="shared" si="38"/>
        <v>Giants</v>
      </c>
      <c r="Y61" s="52" t="str">
        <f t="shared" si="39"/>
        <v>NYG</v>
      </c>
      <c r="Z61" s="52">
        <f t="shared" si="40"/>
        <v>8</v>
      </c>
      <c r="AA61" s="144">
        <f t="shared" si="41"/>
        <v>-40.645454545454541</v>
      </c>
      <c r="AB61" s="8">
        <f t="shared" si="42"/>
        <v>71.099999999999994</v>
      </c>
      <c r="AC61" s="122">
        <f t="shared" si="53"/>
        <v>220</v>
      </c>
      <c r="AD61" s="144" t="str">
        <f t="shared" si="43"/>
        <v>WR</v>
      </c>
      <c r="AE61" s="33">
        <f t="shared" si="44"/>
        <v>61</v>
      </c>
      <c r="AF61" s="33" t="str">
        <f t="shared" si="45"/>
        <v/>
      </c>
      <c r="AG61" s="52" t="str">
        <f t="shared" si="46"/>
        <v>Donnie Avery</v>
      </c>
      <c r="AH61" s="52" t="str">
        <f t="shared" si="47"/>
        <v>KC</v>
      </c>
      <c r="AI61" s="52">
        <f t="shared" si="48"/>
        <v>6</v>
      </c>
      <c r="AJ61" s="144">
        <f t="shared" si="49"/>
        <v>-113.43939393939391</v>
      </c>
      <c r="AK61" s="156">
        <f t="shared" si="50"/>
        <v>87.6</v>
      </c>
    </row>
    <row r="62" spans="1:37" ht="12.75" customHeight="1">
      <c r="A62" s="33"/>
      <c r="B62" s="33"/>
      <c r="C62" s="33"/>
      <c r="D62" s="33"/>
      <c r="E62" s="33"/>
      <c r="F62" s="33"/>
      <c r="G62" s="70"/>
      <c r="H62" s="70"/>
      <c r="I62" s="33"/>
      <c r="J62" s="194"/>
      <c r="K62" s="122">
        <f t="shared" si="51"/>
        <v>61</v>
      </c>
      <c r="L62" s="144" t="str">
        <f t="shared" si="27"/>
        <v>K</v>
      </c>
      <c r="M62" s="33">
        <f t="shared" si="28"/>
        <v>8</v>
      </c>
      <c r="N62" s="33" t="str">
        <f t="shared" si="29"/>
        <v/>
      </c>
      <c r="O62" s="52" t="str">
        <f t="shared" si="30"/>
        <v>Dan Bailey</v>
      </c>
      <c r="P62" s="52" t="str">
        <f t="shared" si="31"/>
        <v>DAL</v>
      </c>
      <c r="Q62" s="52">
        <f t="shared" si="32"/>
        <v>11</v>
      </c>
      <c r="R62" s="144">
        <f t="shared" si="33"/>
        <v>-3.954545454545439</v>
      </c>
      <c r="S62" s="8">
        <f t="shared" si="34"/>
        <v>133.6</v>
      </c>
      <c r="T62" s="122">
        <f t="shared" si="52"/>
        <v>141</v>
      </c>
      <c r="U62" s="144" t="str">
        <f t="shared" si="35"/>
        <v>WR</v>
      </c>
      <c r="V62" s="33">
        <f t="shared" si="36"/>
        <v>33</v>
      </c>
      <c r="W62" s="33" t="str">
        <f t="shared" si="37"/>
        <v/>
      </c>
      <c r="X62" s="52" t="str">
        <f t="shared" si="38"/>
        <v>Reggie Wayne</v>
      </c>
      <c r="Y62" s="52" t="str">
        <f t="shared" si="39"/>
        <v>IND</v>
      </c>
      <c r="Z62" s="52">
        <f t="shared" si="40"/>
        <v>10</v>
      </c>
      <c r="AA62" s="144">
        <f t="shared" si="41"/>
        <v>-40.839393939393915</v>
      </c>
      <c r="AB62" s="8">
        <f t="shared" si="42"/>
        <v>160.19999999999999</v>
      </c>
      <c r="AC62" s="122">
        <f t="shared" si="53"/>
        <v>221</v>
      </c>
      <c r="AD62" s="144" t="str">
        <f t="shared" si="43"/>
        <v>WR</v>
      </c>
      <c r="AE62" s="33">
        <f t="shared" si="44"/>
        <v>62</v>
      </c>
      <c r="AF62" s="33" t="str">
        <f t="shared" si="45"/>
        <v/>
      </c>
      <c r="AG62" s="52" t="str">
        <f t="shared" si="46"/>
        <v>Justin Hunter</v>
      </c>
      <c r="AH62" s="52" t="str">
        <f t="shared" si="47"/>
        <v>TEN</v>
      </c>
      <c r="AI62" s="52">
        <f t="shared" si="48"/>
        <v>9</v>
      </c>
      <c r="AJ62" s="144">
        <f t="shared" si="49"/>
        <v>-113.93939393939391</v>
      </c>
      <c r="AK62" s="156">
        <f t="shared" si="50"/>
        <v>87.1</v>
      </c>
    </row>
    <row r="63" spans="1:37" ht="12.75" customHeight="1">
      <c r="A63" s="33"/>
      <c r="B63" s="33"/>
      <c r="C63" s="33"/>
      <c r="D63" s="33"/>
      <c r="E63" s="33"/>
      <c r="F63" s="33"/>
      <c r="G63" s="70"/>
      <c r="H63" s="70"/>
      <c r="I63" s="33"/>
      <c r="J63" s="194"/>
      <c r="K63" s="122">
        <f t="shared" si="51"/>
        <v>62</v>
      </c>
      <c r="L63" s="144" t="str">
        <f t="shared" si="27"/>
        <v>WR</v>
      </c>
      <c r="M63" s="33">
        <f t="shared" si="28"/>
        <v>14</v>
      </c>
      <c r="N63" s="33" t="str">
        <f t="shared" si="29"/>
        <v/>
      </c>
      <c r="O63" s="52" t="str">
        <f t="shared" si="30"/>
        <v>Keenan Allen</v>
      </c>
      <c r="P63" s="52" t="str">
        <f t="shared" si="31"/>
        <v>SD</v>
      </c>
      <c r="Q63" s="52">
        <f t="shared" si="32"/>
        <v>10</v>
      </c>
      <c r="R63" s="144">
        <f t="shared" si="33"/>
        <v>-4.0393939393939036</v>
      </c>
      <c r="S63" s="8">
        <f t="shared" si="34"/>
        <v>197</v>
      </c>
      <c r="T63" s="122">
        <f t="shared" si="52"/>
        <v>142</v>
      </c>
      <c r="U63" s="144" t="str">
        <f t="shared" si="35"/>
        <v>K</v>
      </c>
      <c r="V63" s="33">
        <f t="shared" si="36"/>
        <v>29</v>
      </c>
      <c r="W63" s="33" t="str">
        <f t="shared" si="37"/>
        <v/>
      </c>
      <c r="X63" s="52" t="str">
        <f t="shared" si="38"/>
        <v>Maikon Bonani</v>
      </c>
      <c r="Y63" s="52" t="str">
        <f t="shared" si="39"/>
        <v>TEN</v>
      </c>
      <c r="Z63" s="52">
        <f t="shared" si="40"/>
        <v>9</v>
      </c>
      <c r="AA63" s="144">
        <f t="shared" si="41"/>
        <v>-41.554545454545433</v>
      </c>
      <c r="AB63" s="8">
        <f t="shared" si="42"/>
        <v>96</v>
      </c>
      <c r="AC63" s="122">
        <f t="shared" si="53"/>
        <v>222</v>
      </c>
      <c r="AD63" s="144" t="str">
        <f t="shared" si="43"/>
        <v>RB</v>
      </c>
      <c r="AE63" s="33">
        <f t="shared" si="44"/>
        <v>47</v>
      </c>
      <c r="AF63" s="33" t="str">
        <f t="shared" si="45"/>
        <v/>
      </c>
      <c r="AG63" s="52" t="str">
        <f t="shared" si="46"/>
        <v>Lance Dunbar</v>
      </c>
      <c r="AH63" s="52" t="str">
        <f t="shared" si="47"/>
        <v>DAL</v>
      </c>
      <c r="AI63" s="52">
        <f t="shared" si="48"/>
        <v>11</v>
      </c>
      <c r="AJ63" s="144">
        <f t="shared" si="49"/>
        <v>-115.59393939393937</v>
      </c>
      <c r="AK63" s="156">
        <f t="shared" si="50"/>
        <v>89.6</v>
      </c>
    </row>
    <row r="64" spans="1:37" ht="12.75" customHeight="1">
      <c r="A64" s="33"/>
      <c r="B64" s="33"/>
      <c r="C64" s="33"/>
      <c r="D64" s="33"/>
      <c r="E64" s="33"/>
      <c r="F64" s="33"/>
      <c r="G64" s="70"/>
      <c r="H64" s="70"/>
      <c r="I64" s="33"/>
      <c r="J64" s="194"/>
      <c r="K64" s="122">
        <f t="shared" si="51"/>
        <v>63</v>
      </c>
      <c r="L64" s="144" t="str">
        <f t="shared" si="27"/>
        <v>WR</v>
      </c>
      <c r="M64" s="33">
        <f t="shared" si="28"/>
        <v>15</v>
      </c>
      <c r="N64" s="33" t="str">
        <f t="shared" si="29"/>
        <v/>
      </c>
      <c r="O64" s="52" t="str">
        <f t="shared" si="30"/>
        <v>Pierre Garcon</v>
      </c>
      <c r="P64" s="52" t="str">
        <f t="shared" si="31"/>
        <v>WSH</v>
      </c>
      <c r="Q64" s="52">
        <f t="shared" si="32"/>
        <v>10</v>
      </c>
      <c r="R64" s="144">
        <f t="shared" si="33"/>
        <v>-4.2393939393938922</v>
      </c>
      <c r="S64" s="8">
        <f t="shared" si="34"/>
        <v>196.8</v>
      </c>
      <c r="T64" s="122">
        <f t="shared" si="52"/>
        <v>143</v>
      </c>
      <c r="U64" s="144" t="str">
        <f t="shared" si="35"/>
        <v>TE</v>
      </c>
      <c r="V64" s="33">
        <f t="shared" si="36"/>
        <v>15</v>
      </c>
      <c r="W64" s="33" t="str">
        <f t="shared" si="37"/>
        <v/>
      </c>
      <c r="X64" s="52" t="str">
        <f t="shared" si="38"/>
        <v>Heath Miller</v>
      </c>
      <c r="Y64" s="52" t="str">
        <f t="shared" si="39"/>
        <v>PIT</v>
      </c>
      <c r="Z64" s="52">
        <f t="shared" si="40"/>
        <v>12</v>
      </c>
      <c r="AA64" s="144">
        <f t="shared" si="41"/>
        <v>-42.063636363636377</v>
      </c>
      <c r="AB64" s="8">
        <f t="shared" si="42"/>
        <v>123.8</v>
      </c>
      <c r="AC64" s="122">
        <f t="shared" si="53"/>
        <v>223</v>
      </c>
      <c r="AD64" s="144" t="str">
        <f t="shared" si="43"/>
        <v>RB</v>
      </c>
      <c r="AE64" s="33">
        <f t="shared" si="44"/>
        <v>48</v>
      </c>
      <c r="AF64" s="33" t="str">
        <f t="shared" si="45"/>
        <v/>
      </c>
      <c r="AG64" s="52" t="str">
        <f t="shared" si="46"/>
        <v>Mike Tolbert</v>
      </c>
      <c r="AH64" s="52" t="str">
        <f t="shared" si="47"/>
        <v>CAR</v>
      </c>
      <c r="AI64" s="52">
        <f t="shared" si="48"/>
        <v>12</v>
      </c>
      <c r="AJ64" s="144">
        <f t="shared" si="49"/>
        <v>-115.59393939393937</v>
      </c>
      <c r="AK64" s="156">
        <f t="shared" si="50"/>
        <v>89.6</v>
      </c>
    </row>
    <row r="65" spans="1:37" ht="12.75" customHeight="1">
      <c r="A65" s="33"/>
      <c r="B65" s="33"/>
      <c r="C65" s="33"/>
      <c r="D65" s="33"/>
      <c r="E65" s="33"/>
      <c r="F65" s="33"/>
      <c r="G65" s="70"/>
      <c r="H65" s="70"/>
      <c r="I65" s="33"/>
      <c r="J65" s="194"/>
      <c r="K65" s="122">
        <f t="shared" si="51"/>
        <v>64</v>
      </c>
      <c r="L65" s="144" t="str">
        <f t="shared" si="27"/>
        <v>WR</v>
      </c>
      <c r="M65" s="33">
        <f t="shared" si="28"/>
        <v>16</v>
      </c>
      <c r="N65" s="33" t="str">
        <f t="shared" si="29"/>
        <v/>
      </c>
      <c r="O65" s="52" t="str">
        <f t="shared" si="30"/>
        <v>Victor Cruz</v>
      </c>
      <c r="P65" s="52" t="str">
        <f t="shared" si="31"/>
        <v>NYG</v>
      </c>
      <c r="Q65" s="52">
        <f t="shared" si="32"/>
        <v>8</v>
      </c>
      <c r="R65" s="144">
        <f t="shared" si="33"/>
        <v>-5.2393939393938922</v>
      </c>
      <c r="S65" s="8">
        <f t="shared" si="34"/>
        <v>195.8</v>
      </c>
      <c r="T65" s="122">
        <f t="shared" si="52"/>
        <v>144</v>
      </c>
      <c r="U65" s="144" t="str">
        <f t="shared" si="35"/>
        <v>WR</v>
      </c>
      <c r="V65" s="33">
        <f t="shared" si="36"/>
        <v>34</v>
      </c>
      <c r="W65" s="33" t="str">
        <f t="shared" si="37"/>
        <v/>
      </c>
      <c r="X65" s="52" t="str">
        <f t="shared" si="38"/>
        <v>Eric Decker</v>
      </c>
      <c r="Y65" s="52" t="str">
        <f t="shared" si="39"/>
        <v>NYJ</v>
      </c>
      <c r="Z65" s="52">
        <f t="shared" si="40"/>
        <v>11</v>
      </c>
      <c r="AA65" s="144">
        <f t="shared" si="41"/>
        <v>-42.339393939393915</v>
      </c>
      <c r="AB65" s="8">
        <f t="shared" si="42"/>
        <v>158.69999999999999</v>
      </c>
      <c r="AC65" s="122">
        <f t="shared" si="53"/>
        <v>224</v>
      </c>
      <c r="AD65" s="144" t="str">
        <f t="shared" si="43"/>
        <v>WR</v>
      </c>
      <c r="AE65" s="33">
        <f t="shared" si="44"/>
        <v>63</v>
      </c>
      <c r="AF65" s="33" t="str">
        <f t="shared" si="45"/>
        <v/>
      </c>
      <c r="AG65" s="52" t="str">
        <f t="shared" si="46"/>
        <v>Greg Jennings</v>
      </c>
      <c r="AH65" s="52" t="str">
        <f t="shared" si="47"/>
        <v>MIN</v>
      </c>
      <c r="AI65" s="52">
        <f t="shared" si="48"/>
        <v>10</v>
      </c>
      <c r="AJ65" s="144">
        <f t="shared" si="49"/>
        <v>-115.6393939393939</v>
      </c>
      <c r="AK65" s="156">
        <f t="shared" si="50"/>
        <v>85.4</v>
      </c>
    </row>
    <row r="66" spans="1:37" ht="12.75" customHeight="1">
      <c r="A66" s="33"/>
      <c r="B66" s="33"/>
      <c r="C66" s="33"/>
      <c r="D66" s="33"/>
      <c r="E66" s="33"/>
      <c r="F66" s="33"/>
      <c r="G66" s="70"/>
      <c r="H66" s="70"/>
      <c r="I66" s="33"/>
      <c r="J66" s="194"/>
      <c r="K66" s="122">
        <f t="shared" si="51"/>
        <v>65</v>
      </c>
      <c r="L66" s="144" t="str">
        <f t="shared" ref="L66:L97" si="54">VLOOKUP(K66,$A:$I,9,0)</f>
        <v>WR</v>
      </c>
      <c r="M66" s="33">
        <f t="shared" ref="M66:M81" si="55">VLOOKUP(K66,$A:$I,2,0)</f>
        <v>17</v>
      </c>
      <c r="N66" s="33" t="str">
        <f t="shared" ref="N66:N81" si="56">VLOOKUP(K66,$A:$I,3,0)</f>
        <v/>
      </c>
      <c r="O66" s="52" t="str">
        <f t="shared" ref="O66:O81" si="57">VLOOKUP(K66,$A:$I,4,0)</f>
        <v>Michael Crabtree</v>
      </c>
      <c r="P66" s="52" t="str">
        <f t="shared" ref="P66:P81" si="58">VLOOKUP(K66,$A:$I,5,0)</f>
        <v>SF</v>
      </c>
      <c r="Q66" s="52">
        <f t="shared" ref="Q66:Q81" si="59">VLOOKUP(K66,$A:$I,6,0)</f>
        <v>8</v>
      </c>
      <c r="R66" s="144">
        <f t="shared" ref="R66:R81" si="60">VLOOKUP(K66,$A:$I,8,0)</f>
        <v>-5.3393939393939149</v>
      </c>
      <c r="S66" s="8">
        <f t="shared" ref="S66:S81" si="61">VLOOKUP(K66,$A:$I,7,0)</f>
        <v>195.7</v>
      </c>
      <c r="T66" s="122">
        <f t="shared" si="52"/>
        <v>145</v>
      </c>
      <c r="U66" s="144" t="str">
        <f t="shared" ref="U66:U97" si="62">VLOOKUP(T66,$A:$I,9,0)</f>
        <v>K</v>
      </c>
      <c r="V66" s="33">
        <f t="shared" ref="V66:V81" si="63">VLOOKUP(T66,$A:$I,2,0)</f>
        <v>30</v>
      </c>
      <c r="W66" s="33" t="str">
        <f t="shared" ref="W66:W81" si="64">VLOOKUP(T66,$A:$I,3,0)</f>
        <v/>
      </c>
      <c r="X66" s="52" t="str">
        <f t="shared" ref="X66:X81" si="65">VLOOKUP(T66,$A:$I,4,0)</f>
        <v>Billy Cundiff</v>
      </c>
      <c r="Y66" s="52" t="str">
        <f t="shared" ref="Y66:Y81" si="66">VLOOKUP(T66,$A:$I,5,0)</f>
        <v>CLE</v>
      </c>
      <c r="Z66" s="52">
        <f t="shared" ref="Z66:Z81" si="67">VLOOKUP(T66,$A:$I,6,0)</f>
        <v>4</v>
      </c>
      <c r="AA66" s="144">
        <f t="shared" ref="AA66:AA81" si="68">VLOOKUP(T66,$A:$I,8,0)</f>
        <v>-42.454545454545439</v>
      </c>
      <c r="AB66" s="8">
        <f t="shared" ref="AB66:AB81" si="69">VLOOKUP(T66,$A:$I,7,0)</f>
        <v>95.1</v>
      </c>
      <c r="AC66" s="122">
        <f t="shared" si="53"/>
        <v>225</v>
      </c>
      <c r="AD66" s="144" t="str">
        <f t="shared" ref="AD66:AD97" si="70">VLOOKUP(AC66,$A:$I,9,0)</f>
        <v>WR</v>
      </c>
      <c r="AE66" s="33">
        <f t="shared" ref="AE66:AE81" si="71">VLOOKUP(AC66,$A:$I,2,0)</f>
        <v>64</v>
      </c>
      <c r="AF66" s="33" t="str">
        <f t="shared" ref="AF66:AF81" si="72">VLOOKUP(AC66,$A:$I,3,0)</f>
        <v/>
      </c>
      <c r="AG66" s="52" t="str">
        <f t="shared" ref="AG66:AG81" si="73">VLOOKUP(AC66,$A:$I,4,0)</f>
        <v>Hakeem Nicks</v>
      </c>
      <c r="AH66" s="52" t="str">
        <f t="shared" ref="AH66:AH81" si="74">VLOOKUP(AC66,$A:$I,5,0)</f>
        <v>IND</v>
      </c>
      <c r="AI66" s="52">
        <f t="shared" ref="AI66:AI81" si="75">VLOOKUP(AC66,$A:$I,6,0)</f>
        <v>10</v>
      </c>
      <c r="AJ66" s="144">
        <f t="shared" ref="AJ66:AJ81" si="76">VLOOKUP(AC66,$A:$I,8,0)</f>
        <v>-116.43939393939391</v>
      </c>
      <c r="AK66" s="156">
        <f t="shared" ref="AK66:AK81" si="77">VLOOKUP(AC66,$A:$I,7,0)</f>
        <v>84.6</v>
      </c>
    </row>
    <row r="67" spans="1:37" ht="12.75" customHeight="1">
      <c r="A67" s="33"/>
      <c r="B67" s="33"/>
      <c r="C67" s="33"/>
      <c r="D67" s="33"/>
      <c r="E67" s="33"/>
      <c r="F67" s="33"/>
      <c r="G67" s="70"/>
      <c r="H67" s="70"/>
      <c r="I67" s="33"/>
      <c r="J67" s="194"/>
      <c r="K67" s="122">
        <f t="shared" ref="K67:K81" si="78">K66+1</f>
        <v>66</v>
      </c>
      <c r="L67" s="144" t="str">
        <f t="shared" si="54"/>
        <v>WR</v>
      </c>
      <c r="M67" s="33">
        <f t="shared" si="55"/>
        <v>18</v>
      </c>
      <c r="N67" s="33" t="str">
        <f t="shared" si="56"/>
        <v/>
      </c>
      <c r="O67" s="52" t="str">
        <f t="shared" si="57"/>
        <v>Roddy White</v>
      </c>
      <c r="P67" s="52" t="str">
        <f t="shared" si="58"/>
        <v>ATL</v>
      </c>
      <c r="Q67" s="52">
        <f t="shared" si="59"/>
        <v>9</v>
      </c>
      <c r="R67" s="144">
        <f t="shared" si="60"/>
        <v>-5.8393939393939149</v>
      </c>
      <c r="S67" s="8">
        <f t="shared" si="61"/>
        <v>195.2</v>
      </c>
      <c r="T67" s="122">
        <f t="shared" ref="T67:T81" si="79">T66+1</f>
        <v>146</v>
      </c>
      <c r="U67" s="144" t="str">
        <f t="shared" si="62"/>
        <v>DST</v>
      </c>
      <c r="V67" s="33">
        <f t="shared" si="63"/>
        <v>23</v>
      </c>
      <c r="W67" s="33" t="str">
        <f t="shared" si="64"/>
        <v/>
      </c>
      <c r="X67" s="52" t="str">
        <f t="shared" si="65"/>
        <v>Bears</v>
      </c>
      <c r="Y67" s="52" t="str">
        <f t="shared" si="66"/>
        <v>CHI</v>
      </c>
      <c r="Z67" s="52">
        <f t="shared" si="67"/>
        <v>9</v>
      </c>
      <c r="AA67" s="144">
        <f t="shared" si="68"/>
        <v>-42.84545454545453</v>
      </c>
      <c r="AB67" s="8">
        <f t="shared" si="69"/>
        <v>68.900000000000006</v>
      </c>
      <c r="AC67" s="122">
        <f t="shared" ref="AC67:AC81" si="80">AC66+1</f>
        <v>226</v>
      </c>
      <c r="AD67" s="144" t="str">
        <f t="shared" si="70"/>
        <v>WR</v>
      </c>
      <c r="AE67" s="33">
        <f t="shared" si="71"/>
        <v>65</v>
      </c>
      <c r="AF67" s="33" t="str">
        <f t="shared" si="72"/>
        <v/>
      </c>
      <c r="AG67" s="52" t="str">
        <f t="shared" si="73"/>
        <v>Jerricho Cotchery</v>
      </c>
      <c r="AH67" s="52" t="str">
        <f t="shared" si="74"/>
        <v>CAR</v>
      </c>
      <c r="AI67" s="52">
        <f t="shared" si="75"/>
        <v>12</v>
      </c>
      <c r="AJ67" s="144">
        <f t="shared" si="76"/>
        <v>-117.23939393939391</v>
      </c>
      <c r="AK67" s="156">
        <f t="shared" si="77"/>
        <v>83.8</v>
      </c>
    </row>
    <row r="68" spans="1:37" ht="12.75" customHeight="1">
      <c r="A68" s="33"/>
      <c r="B68" s="33"/>
      <c r="C68" s="33"/>
      <c r="D68" s="33"/>
      <c r="E68" s="33"/>
      <c r="F68" s="33"/>
      <c r="G68" s="70"/>
      <c r="H68" s="70"/>
      <c r="I68" s="33"/>
      <c r="J68" s="194"/>
      <c r="K68" s="122">
        <f t="shared" si="78"/>
        <v>67</v>
      </c>
      <c r="L68" s="144" t="str">
        <f t="shared" si="54"/>
        <v>K</v>
      </c>
      <c r="M68" s="33">
        <f t="shared" si="55"/>
        <v>9</v>
      </c>
      <c r="N68" s="33" t="str">
        <f t="shared" si="56"/>
        <v/>
      </c>
      <c r="O68" s="52" t="str">
        <f t="shared" si="57"/>
        <v>Shayne Graham</v>
      </c>
      <c r="P68" s="52" t="str">
        <f t="shared" si="58"/>
        <v>NO</v>
      </c>
      <c r="Q68" s="52">
        <f t="shared" si="59"/>
        <v>6</v>
      </c>
      <c r="R68" s="144">
        <f t="shared" si="60"/>
        <v>-5.8545454545454447</v>
      </c>
      <c r="S68" s="8">
        <f t="shared" si="61"/>
        <v>131.69999999999999</v>
      </c>
      <c r="T68" s="122">
        <f t="shared" si="79"/>
        <v>147</v>
      </c>
      <c r="U68" s="144" t="str">
        <f t="shared" si="62"/>
        <v>DST</v>
      </c>
      <c r="V68" s="33">
        <f t="shared" si="63"/>
        <v>24</v>
      </c>
      <c r="W68" s="33" t="str">
        <f t="shared" si="64"/>
        <v/>
      </c>
      <c r="X68" s="52" t="str">
        <f t="shared" si="65"/>
        <v>Jets</v>
      </c>
      <c r="Y68" s="52" t="str">
        <f t="shared" si="66"/>
        <v>NYJ</v>
      </c>
      <c r="Z68" s="52">
        <f t="shared" si="67"/>
        <v>11</v>
      </c>
      <c r="AA68" s="144">
        <f t="shared" si="68"/>
        <v>-42.945454545454538</v>
      </c>
      <c r="AB68" s="8">
        <f t="shared" si="69"/>
        <v>68.8</v>
      </c>
      <c r="AC68" s="122">
        <f t="shared" si="80"/>
        <v>227</v>
      </c>
      <c r="AD68" s="144" t="str">
        <f t="shared" si="70"/>
        <v>QB</v>
      </c>
      <c r="AE68" s="33">
        <f t="shared" si="71"/>
        <v>26</v>
      </c>
      <c r="AF68" s="33" t="str">
        <f t="shared" si="72"/>
        <v/>
      </c>
      <c r="AG68" s="52" t="str">
        <f t="shared" si="73"/>
        <v>Johnny Manziel</v>
      </c>
      <c r="AH68" s="52" t="str">
        <f t="shared" si="74"/>
        <v>CLE</v>
      </c>
      <c r="AI68" s="52">
        <f t="shared" si="75"/>
        <v>4</v>
      </c>
      <c r="AJ68" s="144">
        <f t="shared" si="76"/>
        <v>-117.41818181818178</v>
      </c>
      <c r="AK68" s="156">
        <f t="shared" si="77"/>
        <v>220.7</v>
      </c>
    </row>
    <row r="69" spans="1:37" ht="12.75" customHeight="1">
      <c r="A69" s="33"/>
      <c r="B69" s="33"/>
      <c r="C69" s="33"/>
      <c r="D69" s="33"/>
      <c r="E69" s="33"/>
      <c r="F69" s="33"/>
      <c r="G69" s="70"/>
      <c r="H69" s="70"/>
      <c r="I69" s="33"/>
      <c r="J69" s="194"/>
      <c r="K69" s="122">
        <f t="shared" si="78"/>
        <v>68</v>
      </c>
      <c r="L69" s="144" t="str">
        <f t="shared" si="54"/>
        <v>TE</v>
      </c>
      <c r="M69" s="33">
        <f t="shared" si="55"/>
        <v>6</v>
      </c>
      <c r="N69" s="33" t="str">
        <f t="shared" si="56"/>
        <v/>
      </c>
      <c r="O69" s="52" t="str">
        <f t="shared" si="57"/>
        <v>Jason Witten</v>
      </c>
      <c r="P69" s="52" t="str">
        <f t="shared" si="58"/>
        <v>DAL</v>
      </c>
      <c r="Q69" s="52">
        <f t="shared" si="59"/>
        <v>11</v>
      </c>
      <c r="R69" s="144">
        <f t="shared" si="60"/>
        <v>-6.7636363636363797</v>
      </c>
      <c r="S69" s="8">
        <f t="shared" si="61"/>
        <v>159.1</v>
      </c>
      <c r="T69" s="122">
        <f t="shared" si="79"/>
        <v>148</v>
      </c>
      <c r="U69" s="144" t="str">
        <f t="shared" si="62"/>
        <v>TE</v>
      </c>
      <c r="V69" s="33">
        <f t="shared" si="63"/>
        <v>16</v>
      </c>
      <c r="W69" s="33" t="str">
        <f t="shared" si="64"/>
        <v/>
      </c>
      <c r="X69" s="52" t="str">
        <f t="shared" si="65"/>
        <v>Delanie Walker</v>
      </c>
      <c r="Y69" s="52" t="str">
        <f t="shared" si="66"/>
        <v>TEN</v>
      </c>
      <c r="Z69" s="52">
        <f t="shared" si="67"/>
        <v>9</v>
      </c>
      <c r="AA69" s="144">
        <f t="shared" si="68"/>
        <v>-43.963636363636368</v>
      </c>
      <c r="AB69" s="8">
        <f t="shared" si="69"/>
        <v>121.9</v>
      </c>
      <c r="AC69" s="122">
        <f t="shared" si="80"/>
        <v>228</v>
      </c>
      <c r="AD69" s="144" t="str">
        <f t="shared" si="70"/>
        <v>RB</v>
      </c>
      <c r="AE69" s="33">
        <f t="shared" si="71"/>
        <v>49</v>
      </c>
      <c r="AF69" s="33" t="str">
        <f t="shared" si="72"/>
        <v/>
      </c>
      <c r="AG69" s="52" t="str">
        <f t="shared" si="73"/>
        <v>LeGarrette Blount</v>
      </c>
      <c r="AH69" s="52" t="str">
        <f t="shared" si="74"/>
        <v>PIT</v>
      </c>
      <c r="AI69" s="52">
        <f t="shared" si="75"/>
        <v>12</v>
      </c>
      <c r="AJ69" s="144">
        <f t="shared" si="76"/>
        <v>-118.39393939393936</v>
      </c>
      <c r="AK69" s="156">
        <f t="shared" si="77"/>
        <v>86.8</v>
      </c>
    </row>
    <row r="70" spans="1:37" ht="12.75" customHeight="1">
      <c r="A70" s="33"/>
      <c r="B70" s="33"/>
      <c r="C70" s="33"/>
      <c r="D70" s="33"/>
      <c r="E70" s="33"/>
      <c r="F70" s="33"/>
      <c r="G70" s="70"/>
      <c r="H70" s="70"/>
      <c r="I70" s="33"/>
      <c r="J70" s="194"/>
      <c r="K70" s="122">
        <f t="shared" si="78"/>
        <v>69</v>
      </c>
      <c r="L70" s="144" t="str">
        <f t="shared" si="54"/>
        <v>K</v>
      </c>
      <c r="M70" s="33">
        <f t="shared" si="55"/>
        <v>10</v>
      </c>
      <c r="N70" s="33" t="str">
        <f t="shared" si="56"/>
        <v/>
      </c>
      <c r="O70" s="52" t="str">
        <f t="shared" si="57"/>
        <v>Blair Walsh</v>
      </c>
      <c r="P70" s="52" t="str">
        <f t="shared" si="58"/>
        <v>MIN</v>
      </c>
      <c r="Q70" s="52">
        <f t="shared" si="59"/>
        <v>10</v>
      </c>
      <c r="R70" s="144">
        <f t="shared" si="60"/>
        <v>-7.3545454545454447</v>
      </c>
      <c r="S70" s="8">
        <f t="shared" si="61"/>
        <v>130.19999999999999</v>
      </c>
      <c r="T70" s="122">
        <f t="shared" si="79"/>
        <v>149</v>
      </c>
      <c r="U70" s="144" t="str">
        <f t="shared" si="62"/>
        <v>QB</v>
      </c>
      <c r="V70" s="33">
        <f t="shared" si="63"/>
        <v>18</v>
      </c>
      <c r="W70" s="33" t="str">
        <f t="shared" si="64"/>
        <v/>
      </c>
      <c r="X70" s="52" t="str">
        <f t="shared" si="65"/>
        <v>Alex Smith</v>
      </c>
      <c r="Y70" s="52" t="str">
        <f t="shared" si="66"/>
        <v>KC</v>
      </c>
      <c r="Z70" s="52">
        <f t="shared" si="67"/>
        <v>6</v>
      </c>
      <c r="AA70" s="144">
        <f t="shared" si="68"/>
        <v>-44.618181818181768</v>
      </c>
      <c r="AB70" s="8">
        <f t="shared" si="69"/>
        <v>293.5</v>
      </c>
      <c r="AC70" s="122">
        <f t="shared" si="80"/>
        <v>229</v>
      </c>
      <c r="AD70" s="144" t="str">
        <f t="shared" si="70"/>
        <v>WR</v>
      </c>
      <c r="AE70" s="33">
        <f t="shared" si="71"/>
        <v>66</v>
      </c>
      <c r="AF70" s="33" t="str">
        <f t="shared" si="72"/>
        <v/>
      </c>
      <c r="AG70" s="52" t="str">
        <f t="shared" si="73"/>
        <v>Jeremy Kerley</v>
      </c>
      <c r="AH70" s="52" t="str">
        <f t="shared" si="74"/>
        <v>NYJ</v>
      </c>
      <c r="AI70" s="52">
        <f t="shared" si="75"/>
        <v>11</v>
      </c>
      <c r="AJ70" s="144">
        <f t="shared" si="76"/>
        <v>-119.3393939393939</v>
      </c>
      <c r="AK70" s="156">
        <f t="shared" si="77"/>
        <v>81.7</v>
      </c>
    </row>
    <row r="71" spans="1:37" ht="12.75" customHeight="1">
      <c r="A71" s="33"/>
      <c r="B71" s="33"/>
      <c r="C71" s="33"/>
      <c r="D71" s="33"/>
      <c r="E71" s="33"/>
      <c r="F71" s="33"/>
      <c r="G71" s="70"/>
      <c r="H71" s="70"/>
      <c r="I71" s="33"/>
      <c r="J71" s="194"/>
      <c r="K71" s="122">
        <f t="shared" si="78"/>
        <v>70</v>
      </c>
      <c r="L71" s="144" t="str">
        <f t="shared" si="54"/>
        <v>QB</v>
      </c>
      <c r="M71" s="33">
        <f t="shared" si="55"/>
        <v>13</v>
      </c>
      <c r="N71" s="33" t="str">
        <f t="shared" si="56"/>
        <v/>
      </c>
      <c r="O71" s="52" t="str">
        <f t="shared" si="57"/>
        <v>Russell Wilson</v>
      </c>
      <c r="P71" s="52" t="str">
        <f t="shared" si="58"/>
        <v>SEA</v>
      </c>
      <c r="Q71" s="52">
        <f t="shared" si="59"/>
        <v>4</v>
      </c>
      <c r="R71" s="144">
        <f t="shared" si="60"/>
        <v>-7.4181818181817789</v>
      </c>
      <c r="S71" s="8">
        <f t="shared" si="61"/>
        <v>330.7</v>
      </c>
      <c r="T71" s="122">
        <f t="shared" si="79"/>
        <v>150</v>
      </c>
      <c r="U71" s="144" t="str">
        <f t="shared" si="62"/>
        <v>DST</v>
      </c>
      <c r="V71" s="33">
        <f t="shared" si="63"/>
        <v>25</v>
      </c>
      <c r="W71" s="33" t="str">
        <f t="shared" si="64"/>
        <v/>
      </c>
      <c r="X71" s="52" t="str">
        <f t="shared" si="65"/>
        <v>Jaguars</v>
      </c>
      <c r="Y71" s="52" t="str">
        <f t="shared" si="66"/>
        <v>JAC</v>
      </c>
      <c r="Z71" s="52">
        <f t="shared" si="67"/>
        <v>11</v>
      </c>
      <c r="AA71" s="144">
        <f t="shared" si="68"/>
        <v>-46.045454545454533</v>
      </c>
      <c r="AB71" s="8">
        <f t="shared" si="69"/>
        <v>65.7</v>
      </c>
      <c r="AC71" s="122">
        <f t="shared" si="80"/>
        <v>230</v>
      </c>
      <c r="AD71" s="144" t="str">
        <f t="shared" si="70"/>
        <v>RB</v>
      </c>
      <c r="AE71" s="33">
        <f t="shared" si="71"/>
        <v>50</v>
      </c>
      <c r="AF71" s="33" t="str">
        <f t="shared" si="72"/>
        <v/>
      </c>
      <c r="AG71" s="52" t="str">
        <f t="shared" si="73"/>
        <v>Ronnie Hillman</v>
      </c>
      <c r="AH71" s="52" t="str">
        <f t="shared" si="74"/>
        <v>DEN</v>
      </c>
      <c r="AI71" s="52">
        <f t="shared" si="75"/>
        <v>4</v>
      </c>
      <c r="AJ71" s="144">
        <f t="shared" si="76"/>
        <v>-119.79393939393935</v>
      </c>
      <c r="AK71" s="156">
        <f t="shared" si="77"/>
        <v>85.4</v>
      </c>
    </row>
    <row r="72" spans="1:37" ht="12.75" customHeight="1">
      <c r="A72" s="33">
        <f>IF(ISERROR(VLOOKUP(RANK(H72,$H$2:$H$331),$A$2:A71,1,0)),RANK(H72,$H$2:$H$331),IF(ISERROR(VLOOKUP((RANK(H72,$H$2:$H$331)+1),$A$2:A71,1,0)),(RANK(H72,$H$2:$H$331)+1),(RANK(H72,$H$2:$H$331)+2)))</f>
        <v>2</v>
      </c>
      <c r="B72" s="33">
        <f>Cheatsheet!M3</f>
        <v>1</v>
      </c>
      <c r="C72" s="33" t="str">
        <f>Cheatsheet!N3</f>
        <v/>
      </c>
      <c r="D72" s="33" t="str">
        <f>Cheatsheet!O3</f>
        <v>Jamaal Charles</v>
      </c>
      <c r="E72" s="33" t="str">
        <f>Cheatsheet!P3</f>
        <v>KC</v>
      </c>
      <c r="F72" s="33">
        <f>Cheatsheet!Q3</f>
        <v>6</v>
      </c>
      <c r="G72" s="70">
        <f>Cheatsheet!R3</f>
        <v>298.39999999999998</v>
      </c>
      <c r="H72" s="70">
        <f>Cheatsheet!S3</f>
        <v>93.206060606060618</v>
      </c>
      <c r="I72" s="33" t="s">
        <v>2</v>
      </c>
      <c r="J72" s="194"/>
      <c r="K72" s="122">
        <f t="shared" si="78"/>
        <v>71</v>
      </c>
      <c r="L72" s="144" t="str">
        <f t="shared" si="54"/>
        <v>RB</v>
      </c>
      <c r="M72" s="33">
        <f t="shared" si="55"/>
        <v>16</v>
      </c>
      <c r="N72" s="33" t="str">
        <f t="shared" si="56"/>
        <v/>
      </c>
      <c r="O72" s="52" t="str">
        <f t="shared" si="57"/>
        <v>Ray Rice</v>
      </c>
      <c r="P72" s="52" t="str">
        <f t="shared" si="58"/>
        <v>BAL</v>
      </c>
      <c r="Q72" s="52">
        <f t="shared" si="59"/>
        <v>11</v>
      </c>
      <c r="R72" s="144">
        <f t="shared" si="60"/>
        <v>-8.0939393939393653</v>
      </c>
      <c r="S72" s="8">
        <f t="shared" si="61"/>
        <v>197.1</v>
      </c>
      <c r="T72" s="122">
        <f t="shared" si="79"/>
        <v>151</v>
      </c>
      <c r="U72" s="144" t="str">
        <f t="shared" si="62"/>
        <v>WR</v>
      </c>
      <c r="V72" s="33">
        <f t="shared" si="63"/>
        <v>35</v>
      </c>
      <c r="W72" s="33" t="str">
        <f t="shared" si="64"/>
        <v/>
      </c>
      <c r="X72" s="52" t="str">
        <f t="shared" si="65"/>
        <v>Terrance Williams</v>
      </c>
      <c r="Y72" s="52" t="str">
        <f t="shared" si="66"/>
        <v>DAL</v>
      </c>
      <c r="Z72" s="52">
        <f t="shared" si="67"/>
        <v>11</v>
      </c>
      <c r="AA72" s="144">
        <f t="shared" si="68"/>
        <v>-47.239393939393892</v>
      </c>
      <c r="AB72" s="8">
        <f t="shared" si="69"/>
        <v>153.80000000000001</v>
      </c>
      <c r="AC72" s="122">
        <f t="shared" si="80"/>
        <v>231</v>
      </c>
      <c r="AD72" s="144" t="str">
        <f t="shared" si="70"/>
        <v>WR</v>
      </c>
      <c r="AE72" s="33">
        <f t="shared" si="71"/>
        <v>67</v>
      </c>
      <c r="AF72" s="33" t="str">
        <f t="shared" si="72"/>
        <v/>
      </c>
      <c r="AG72" s="52" t="str">
        <f t="shared" si="73"/>
        <v>Mohamed Sanu</v>
      </c>
      <c r="AH72" s="52" t="str">
        <f t="shared" si="74"/>
        <v>CIN</v>
      </c>
      <c r="AI72" s="52">
        <f t="shared" si="75"/>
        <v>4</v>
      </c>
      <c r="AJ72" s="144">
        <f t="shared" si="76"/>
        <v>-120.3393939393939</v>
      </c>
      <c r="AK72" s="156">
        <f t="shared" si="77"/>
        <v>80.7</v>
      </c>
    </row>
    <row r="73" spans="1:37" ht="12.75" customHeight="1">
      <c r="A73" s="33">
        <f>IF(ISERROR(VLOOKUP(RANK(H73,$H$2:$H$331),$A$2:A72,1,0)),RANK(H73,$H$2:$H$331),IF(ISERROR(VLOOKUP((RANK(H73,$H$2:$H$331)+1),$A$2:A72,1,0)),(RANK(H73,$H$2:$H$331)+1),(RANK(H73,$H$2:$H$331)+2)))</f>
        <v>6</v>
      </c>
      <c r="B73" s="33">
        <f>Cheatsheet!M4</f>
        <v>2</v>
      </c>
      <c r="C73" s="33" t="str">
        <f>Cheatsheet!N4</f>
        <v/>
      </c>
      <c r="D73" s="33" t="str">
        <f>Cheatsheet!O4</f>
        <v>LeSean McCoy</v>
      </c>
      <c r="E73" s="33" t="str">
        <f>Cheatsheet!P4</f>
        <v>PHI</v>
      </c>
      <c r="F73" s="33">
        <f>Cheatsheet!Q4</f>
        <v>7</v>
      </c>
      <c r="G73" s="70">
        <f>Cheatsheet!R4</f>
        <v>280.10000000000002</v>
      </c>
      <c r="H73" s="70">
        <f>Cheatsheet!S4</f>
        <v>74.906060606060663</v>
      </c>
      <c r="I73" s="33" t="s">
        <v>2</v>
      </c>
      <c r="J73" s="194"/>
      <c r="K73" s="122">
        <f t="shared" si="78"/>
        <v>72</v>
      </c>
      <c r="L73" s="144" t="str">
        <f t="shared" si="54"/>
        <v>RB</v>
      </c>
      <c r="M73" s="33">
        <f t="shared" si="55"/>
        <v>17</v>
      </c>
      <c r="N73" s="33" t="str">
        <f t="shared" si="56"/>
        <v/>
      </c>
      <c r="O73" s="52" t="str">
        <f t="shared" si="57"/>
        <v>Alfred Morris</v>
      </c>
      <c r="P73" s="52" t="str">
        <f t="shared" si="58"/>
        <v>WSH</v>
      </c>
      <c r="Q73" s="52">
        <f t="shared" si="59"/>
        <v>10</v>
      </c>
      <c r="R73" s="144">
        <f t="shared" si="60"/>
        <v>-8.3939393939393483</v>
      </c>
      <c r="S73" s="8">
        <f t="shared" si="61"/>
        <v>196.8</v>
      </c>
      <c r="T73" s="122">
        <f t="shared" si="79"/>
        <v>152</v>
      </c>
      <c r="U73" s="144" t="str">
        <f t="shared" si="62"/>
        <v>WR</v>
      </c>
      <c r="V73" s="33">
        <f t="shared" si="63"/>
        <v>36</v>
      </c>
      <c r="W73" s="33" t="str">
        <f t="shared" si="64"/>
        <v/>
      </c>
      <c r="X73" s="52" t="str">
        <f t="shared" si="65"/>
        <v>Sammy Watkins</v>
      </c>
      <c r="Y73" s="52" t="str">
        <f t="shared" si="66"/>
        <v>BUF</v>
      </c>
      <c r="Z73" s="52">
        <f t="shared" si="67"/>
        <v>9</v>
      </c>
      <c r="AA73" s="144">
        <f t="shared" si="68"/>
        <v>-47.339393939393915</v>
      </c>
      <c r="AB73" s="8">
        <f t="shared" si="69"/>
        <v>153.69999999999999</v>
      </c>
      <c r="AC73" s="122">
        <f t="shared" si="80"/>
        <v>232</v>
      </c>
      <c r="AD73" s="144" t="str">
        <f t="shared" si="70"/>
        <v>RB</v>
      </c>
      <c r="AE73" s="33">
        <f t="shared" si="71"/>
        <v>51</v>
      </c>
      <c r="AF73" s="33" t="str">
        <f t="shared" si="72"/>
        <v/>
      </c>
      <c r="AG73" s="52" t="str">
        <f t="shared" si="73"/>
        <v>Marcel Reece</v>
      </c>
      <c r="AH73" s="52" t="str">
        <f t="shared" si="74"/>
        <v>OAK</v>
      </c>
      <c r="AI73" s="52">
        <f t="shared" si="75"/>
        <v>5</v>
      </c>
      <c r="AJ73" s="144">
        <f t="shared" si="76"/>
        <v>-121.79393939393935</v>
      </c>
      <c r="AK73" s="156">
        <f t="shared" si="77"/>
        <v>83.4</v>
      </c>
    </row>
    <row r="74" spans="1:37" ht="12.75" customHeight="1">
      <c r="A74" s="33">
        <f>IF(ISERROR(VLOOKUP(RANK(H74,$H$2:$H$331),$A$2:A73,1,0)),RANK(H74,$H$2:$H$331),IF(ISERROR(VLOOKUP((RANK(H74,$H$2:$H$331)+1),$A$2:A73,1,0)),(RANK(H74,$H$2:$H$331)+1),(RANK(H74,$H$2:$H$331)+2)))</f>
        <v>7</v>
      </c>
      <c r="B74" s="33">
        <f>Cheatsheet!M5</f>
        <v>3</v>
      </c>
      <c r="C74" s="33" t="str">
        <f>Cheatsheet!N5</f>
        <v/>
      </c>
      <c r="D74" s="33" t="str">
        <f>Cheatsheet!O5</f>
        <v>Matt Forte</v>
      </c>
      <c r="E74" s="33" t="str">
        <f>Cheatsheet!P5</f>
        <v>CHI</v>
      </c>
      <c r="F74" s="33">
        <f>Cheatsheet!Q5</f>
        <v>9</v>
      </c>
      <c r="G74" s="70">
        <f>Cheatsheet!R5</f>
        <v>275.60000000000002</v>
      </c>
      <c r="H74" s="70">
        <f>Cheatsheet!S5</f>
        <v>70.406060606060663</v>
      </c>
      <c r="I74" s="33" t="s">
        <v>2</v>
      </c>
      <c r="J74" s="194"/>
      <c r="K74" s="122">
        <f t="shared" si="78"/>
        <v>73</v>
      </c>
      <c r="L74" s="144" t="str">
        <f t="shared" si="54"/>
        <v>DST</v>
      </c>
      <c r="M74" s="33">
        <f t="shared" si="55"/>
        <v>9</v>
      </c>
      <c r="N74" s="33" t="str">
        <f t="shared" si="56"/>
        <v/>
      </c>
      <c r="O74" s="52" t="str">
        <f t="shared" si="57"/>
        <v>Chiefs</v>
      </c>
      <c r="P74" s="52" t="str">
        <f t="shared" si="58"/>
        <v>KC</v>
      </c>
      <c r="Q74" s="52">
        <f t="shared" si="59"/>
        <v>6</v>
      </c>
      <c r="R74" s="144">
        <f t="shared" si="60"/>
        <v>-8.6454545454545411</v>
      </c>
      <c r="S74" s="8">
        <f t="shared" si="61"/>
        <v>103.1</v>
      </c>
      <c r="T74" s="122">
        <f t="shared" si="79"/>
        <v>153</v>
      </c>
      <c r="U74" s="144" t="str">
        <f t="shared" si="62"/>
        <v>QB</v>
      </c>
      <c r="V74" s="33">
        <f t="shared" si="63"/>
        <v>19</v>
      </c>
      <c r="W74" s="33" t="str">
        <f t="shared" si="64"/>
        <v/>
      </c>
      <c r="X74" s="52" t="str">
        <f t="shared" si="65"/>
        <v>Ryan Tannehill</v>
      </c>
      <c r="Y74" s="52" t="str">
        <f t="shared" si="66"/>
        <v>MIA</v>
      </c>
      <c r="Z74" s="52">
        <f t="shared" si="67"/>
        <v>5</v>
      </c>
      <c r="AA74" s="144">
        <f t="shared" si="68"/>
        <v>-47.618181818181768</v>
      </c>
      <c r="AB74" s="8">
        <f t="shared" si="69"/>
        <v>290.5</v>
      </c>
      <c r="AC74" s="122">
        <f t="shared" si="80"/>
        <v>233</v>
      </c>
      <c r="AD74" s="144" t="str">
        <f t="shared" si="70"/>
        <v>RB</v>
      </c>
      <c r="AE74" s="33">
        <f t="shared" si="71"/>
        <v>52</v>
      </c>
      <c r="AF74" s="33" t="str">
        <f t="shared" si="72"/>
        <v/>
      </c>
      <c r="AG74" s="52" t="str">
        <f t="shared" si="73"/>
        <v>Jonathan Stewart</v>
      </c>
      <c r="AH74" s="52" t="str">
        <f t="shared" si="74"/>
        <v>CAR</v>
      </c>
      <c r="AI74" s="52">
        <f t="shared" si="75"/>
        <v>12</v>
      </c>
      <c r="AJ74" s="144">
        <f t="shared" si="76"/>
        <v>-121.89393939393936</v>
      </c>
      <c r="AK74" s="156">
        <f t="shared" si="77"/>
        <v>83.3</v>
      </c>
    </row>
    <row r="75" spans="1:37" ht="12.75" customHeight="1">
      <c r="A75" s="33">
        <f>IF(ISERROR(VLOOKUP(RANK(H75,$H$2:$H$331),$A$2:A74,1,0)),RANK(H75,$H$2:$H$331),IF(ISERROR(VLOOKUP((RANK(H75,$H$2:$H$331)+1),$A$2:A74,1,0)),(RANK(H75,$H$2:$H$331)+1),(RANK(H75,$H$2:$H$331)+2)))</f>
        <v>10</v>
      </c>
      <c r="B75" s="33">
        <f>Cheatsheet!M6</f>
        <v>4</v>
      </c>
      <c r="C75" s="33" t="str">
        <f>Cheatsheet!N6</f>
        <v/>
      </c>
      <c r="D75" s="33" t="str">
        <f>Cheatsheet!O6</f>
        <v>Adrian Peterson</v>
      </c>
      <c r="E75" s="33" t="str">
        <f>Cheatsheet!P6</f>
        <v>MIN</v>
      </c>
      <c r="F75" s="33">
        <f>Cheatsheet!Q6</f>
        <v>10</v>
      </c>
      <c r="G75" s="70">
        <f>Cheatsheet!R6</f>
        <v>264.5</v>
      </c>
      <c r="H75" s="70">
        <f>Cheatsheet!S6</f>
        <v>59.30606060606064</v>
      </c>
      <c r="I75" s="33" t="s">
        <v>2</v>
      </c>
      <c r="J75" s="194"/>
      <c r="K75" s="122">
        <f t="shared" si="78"/>
        <v>74</v>
      </c>
      <c r="L75" s="144" t="str">
        <f t="shared" si="54"/>
        <v>K</v>
      </c>
      <c r="M75" s="33">
        <f t="shared" si="55"/>
        <v>11</v>
      </c>
      <c r="N75" s="33" t="str">
        <f t="shared" si="56"/>
        <v/>
      </c>
      <c r="O75" s="52" t="str">
        <f t="shared" si="57"/>
        <v>Matt Bryant</v>
      </c>
      <c r="P75" s="52" t="str">
        <f t="shared" si="58"/>
        <v>ATL</v>
      </c>
      <c r="Q75" s="52">
        <f t="shared" si="59"/>
        <v>9</v>
      </c>
      <c r="R75" s="144">
        <f t="shared" si="60"/>
        <v>-10.154545454545428</v>
      </c>
      <c r="S75" s="8">
        <f t="shared" si="61"/>
        <v>127.4</v>
      </c>
      <c r="T75" s="122">
        <f t="shared" si="79"/>
        <v>154</v>
      </c>
      <c r="U75" s="144" t="str">
        <f t="shared" si="62"/>
        <v>DST</v>
      </c>
      <c r="V75" s="33">
        <f t="shared" si="63"/>
        <v>26</v>
      </c>
      <c r="W75" s="33" t="str">
        <f t="shared" si="64"/>
        <v/>
      </c>
      <c r="X75" s="52" t="str">
        <f t="shared" si="65"/>
        <v>Titans</v>
      </c>
      <c r="Y75" s="52" t="str">
        <f t="shared" si="66"/>
        <v>TEN</v>
      </c>
      <c r="Z75" s="52">
        <f t="shared" si="67"/>
        <v>9</v>
      </c>
      <c r="AA75" s="144">
        <f t="shared" si="68"/>
        <v>-48.045454545454533</v>
      </c>
      <c r="AB75" s="8">
        <f t="shared" si="69"/>
        <v>63.7</v>
      </c>
      <c r="AC75" s="122">
        <f t="shared" si="80"/>
        <v>234</v>
      </c>
      <c r="AD75" s="144" t="str">
        <f t="shared" si="70"/>
        <v>QB</v>
      </c>
      <c r="AE75" s="33">
        <f t="shared" si="71"/>
        <v>27</v>
      </c>
      <c r="AF75" s="33" t="str">
        <f t="shared" si="72"/>
        <v/>
      </c>
      <c r="AG75" s="52" t="str">
        <f t="shared" si="73"/>
        <v>Geno Smith</v>
      </c>
      <c r="AH75" s="52" t="str">
        <f t="shared" si="74"/>
        <v>NYJ</v>
      </c>
      <c r="AI75" s="52">
        <f t="shared" si="75"/>
        <v>11</v>
      </c>
      <c r="AJ75" s="144">
        <f t="shared" si="76"/>
        <v>-122.31818181818176</v>
      </c>
      <c r="AK75" s="156">
        <f t="shared" si="77"/>
        <v>215.8</v>
      </c>
    </row>
    <row r="76" spans="1:37" ht="12.75" customHeight="1">
      <c r="A76" s="33">
        <f>IF(ISERROR(VLOOKUP(RANK(H76,$H$2:$H$331),$A$2:A75,1,0)),RANK(H76,$H$2:$H$331),IF(ISERROR(VLOOKUP((RANK(H76,$H$2:$H$331)+1),$A$2:A75,1,0)),(RANK(H76,$H$2:$H$331)+1),(RANK(H76,$H$2:$H$331)+2)))</f>
        <v>17</v>
      </c>
      <c r="B76" s="33">
        <f>Cheatsheet!M7</f>
        <v>5</v>
      </c>
      <c r="C76" s="33" t="str">
        <f>Cheatsheet!N7</f>
        <v/>
      </c>
      <c r="D76" s="33" t="str">
        <f>Cheatsheet!O7</f>
        <v>Eddie Lacy</v>
      </c>
      <c r="E76" s="33" t="str">
        <f>Cheatsheet!P7</f>
        <v>GB</v>
      </c>
      <c r="F76" s="33">
        <f>Cheatsheet!Q7</f>
        <v>9</v>
      </c>
      <c r="G76" s="70">
        <f>Cheatsheet!R7</f>
        <v>236.4</v>
      </c>
      <c r="H76" s="70">
        <f>Cheatsheet!S7</f>
        <v>31.206060606060646</v>
      </c>
      <c r="I76" s="33" t="s">
        <v>2</v>
      </c>
      <c r="J76" s="194"/>
      <c r="K76" s="122">
        <f t="shared" si="78"/>
        <v>75</v>
      </c>
      <c r="L76" s="144" t="str">
        <f t="shared" si="54"/>
        <v>K</v>
      </c>
      <c r="M76" s="33">
        <f t="shared" si="55"/>
        <v>12</v>
      </c>
      <c r="N76" s="33" t="str">
        <f t="shared" si="56"/>
        <v/>
      </c>
      <c r="O76" s="52" t="str">
        <f t="shared" si="57"/>
        <v>Robbie Gould</v>
      </c>
      <c r="P76" s="52" t="str">
        <f t="shared" si="58"/>
        <v>CHI</v>
      </c>
      <c r="Q76" s="52">
        <f t="shared" si="59"/>
        <v>9</v>
      </c>
      <c r="R76" s="144">
        <f t="shared" si="60"/>
        <v>-10.254545454545436</v>
      </c>
      <c r="S76" s="8">
        <f t="shared" si="61"/>
        <v>127.3</v>
      </c>
      <c r="T76" s="122">
        <f t="shared" si="79"/>
        <v>155</v>
      </c>
      <c r="U76" s="144" t="str">
        <f t="shared" si="62"/>
        <v>QB</v>
      </c>
      <c r="V76" s="33">
        <f t="shared" si="63"/>
        <v>20</v>
      </c>
      <c r="W76" s="33" t="str">
        <f t="shared" si="64"/>
        <v/>
      </c>
      <c r="X76" s="52" t="str">
        <f t="shared" si="65"/>
        <v>Carson Palmer</v>
      </c>
      <c r="Y76" s="52" t="str">
        <f t="shared" si="66"/>
        <v>ARI</v>
      </c>
      <c r="Z76" s="52">
        <f t="shared" si="67"/>
        <v>4</v>
      </c>
      <c r="AA76" s="144">
        <f t="shared" si="68"/>
        <v>-48.418181818181779</v>
      </c>
      <c r="AB76" s="8">
        <f t="shared" si="69"/>
        <v>289.7</v>
      </c>
      <c r="AC76" s="122">
        <f t="shared" si="80"/>
        <v>235</v>
      </c>
      <c r="AD76" s="144" t="str">
        <f t="shared" si="70"/>
        <v>WR</v>
      </c>
      <c r="AE76" s="33">
        <f t="shared" si="71"/>
        <v>68</v>
      </c>
      <c r="AF76" s="33" t="str">
        <f t="shared" si="72"/>
        <v/>
      </c>
      <c r="AG76" s="52" t="str">
        <f t="shared" si="73"/>
        <v>Markus Wheaton</v>
      </c>
      <c r="AH76" s="52" t="str">
        <f t="shared" si="74"/>
        <v>PIT</v>
      </c>
      <c r="AI76" s="52">
        <f t="shared" si="75"/>
        <v>12</v>
      </c>
      <c r="AJ76" s="144">
        <f t="shared" si="76"/>
        <v>-122.5393939393939</v>
      </c>
      <c r="AK76" s="156">
        <f t="shared" si="77"/>
        <v>78.5</v>
      </c>
    </row>
    <row r="77" spans="1:37" ht="12.75" customHeight="1">
      <c r="A77" s="33">
        <f>IF(ISERROR(VLOOKUP(RANK(H77,$H$2:$H$331),$A$2:A76,1,0)),RANK(H77,$H$2:$H$331),IF(ISERROR(VLOOKUP((RANK(H77,$H$2:$H$331)+1),$A$2:A76,1,0)),(RANK(H77,$H$2:$H$331)+1),(RANK(H77,$H$2:$H$331)+2)))</f>
        <v>18</v>
      </c>
      <c r="B77" s="33">
        <f>Cheatsheet!M8</f>
        <v>6</v>
      </c>
      <c r="C77" s="33" t="str">
        <f>Cheatsheet!N8</f>
        <v/>
      </c>
      <c r="D77" s="33" t="str">
        <f>Cheatsheet!O8</f>
        <v>DeMarco Murray</v>
      </c>
      <c r="E77" s="33" t="str">
        <f>Cheatsheet!P8</f>
        <v>DAL</v>
      </c>
      <c r="F77" s="33">
        <f>Cheatsheet!Q8</f>
        <v>11</v>
      </c>
      <c r="G77" s="70">
        <f>Cheatsheet!R8</f>
        <v>236.4</v>
      </c>
      <c r="H77" s="70">
        <f>Cheatsheet!S8</f>
        <v>31.206060606060646</v>
      </c>
      <c r="I77" s="33" t="s">
        <v>2</v>
      </c>
      <c r="J77" s="194"/>
      <c r="K77" s="122">
        <f t="shared" si="78"/>
        <v>76</v>
      </c>
      <c r="L77" s="144" t="str">
        <f t="shared" si="54"/>
        <v>RB</v>
      </c>
      <c r="M77" s="33">
        <f t="shared" si="55"/>
        <v>18</v>
      </c>
      <c r="N77" s="33" t="str">
        <f t="shared" si="56"/>
        <v/>
      </c>
      <c r="O77" s="52" t="str">
        <f t="shared" si="57"/>
        <v>Trent Richardson</v>
      </c>
      <c r="P77" s="52" t="str">
        <f t="shared" si="58"/>
        <v>IND</v>
      </c>
      <c r="Q77" s="52">
        <f t="shared" si="59"/>
        <v>10</v>
      </c>
      <c r="R77" s="144">
        <f t="shared" si="60"/>
        <v>-10.893939393939348</v>
      </c>
      <c r="S77" s="8">
        <f t="shared" si="61"/>
        <v>194.3</v>
      </c>
      <c r="T77" s="122">
        <f t="shared" si="79"/>
        <v>156</v>
      </c>
      <c r="U77" s="144" t="str">
        <f t="shared" si="62"/>
        <v>DST</v>
      </c>
      <c r="V77" s="33">
        <f t="shared" si="63"/>
        <v>27</v>
      </c>
      <c r="W77" s="33" t="str">
        <f t="shared" si="64"/>
        <v/>
      </c>
      <c r="X77" s="52" t="str">
        <f t="shared" si="65"/>
        <v>Falcons</v>
      </c>
      <c r="Y77" s="52" t="str">
        <f t="shared" si="66"/>
        <v>ATL</v>
      </c>
      <c r="Z77" s="52">
        <f t="shared" si="67"/>
        <v>9</v>
      </c>
      <c r="AA77" s="144">
        <f t="shared" si="68"/>
        <v>-48.545454545454533</v>
      </c>
      <c r="AB77" s="8">
        <f t="shared" si="69"/>
        <v>63.2</v>
      </c>
      <c r="AC77" s="122">
        <f t="shared" si="80"/>
        <v>236</v>
      </c>
      <c r="AD77" s="144" t="str">
        <f t="shared" si="70"/>
        <v>WR</v>
      </c>
      <c r="AE77" s="33">
        <f t="shared" si="71"/>
        <v>69</v>
      </c>
      <c r="AF77" s="33" t="str">
        <f t="shared" si="72"/>
        <v/>
      </c>
      <c r="AG77" s="52" t="str">
        <f t="shared" si="73"/>
        <v>Andrew Hawkins</v>
      </c>
      <c r="AH77" s="52" t="str">
        <f t="shared" si="74"/>
        <v>CLE</v>
      </c>
      <c r="AI77" s="52">
        <f t="shared" si="75"/>
        <v>4</v>
      </c>
      <c r="AJ77" s="144">
        <f t="shared" si="76"/>
        <v>-123.8393939393939</v>
      </c>
      <c r="AK77" s="156">
        <f t="shared" si="77"/>
        <v>77.2</v>
      </c>
    </row>
    <row r="78" spans="1:37" ht="12.75" customHeight="1">
      <c r="A78" s="33">
        <f>IF(ISERROR(VLOOKUP(RANK(H78,$H$2:$H$331),$A$2:A77,1,0)),RANK(H78,$H$2:$H$331),IF(ISERROR(VLOOKUP((RANK(H78,$H$2:$H$331)+1),$A$2:A77,1,0)),(RANK(H78,$H$2:$H$331)+1),(RANK(H78,$H$2:$H$331)+2)))</f>
        <v>20</v>
      </c>
      <c r="B78" s="33">
        <f>Cheatsheet!M9</f>
        <v>7</v>
      </c>
      <c r="C78" s="33" t="str">
        <f>Cheatsheet!N9</f>
        <v/>
      </c>
      <c r="D78" s="33" t="str">
        <f>Cheatsheet!O9</f>
        <v>Montee Ball</v>
      </c>
      <c r="E78" s="33" t="str">
        <f>Cheatsheet!P9</f>
        <v>DEN</v>
      </c>
      <c r="F78" s="33">
        <f>Cheatsheet!Q9</f>
        <v>4</v>
      </c>
      <c r="G78" s="70">
        <f>Cheatsheet!R9</f>
        <v>229.1</v>
      </c>
      <c r="H78" s="70">
        <f>Cheatsheet!S9</f>
        <v>23.906060606060635</v>
      </c>
      <c r="I78" s="33" t="s">
        <v>2</v>
      </c>
      <c r="J78" s="194"/>
      <c r="K78" s="122">
        <f t="shared" si="78"/>
        <v>77</v>
      </c>
      <c r="L78" s="144" t="str">
        <f t="shared" si="54"/>
        <v>QB</v>
      </c>
      <c r="M78" s="33">
        <f t="shared" si="55"/>
        <v>14</v>
      </c>
      <c r="N78" s="33" t="str">
        <f t="shared" si="56"/>
        <v/>
      </c>
      <c r="O78" s="52" t="str">
        <f t="shared" si="57"/>
        <v>Philip Rivers</v>
      </c>
      <c r="P78" s="52" t="str">
        <f t="shared" si="58"/>
        <v>SD</v>
      </c>
      <c r="Q78" s="52">
        <f t="shared" si="59"/>
        <v>10</v>
      </c>
      <c r="R78" s="144">
        <f t="shared" si="60"/>
        <v>-11.71818181818179</v>
      </c>
      <c r="S78" s="8">
        <f t="shared" si="61"/>
        <v>326.39999999999998</v>
      </c>
      <c r="T78" s="122">
        <f t="shared" si="79"/>
        <v>157</v>
      </c>
      <c r="U78" s="144" t="str">
        <f t="shared" si="62"/>
        <v>RB</v>
      </c>
      <c r="V78" s="33">
        <f t="shared" si="63"/>
        <v>30</v>
      </c>
      <c r="W78" s="33" t="str">
        <f t="shared" si="64"/>
        <v/>
      </c>
      <c r="X78" s="52" t="str">
        <f t="shared" si="65"/>
        <v>Stevan Ridley</v>
      </c>
      <c r="Y78" s="52" t="str">
        <f t="shared" si="66"/>
        <v>NE</v>
      </c>
      <c r="Z78" s="52">
        <f t="shared" si="67"/>
        <v>10</v>
      </c>
      <c r="AA78" s="144">
        <f t="shared" si="68"/>
        <v>-48.69393939393936</v>
      </c>
      <c r="AB78" s="8">
        <f t="shared" si="69"/>
        <v>156.5</v>
      </c>
      <c r="AC78" s="122">
        <f t="shared" si="80"/>
        <v>237</v>
      </c>
      <c r="AD78" s="144" t="str">
        <f t="shared" si="70"/>
        <v>RB</v>
      </c>
      <c r="AE78" s="33">
        <f t="shared" si="71"/>
        <v>53</v>
      </c>
      <c r="AF78" s="33" t="str">
        <f t="shared" si="72"/>
        <v/>
      </c>
      <c r="AG78" s="52" t="str">
        <f t="shared" si="73"/>
        <v>Jacquizz Rodgers</v>
      </c>
      <c r="AH78" s="52" t="str">
        <f t="shared" si="74"/>
        <v>ATL</v>
      </c>
      <c r="AI78" s="52">
        <f t="shared" si="75"/>
        <v>9</v>
      </c>
      <c r="AJ78" s="144">
        <f t="shared" si="76"/>
        <v>-124.19393939393936</v>
      </c>
      <c r="AK78" s="156">
        <f t="shared" si="77"/>
        <v>81</v>
      </c>
    </row>
    <row r="79" spans="1:37" ht="12.75" customHeight="1">
      <c r="A79" s="33">
        <f>IF(ISERROR(VLOOKUP(RANK(H79,$H$2:$H$331),$A$2:A78,1,0)),RANK(H79,$H$2:$H$331),IF(ISERROR(VLOOKUP((RANK(H79,$H$2:$H$331)+1),$A$2:A78,1,0)),(RANK(H79,$H$2:$H$331)+1),(RANK(H79,$H$2:$H$331)+2)))</f>
        <v>22</v>
      </c>
      <c r="B79" s="33">
        <f>Cheatsheet!M10</f>
        <v>8</v>
      </c>
      <c r="C79" s="33" t="str">
        <f>Cheatsheet!N10</f>
        <v/>
      </c>
      <c r="D79" s="33" t="str">
        <f>Cheatsheet!O10</f>
        <v>Giovani Bernard</v>
      </c>
      <c r="E79" s="33" t="str">
        <f>Cheatsheet!P10</f>
        <v>CIN</v>
      </c>
      <c r="F79" s="33">
        <f>Cheatsheet!Q10</f>
        <v>4</v>
      </c>
      <c r="G79" s="70">
        <f>Cheatsheet!R10</f>
        <v>228.5</v>
      </c>
      <c r="H79" s="70">
        <f>Cheatsheet!S10</f>
        <v>23.30606060606064</v>
      </c>
      <c r="I79" s="33" t="s">
        <v>2</v>
      </c>
      <c r="J79" s="194"/>
      <c r="K79" s="122">
        <f t="shared" si="78"/>
        <v>78</v>
      </c>
      <c r="L79" s="144" t="str">
        <f t="shared" si="54"/>
        <v>TE</v>
      </c>
      <c r="M79" s="33">
        <f t="shared" si="55"/>
        <v>7</v>
      </c>
      <c r="N79" s="33" t="str">
        <f t="shared" si="56"/>
        <v/>
      </c>
      <c r="O79" s="52" t="str">
        <f t="shared" si="57"/>
        <v>Dennis Pitta</v>
      </c>
      <c r="P79" s="52" t="str">
        <f t="shared" si="58"/>
        <v>BAL</v>
      </c>
      <c r="Q79" s="52">
        <f t="shared" si="59"/>
        <v>11</v>
      </c>
      <c r="R79" s="144">
        <f t="shared" si="60"/>
        <v>-12.963636363636368</v>
      </c>
      <c r="S79" s="8">
        <f t="shared" si="61"/>
        <v>152.9</v>
      </c>
      <c r="T79" s="122">
        <f t="shared" si="79"/>
        <v>158</v>
      </c>
      <c r="U79" s="144" t="str">
        <f t="shared" si="62"/>
        <v>RB</v>
      </c>
      <c r="V79" s="33">
        <f t="shared" si="63"/>
        <v>31</v>
      </c>
      <c r="W79" s="33" t="str">
        <f t="shared" si="64"/>
        <v/>
      </c>
      <c r="X79" s="52" t="str">
        <f t="shared" si="65"/>
        <v>Danny Woodhead</v>
      </c>
      <c r="Y79" s="52" t="str">
        <f t="shared" si="66"/>
        <v>SD</v>
      </c>
      <c r="Z79" s="52">
        <f t="shared" si="67"/>
        <v>10</v>
      </c>
      <c r="AA79" s="144">
        <f t="shared" si="68"/>
        <v>-48.993939393939371</v>
      </c>
      <c r="AB79" s="8">
        <f t="shared" si="69"/>
        <v>156.19999999999999</v>
      </c>
      <c r="AC79" s="122">
        <f t="shared" si="80"/>
        <v>238</v>
      </c>
      <c r="AD79" s="144" t="str">
        <f t="shared" si="70"/>
        <v>WR</v>
      </c>
      <c r="AE79" s="33">
        <f t="shared" si="71"/>
        <v>70</v>
      </c>
      <c r="AF79" s="33" t="str">
        <f t="shared" si="72"/>
        <v/>
      </c>
      <c r="AG79" s="52" t="str">
        <f t="shared" si="73"/>
        <v>Marqise Lee</v>
      </c>
      <c r="AH79" s="52" t="str">
        <f t="shared" si="74"/>
        <v>JAC</v>
      </c>
      <c r="AI79" s="52">
        <f t="shared" si="75"/>
        <v>11</v>
      </c>
      <c r="AJ79" s="144">
        <f t="shared" si="76"/>
        <v>-124.93939393939391</v>
      </c>
      <c r="AK79" s="156">
        <f t="shared" si="77"/>
        <v>76.099999999999994</v>
      </c>
    </row>
    <row r="80" spans="1:37" ht="12.75" customHeight="1">
      <c r="A80" s="33">
        <f>IF(ISERROR(VLOOKUP(RANK(H80,$H$2:$H$331),$A$2:A79,1,0)),RANK(H80,$H$2:$H$331),IF(ISERROR(VLOOKUP((RANK(H80,$H$2:$H$331)+1),$A$2:A79,1,0)),(RANK(H80,$H$2:$H$331)+1),(RANK(H80,$H$2:$H$331)+2)))</f>
        <v>24</v>
      </c>
      <c r="B80" s="33">
        <f>Cheatsheet!M11</f>
        <v>9</v>
      </c>
      <c r="C80" s="33" t="str">
        <f>Cheatsheet!N11</f>
        <v/>
      </c>
      <c r="D80" s="33" t="str">
        <f>Cheatsheet!O11</f>
        <v>Marshawn Lynch</v>
      </c>
      <c r="E80" s="33" t="str">
        <f>Cheatsheet!P11</f>
        <v>SEA</v>
      </c>
      <c r="F80" s="33">
        <f>Cheatsheet!Q11</f>
        <v>4</v>
      </c>
      <c r="G80" s="70">
        <f>Cheatsheet!R11</f>
        <v>226.2</v>
      </c>
      <c r="H80" s="70">
        <f>Cheatsheet!S11</f>
        <v>21.006060606060629</v>
      </c>
      <c r="I80" s="33" t="s">
        <v>2</v>
      </c>
      <c r="J80" s="194"/>
      <c r="K80" s="122">
        <f t="shared" si="78"/>
        <v>79</v>
      </c>
      <c r="L80" s="144" t="str">
        <f t="shared" si="54"/>
        <v>QB</v>
      </c>
      <c r="M80" s="33">
        <f t="shared" si="55"/>
        <v>15</v>
      </c>
      <c r="N80" s="33" t="str">
        <f t="shared" si="56"/>
        <v/>
      </c>
      <c r="O80" s="52" t="str">
        <f t="shared" si="57"/>
        <v>Jay Cutler</v>
      </c>
      <c r="P80" s="52" t="str">
        <f t="shared" si="58"/>
        <v>CHI</v>
      </c>
      <c r="Q80" s="52">
        <f t="shared" si="59"/>
        <v>9</v>
      </c>
      <c r="R80" s="144">
        <f t="shared" si="60"/>
        <v>-13.118181818181768</v>
      </c>
      <c r="S80" s="8">
        <f t="shared" si="61"/>
        <v>325</v>
      </c>
      <c r="T80" s="122">
        <f t="shared" si="79"/>
        <v>159</v>
      </c>
      <c r="U80" s="144" t="str">
        <f t="shared" si="62"/>
        <v>TE</v>
      </c>
      <c r="V80" s="33">
        <f t="shared" si="63"/>
        <v>17</v>
      </c>
      <c r="W80" s="33" t="str">
        <f t="shared" si="64"/>
        <v/>
      </c>
      <c r="X80" s="52" t="str">
        <f t="shared" si="65"/>
        <v>Ladarius Green</v>
      </c>
      <c r="Y80" s="52" t="str">
        <f t="shared" si="66"/>
        <v>SD</v>
      </c>
      <c r="Z80" s="52">
        <f t="shared" si="67"/>
        <v>10</v>
      </c>
      <c r="AA80" s="144">
        <f t="shared" si="68"/>
        <v>-51.063636363636377</v>
      </c>
      <c r="AB80" s="8">
        <f t="shared" si="69"/>
        <v>114.8</v>
      </c>
      <c r="AC80" s="122">
        <f t="shared" si="80"/>
        <v>239</v>
      </c>
      <c r="AD80" s="144" t="str">
        <f t="shared" si="70"/>
        <v>WR</v>
      </c>
      <c r="AE80" s="33">
        <f t="shared" si="71"/>
        <v>71</v>
      </c>
      <c r="AF80" s="33" t="str">
        <f t="shared" si="72"/>
        <v/>
      </c>
      <c r="AG80" s="52" t="str">
        <f t="shared" si="73"/>
        <v>Eddie Royal</v>
      </c>
      <c r="AH80" s="52" t="str">
        <f t="shared" si="74"/>
        <v>SD</v>
      </c>
      <c r="AI80" s="52">
        <f t="shared" si="75"/>
        <v>10</v>
      </c>
      <c r="AJ80" s="144">
        <f t="shared" si="76"/>
        <v>-125.0393939393939</v>
      </c>
      <c r="AK80" s="156">
        <f t="shared" si="77"/>
        <v>76</v>
      </c>
    </row>
    <row r="81" spans="1:37" ht="12.75" customHeight="1">
      <c r="A81" s="33">
        <f>IF(ISERROR(VLOOKUP(RANK(H81,$H$2:$H$331),$A$2:A80,1,0)),RANK(H81,$H$2:$H$331),IF(ISERROR(VLOOKUP((RANK(H81,$H$2:$H$331)+1),$A$2:A80,1,0)),(RANK(H81,$H$2:$H$331)+1),(RANK(H81,$H$2:$H$331)+2)))</f>
        <v>26</v>
      </c>
      <c r="B81" s="33">
        <f>Cheatsheet!M12</f>
        <v>10</v>
      </c>
      <c r="C81" s="33" t="str">
        <f>Cheatsheet!N12</f>
        <v/>
      </c>
      <c r="D81" s="33" t="str">
        <f>Cheatsheet!O12</f>
        <v>Le'Veon Bell</v>
      </c>
      <c r="E81" s="33" t="str">
        <f>Cheatsheet!P12</f>
        <v>PIT</v>
      </c>
      <c r="F81" s="33">
        <f>Cheatsheet!Q12</f>
        <v>12</v>
      </c>
      <c r="G81" s="70">
        <f>Cheatsheet!R12</f>
        <v>226.1</v>
      </c>
      <c r="H81" s="70">
        <f>Cheatsheet!S12</f>
        <v>20.906060606060635</v>
      </c>
      <c r="I81" s="33" t="s">
        <v>2</v>
      </c>
      <c r="J81" s="194"/>
      <c r="K81" s="44">
        <f t="shared" si="78"/>
        <v>80</v>
      </c>
      <c r="L81" s="110" t="str">
        <f t="shared" si="54"/>
        <v>WR</v>
      </c>
      <c r="M81" s="183">
        <f t="shared" si="55"/>
        <v>19</v>
      </c>
      <c r="N81" s="183" t="str">
        <f t="shared" si="56"/>
        <v/>
      </c>
      <c r="O81" s="106" t="str">
        <f t="shared" si="57"/>
        <v>Michael Floyd</v>
      </c>
      <c r="P81" s="106" t="str">
        <f t="shared" si="58"/>
        <v>ARI</v>
      </c>
      <c r="Q81" s="106">
        <f t="shared" si="59"/>
        <v>4</v>
      </c>
      <c r="R81" s="110">
        <f t="shared" si="60"/>
        <v>-13.339393939393915</v>
      </c>
      <c r="S81" s="179">
        <f t="shared" si="61"/>
        <v>187.7</v>
      </c>
      <c r="T81" s="44">
        <f t="shared" si="79"/>
        <v>160</v>
      </c>
      <c r="U81" s="110" t="str">
        <f t="shared" si="62"/>
        <v>RB</v>
      </c>
      <c r="V81" s="183">
        <f t="shared" si="63"/>
        <v>32</v>
      </c>
      <c r="W81" s="183" t="str">
        <f t="shared" si="64"/>
        <v/>
      </c>
      <c r="X81" s="106" t="str">
        <f t="shared" si="65"/>
        <v>Maurice Jones-Drew</v>
      </c>
      <c r="Y81" s="106" t="str">
        <f t="shared" si="66"/>
        <v>OAK</v>
      </c>
      <c r="Z81" s="106">
        <f t="shared" si="67"/>
        <v>5</v>
      </c>
      <c r="AA81" s="110">
        <f t="shared" si="68"/>
        <v>-51.093939393939365</v>
      </c>
      <c r="AB81" s="179">
        <f t="shared" si="69"/>
        <v>154.1</v>
      </c>
      <c r="AC81" s="44">
        <f t="shared" si="80"/>
        <v>240</v>
      </c>
      <c r="AD81" s="110" t="str">
        <f t="shared" si="70"/>
        <v>WR</v>
      </c>
      <c r="AE81" s="183">
        <f t="shared" si="71"/>
        <v>72</v>
      </c>
      <c r="AF81" s="183" t="str">
        <f t="shared" si="72"/>
        <v/>
      </c>
      <c r="AG81" s="106" t="str">
        <f t="shared" si="73"/>
        <v>Kenny Britt</v>
      </c>
      <c r="AH81" s="106" t="str">
        <f t="shared" si="74"/>
        <v>STL</v>
      </c>
      <c r="AI81" s="106">
        <f t="shared" si="75"/>
        <v>4</v>
      </c>
      <c r="AJ81" s="110">
        <f t="shared" si="76"/>
        <v>-128.5393939393939</v>
      </c>
      <c r="AK81" s="119">
        <f t="shared" si="77"/>
        <v>72.5</v>
      </c>
    </row>
    <row r="82" spans="1:37" ht="12.75" customHeight="1">
      <c r="A82" s="33">
        <f>IF(ISERROR(VLOOKUP(RANK(H82,$H$2:$H$331),$A$2:A81,1,0)),RANK(H82,$H$2:$H$331),IF(ISERROR(VLOOKUP((RANK(H82,$H$2:$H$331)+1),$A$2:A81,1,0)),(RANK(H82,$H$2:$H$331)+1),(RANK(H82,$H$2:$H$331)+2)))</f>
        <v>29</v>
      </c>
      <c r="B82" s="33">
        <f>Cheatsheet!M13</f>
        <v>11</v>
      </c>
      <c r="C82" s="33" t="str">
        <f>Cheatsheet!N13</f>
        <v/>
      </c>
      <c r="D82" s="33" t="str">
        <f>Cheatsheet!O13</f>
        <v>Doug Martin</v>
      </c>
      <c r="E82" s="33" t="str">
        <f>Cheatsheet!P13</f>
        <v>TB</v>
      </c>
      <c r="F82" s="33">
        <f>Cheatsheet!Q13</f>
        <v>7</v>
      </c>
      <c r="G82" s="70">
        <f>Cheatsheet!R13</f>
        <v>218</v>
      </c>
      <c r="H82" s="70">
        <f>Cheatsheet!S13</f>
        <v>12.80606060606064</v>
      </c>
      <c r="I82" s="33" t="s">
        <v>2</v>
      </c>
      <c r="J82" s="33"/>
      <c r="K82" s="138"/>
      <c r="L82" s="138"/>
      <c r="M82" s="67"/>
      <c r="N82" s="67"/>
      <c r="O82" s="67"/>
      <c r="P82" s="67"/>
      <c r="Q82" s="67"/>
      <c r="R82" s="138"/>
      <c r="S82" s="67"/>
      <c r="T82" s="138"/>
      <c r="U82" s="138"/>
      <c r="V82" s="67"/>
      <c r="W82" s="67"/>
      <c r="X82" s="67"/>
      <c r="Y82" s="67"/>
      <c r="Z82" s="67"/>
      <c r="AA82" s="138"/>
      <c r="AB82" s="67"/>
      <c r="AC82" s="138"/>
      <c r="AD82" s="138"/>
      <c r="AE82" s="67"/>
      <c r="AF82" s="67"/>
      <c r="AG82" s="67"/>
      <c r="AH82" s="67"/>
      <c r="AI82" s="67"/>
      <c r="AJ82" s="138"/>
      <c r="AK82" s="67"/>
    </row>
    <row r="83" spans="1:37" ht="12.75" customHeight="1">
      <c r="A83" s="33">
        <f>IF(ISERROR(VLOOKUP(RANK(H83,$H$2:$H$331),$A$2:A82,1,0)),RANK(H83,$H$2:$H$331),IF(ISERROR(VLOOKUP((RANK(H83,$H$2:$H$331)+1),$A$2:A82,1,0)),(RANK(H83,$H$2:$H$331)+1),(RANK(H83,$H$2:$H$331)+2)))</f>
        <v>33</v>
      </c>
      <c r="B83" s="33">
        <f>Cheatsheet!M14</f>
        <v>12</v>
      </c>
      <c r="C83" s="33" t="str">
        <f>Cheatsheet!N14</f>
        <v/>
      </c>
      <c r="D83" s="33" t="str">
        <f>Cheatsheet!O14</f>
        <v>Arian Foster</v>
      </c>
      <c r="E83" s="33" t="str">
        <f>Cheatsheet!P14</f>
        <v>HOU</v>
      </c>
      <c r="F83" s="33">
        <f>Cheatsheet!Q14</f>
        <v>10</v>
      </c>
      <c r="G83" s="70">
        <f>Cheatsheet!R14</f>
        <v>215.2</v>
      </c>
      <c r="H83" s="70">
        <f>Cheatsheet!S14</f>
        <v>10.006060606060629</v>
      </c>
      <c r="I83" s="33" t="s">
        <v>2</v>
      </c>
      <c r="J83" s="33"/>
      <c r="K83" s="181"/>
      <c r="L83" s="181"/>
      <c r="M83" s="33"/>
      <c r="N83" s="33"/>
      <c r="O83" s="33"/>
      <c r="P83" s="33"/>
      <c r="Q83" s="33"/>
      <c r="R83" s="181"/>
      <c r="S83" s="33"/>
      <c r="T83" s="181"/>
      <c r="U83" s="181"/>
      <c r="V83" s="33"/>
      <c r="W83" s="33"/>
      <c r="X83" s="33"/>
      <c r="Y83" s="33"/>
      <c r="Z83" s="33"/>
      <c r="AA83" s="181"/>
      <c r="AB83" s="33"/>
      <c r="AC83" s="181"/>
      <c r="AD83" s="181"/>
      <c r="AE83" s="33"/>
      <c r="AF83" s="33"/>
      <c r="AG83" s="33"/>
      <c r="AH83" s="33"/>
      <c r="AI83" s="33"/>
      <c r="AJ83" s="181"/>
      <c r="AK83" s="33"/>
    </row>
    <row r="84" spans="1:37" ht="12.75" customHeight="1">
      <c r="A84" s="33">
        <f>IF(ISERROR(VLOOKUP(RANK(H84,$H$2:$H$331),$A$2:A83,1,0)),RANK(H84,$H$2:$H$331),IF(ISERROR(VLOOKUP((RANK(H84,$H$2:$H$331)+1),$A$2:A83,1,0)),(RANK(H84,$H$2:$H$331)+1),(RANK(H84,$H$2:$H$331)+2)))</f>
        <v>40</v>
      </c>
      <c r="B84" s="33">
        <f>Cheatsheet!M15</f>
        <v>13</v>
      </c>
      <c r="C84" s="33" t="str">
        <f>Cheatsheet!N15</f>
        <v/>
      </c>
      <c r="D84" s="33" t="str">
        <f>Cheatsheet!O15</f>
        <v>Zac Stacy</v>
      </c>
      <c r="E84" s="33" t="str">
        <f>Cheatsheet!P15</f>
        <v>STL</v>
      </c>
      <c r="F84" s="33">
        <f>Cheatsheet!Q15</f>
        <v>4</v>
      </c>
      <c r="G84" s="70">
        <f>Cheatsheet!R15</f>
        <v>209.5</v>
      </c>
      <c r="H84" s="70">
        <f>Cheatsheet!S15</f>
        <v>4.3060606060606403</v>
      </c>
      <c r="I84" s="33" t="s">
        <v>2</v>
      </c>
      <c r="J84" s="33"/>
      <c r="K84" s="181"/>
      <c r="L84" s="181"/>
      <c r="M84" s="33"/>
      <c r="N84" s="33"/>
      <c r="O84" s="33"/>
      <c r="P84" s="33"/>
      <c r="Q84" s="33"/>
      <c r="R84" s="181"/>
      <c r="S84" s="33"/>
      <c r="T84" s="181"/>
      <c r="U84" s="181"/>
      <c r="V84" s="33"/>
      <c r="W84" s="33"/>
      <c r="X84" s="33"/>
      <c r="Y84" s="33"/>
      <c r="Z84" s="33"/>
      <c r="AA84" s="181"/>
      <c r="AB84" s="33"/>
      <c r="AC84" s="181"/>
      <c r="AD84" s="181"/>
      <c r="AE84" s="33"/>
      <c r="AF84" s="33"/>
      <c r="AG84" s="33"/>
      <c r="AH84" s="33"/>
      <c r="AI84" s="33"/>
      <c r="AJ84" s="181"/>
      <c r="AK84" s="33"/>
    </row>
    <row r="85" spans="1:37" ht="12.75" customHeight="1">
      <c r="A85" s="33">
        <f>IF(ISERROR(VLOOKUP(RANK(H85,$H$2:$H$331),$A$2:A84,1,0)),RANK(H85,$H$2:$H$331),IF(ISERROR(VLOOKUP((RANK(H85,$H$2:$H$331)+1),$A$2:A84,1,0)),(RANK(H85,$H$2:$H$331)+1),(RANK(H85,$H$2:$H$331)+2)))</f>
        <v>42</v>
      </c>
      <c r="B85" s="33">
        <f>Cheatsheet!M16</f>
        <v>14</v>
      </c>
      <c r="C85" s="33" t="str">
        <f>Cheatsheet!N16</f>
        <v/>
      </c>
      <c r="D85" s="33" t="str">
        <f>Cheatsheet!O16</f>
        <v>Andre Ellington</v>
      </c>
      <c r="E85" s="33" t="str">
        <f>Cheatsheet!P16</f>
        <v>ARI</v>
      </c>
      <c r="F85" s="33">
        <f>Cheatsheet!Q16</f>
        <v>4</v>
      </c>
      <c r="G85" s="70">
        <f>Cheatsheet!R16</f>
        <v>209.2</v>
      </c>
      <c r="H85" s="70">
        <f>Cheatsheet!S16</f>
        <v>4.006060606060629</v>
      </c>
      <c r="I85" s="33" t="s">
        <v>2</v>
      </c>
      <c r="J85" s="33"/>
      <c r="K85" s="181"/>
      <c r="L85" s="181"/>
      <c r="M85" s="33"/>
      <c r="N85" s="33"/>
      <c r="O85" s="33"/>
      <c r="P85" s="33"/>
      <c r="Q85" s="33"/>
      <c r="R85" s="181"/>
      <c r="S85" s="33"/>
      <c r="T85" s="181"/>
      <c r="U85" s="181"/>
      <c r="V85" s="33"/>
      <c r="W85" s="33"/>
      <c r="X85" s="33"/>
      <c r="Y85" s="33"/>
      <c r="Z85" s="33"/>
      <c r="AA85" s="181"/>
      <c r="AB85" s="33"/>
      <c r="AC85" s="181"/>
      <c r="AD85" s="181"/>
      <c r="AE85" s="33"/>
      <c r="AF85" s="33"/>
      <c r="AG85" s="33"/>
      <c r="AH85" s="33"/>
      <c r="AI85" s="33"/>
      <c r="AJ85" s="181"/>
      <c r="AK85" s="33"/>
    </row>
    <row r="86" spans="1:37" ht="12.75" customHeight="1">
      <c r="A86" s="33">
        <f>IF(ISERROR(VLOOKUP(RANK(H86,$H$2:$H$331),$A$2:A85,1,0)),RANK(H86,$H$2:$H$331),IF(ISERROR(VLOOKUP((RANK(H86,$H$2:$H$331)+1),$A$2:A85,1,0)),(RANK(H86,$H$2:$H$331)+1),(RANK(H86,$H$2:$H$331)+2)))</f>
        <v>51</v>
      </c>
      <c r="B86" s="33">
        <f>Cheatsheet!M17</f>
        <v>15</v>
      </c>
      <c r="C86" s="33" t="str">
        <f>Cheatsheet!N17</f>
        <v/>
      </c>
      <c r="D86" s="33" t="str">
        <f>Cheatsheet!O17</f>
        <v>Toby Gerhart</v>
      </c>
      <c r="E86" s="33" t="str">
        <f>Cheatsheet!P17</f>
        <v>JAC</v>
      </c>
      <c r="F86" s="33">
        <f>Cheatsheet!Q17</f>
        <v>11</v>
      </c>
      <c r="G86" s="70">
        <f>Cheatsheet!R17</f>
        <v>206.5</v>
      </c>
      <c r="H86" s="70">
        <f>Cheatsheet!S17</f>
        <v>1.3060606060606403</v>
      </c>
      <c r="I86" s="33" t="s">
        <v>2</v>
      </c>
      <c r="J86" s="33"/>
      <c r="K86" s="181"/>
      <c r="L86" s="181"/>
      <c r="M86" s="33"/>
      <c r="N86" s="33"/>
      <c r="O86" s="33"/>
      <c r="P86" s="33"/>
      <c r="Q86" s="33"/>
      <c r="R86" s="181"/>
      <c r="S86" s="33"/>
      <c r="T86" s="181"/>
      <c r="U86" s="181"/>
      <c r="V86" s="33"/>
      <c r="W86" s="33"/>
      <c r="X86" s="33"/>
      <c r="Y86" s="33"/>
      <c r="Z86" s="33"/>
      <c r="AA86" s="181"/>
      <c r="AB86" s="33"/>
      <c r="AC86" s="181"/>
      <c r="AD86" s="181"/>
      <c r="AE86" s="33"/>
      <c r="AF86" s="33"/>
      <c r="AG86" s="33"/>
      <c r="AH86" s="33"/>
      <c r="AI86" s="33"/>
      <c r="AJ86" s="181"/>
      <c r="AK86" s="33"/>
    </row>
    <row r="87" spans="1:37" ht="12.75" customHeight="1">
      <c r="A87" s="33">
        <f>IF(ISERROR(VLOOKUP(RANK(H87,$H$2:$H$331),$A$2:A86,1,0)),RANK(H87,$H$2:$H$331),IF(ISERROR(VLOOKUP((RANK(H87,$H$2:$H$331)+1),$A$2:A86,1,0)),(RANK(H87,$H$2:$H$331)+1),(RANK(H87,$H$2:$H$331)+2)))</f>
        <v>71</v>
      </c>
      <c r="B87" s="33">
        <f>Cheatsheet!M18</f>
        <v>16</v>
      </c>
      <c r="C87" s="33" t="str">
        <f>Cheatsheet!N18</f>
        <v/>
      </c>
      <c r="D87" s="33" t="str">
        <f>Cheatsheet!O18</f>
        <v>Ray Rice</v>
      </c>
      <c r="E87" s="33" t="str">
        <f>Cheatsheet!P18</f>
        <v>BAL</v>
      </c>
      <c r="F87" s="33">
        <f>Cheatsheet!Q18</f>
        <v>11</v>
      </c>
      <c r="G87" s="70">
        <f>Cheatsheet!R18</f>
        <v>197.1</v>
      </c>
      <c r="H87" s="70">
        <f>Cheatsheet!S18</f>
        <v>-8.0939393939393653</v>
      </c>
      <c r="I87" s="33" t="s">
        <v>2</v>
      </c>
      <c r="J87" s="33"/>
      <c r="K87" s="181"/>
      <c r="L87" s="181"/>
      <c r="M87" s="33"/>
      <c r="N87" s="33"/>
      <c r="O87" s="33"/>
      <c r="P87" s="33"/>
      <c r="Q87" s="33"/>
      <c r="R87" s="181"/>
      <c r="S87" s="33"/>
      <c r="T87" s="181"/>
      <c r="U87" s="181"/>
      <c r="V87" s="33"/>
      <c r="W87" s="33"/>
      <c r="X87" s="33"/>
      <c r="Y87" s="33"/>
      <c r="Z87" s="33"/>
      <c r="AA87" s="181"/>
      <c r="AB87" s="33"/>
      <c r="AC87" s="181"/>
      <c r="AD87" s="181"/>
      <c r="AE87" s="33"/>
      <c r="AF87" s="33"/>
      <c r="AG87" s="33"/>
      <c r="AH87" s="33"/>
      <c r="AI87" s="33"/>
      <c r="AJ87" s="181"/>
      <c r="AK87" s="33"/>
    </row>
    <row r="88" spans="1:37" ht="12.75" customHeight="1">
      <c r="A88" s="33">
        <f>IF(ISERROR(VLOOKUP(RANK(H88,$H$2:$H$331),$A$2:A87,1,0)),RANK(H88,$H$2:$H$331),IF(ISERROR(VLOOKUP((RANK(H88,$H$2:$H$331)+1),$A$2:A87,1,0)),(RANK(H88,$H$2:$H$331)+1),(RANK(H88,$H$2:$H$331)+2)))</f>
        <v>72</v>
      </c>
      <c r="B88" s="33">
        <f>Cheatsheet!M19</f>
        <v>17</v>
      </c>
      <c r="C88" s="33" t="str">
        <f>Cheatsheet!N19</f>
        <v/>
      </c>
      <c r="D88" s="33" t="str">
        <f>Cheatsheet!O19</f>
        <v>Alfred Morris</v>
      </c>
      <c r="E88" s="33" t="str">
        <f>Cheatsheet!P19</f>
        <v>WSH</v>
      </c>
      <c r="F88" s="33">
        <f>Cheatsheet!Q19</f>
        <v>10</v>
      </c>
      <c r="G88" s="70">
        <f>Cheatsheet!R19</f>
        <v>196.8</v>
      </c>
      <c r="H88" s="70">
        <f>Cheatsheet!S19</f>
        <v>-8.3939393939393483</v>
      </c>
      <c r="I88" s="33" t="s">
        <v>2</v>
      </c>
      <c r="J88" s="33"/>
      <c r="K88" s="181"/>
      <c r="L88" s="181"/>
      <c r="M88" s="33"/>
      <c r="N88" s="33"/>
      <c r="O88" s="33"/>
      <c r="P88" s="33"/>
      <c r="Q88" s="33"/>
      <c r="R88" s="181"/>
      <c r="S88" s="33"/>
      <c r="T88" s="181"/>
      <c r="U88" s="181"/>
      <c r="V88" s="33"/>
      <c r="W88" s="33"/>
      <c r="X88" s="33"/>
      <c r="Y88" s="33"/>
      <c r="Z88" s="33"/>
      <c r="AA88" s="181"/>
      <c r="AB88" s="33"/>
      <c r="AC88" s="181"/>
      <c r="AD88" s="181"/>
      <c r="AE88" s="33"/>
      <c r="AF88" s="33"/>
      <c r="AG88" s="33"/>
      <c r="AH88" s="33"/>
      <c r="AI88" s="33"/>
      <c r="AJ88" s="181"/>
      <c r="AK88" s="33"/>
    </row>
    <row r="89" spans="1:37" ht="12.75" customHeight="1">
      <c r="A89" s="33">
        <f>IF(ISERROR(VLOOKUP(RANK(H89,$H$2:$H$331),$A$2:A88,1,0)),RANK(H89,$H$2:$H$331),IF(ISERROR(VLOOKUP((RANK(H89,$H$2:$H$331)+1),$A$2:A88,1,0)),(RANK(H89,$H$2:$H$331)+1),(RANK(H89,$H$2:$H$331)+2)))</f>
        <v>76</v>
      </c>
      <c r="B89" s="33">
        <f>Cheatsheet!M20</f>
        <v>18</v>
      </c>
      <c r="C89" s="33" t="str">
        <f>Cheatsheet!N20</f>
        <v/>
      </c>
      <c r="D89" s="33" t="str">
        <f>Cheatsheet!O20</f>
        <v>Trent Richardson</v>
      </c>
      <c r="E89" s="33" t="str">
        <f>Cheatsheet!P20</f>
        <v>IND</v>
      </c>
      <c r="F89" s="33">
        <f>Cheatsheet!Q20</f>
        <v>10</v>
      </c>
      <c r="G89" s="70">
        <f>Cheatsheet!R20</f>
        <v>194.3</v>
      </c>
      <c r="H89" s="70">
        <f>Cheatsheet!S20</f>
        <v>-10.893939393939348</v>
      </c>
      <c r="I89" s="33" t="s">
        <v>2</v>
      </c>
      <c r="J89" s="33"/>
      <c r="K89" s="181"/>
      <c r="L89" s="181"/>
      <c r="M89" s="33"/>
      <c r="N89" s="33"/>
      <c r="O89" s="33"/>
      <c r="P89" s="33"/>
      <c r="Q89" s="33"/>
      <c r="R89" s="181"/>
      <c r="S89" s="33"/>
      <c r="T89" s="181"/>
      <c r="U89" s="181"/>
      <c r="V89" s="33"/>
      <c r="W89" s="33"/>
      <c r="X89" s="33"/>
      <c r="Y89" s="33"/>
      <c r="Z89" s="33"/>
      <c r="AA89" s="181"/>
      <c r="AB89" s="33"/>
      <c r="AC89" s="181"/>
      <c r="AD89" s="181"/>
      <c r="AE89" s="33"/>
      <c r="AF89" s="33"/>
      <c r="AG89" s="33"/>
      <c r="AH89" s="33"/>
      <c r="AI89" s="33"/>
      <c r="AJ89" s="181"/>
      <c r="AK89" s="33"/>
    </row>
    <row r="90" spans="1:37" ht="12.75" customHeight="1">
      <c r="A90" s="33">
        <f>IF(ISERROR(VLOOKUP(RANK(H90,$H$2:$H$331),$A$2:A89,1,0)),RANK(H90,$H$2:$H$331),IF(ISERROR(VLOOKUP((RANK(H90,$H$2:$H$331)+1),$A$2:A89,1,0)),(RANK(H90,$H$2:$H$331)+1),(RANK(H90,$H$2:$H$331)+2)))</f>
        <v>81</v>
      </c>
      <c r="B90" s="33">
        <f>Cheatsheet!M21</f>
        <v>19</v>
      </c>
      <c r="C90" s="33" t="str">
        <f>Cheatsheet!N21</f>
        <v/>
      </c>
      <c r="D90" s="33" t="str">
        <f>Cheatsheet!O21</f>
        <v>Reggie Bush</v>
      </c>
      <c r="E90" s="33" t="str">
        <f>Cheatsheet!P21</f>
        <v>DET</v>
      </c>
      <c r="F90" s="33">
        <f>Cheatsheet!Q21</f>
        <v>9</v>
      </c>
      <c r="G90" s="70">
        <f>Cheatsheet!R21</f>
        <v>191.4</v>
      </c>
      <c r="H90" s="70">
        <f>Cheatsheet!S21</f>
        <v>-13.793939393939354</v>
      </c>
      <c r="I90" s="33" t="s">
        <v>2</v>
      </c>
      <c r="J90" s="33"/>
      <c r="K90" s="181"/>
      <c r="L90" s="181"/>
      <c r="M90" s="33"/>
      <c r="N90" s="33"/>
      <c r="O90" s="33"/>
      <c r="P90" s="33"/>
      <c r="Q90" s="33"/>
      <c r="R90" s="181"/>
      <c r="S90" s="33"/>
      <c r="T90" s="181"/>
      <c r="U90" s="181"/>
      <c r="V90" s="33"/>
      <c r="W90" s="33"/>
      <c r="X90" s="33"/>
      <c r="Y90" s="33"/>
      <c r="Z90" s="33"/>
      <c r="AA90" s="181"/>
      <c r="AB90" s="33"/>
      <c r="AC90" s="181"/>
      <c r="AD90" s="181"/>
      <c r="AE90" s="33"/>
      <c r="AF90" s="33"/>
      <c r="AG90" s="33"/>
      <c r="AH90" s="33"/>
      <c r="AI90" s="33"/>
      <c r="AJ90" s="181"/>
      <c r="AK90" s="33"/>
    </row>
    <row r="91" spans="1:37" ht="12.75" customHeight="1">
      <c r="A91" s="33">
        <f>IF(ISERROR(VLOOKUP(RANK(H91,$H$2:$H$331),$A$2:A90,1,0)),RANK(H91,$H$2:$H$331),IF(ISERROR(VLOOKUP((RANK(H91,$H$2:$H$331)+1),$A$2:A90,1,0)),(RANK(H91,$H$2:$H$331)+1),(RANK(H91,$H$2:$H$331)+2)))</f>
        <v>82</v>
      </c>
      <c r="B91" s="33">
        <f>Cheatsheet!M22</f>
        <v>20</v>
      </c>
      <c r="C91" s="33" t="str">
        <f>Cheatsheet!N22</f>
        <v/>
      </c>
      <c r="D91" s="33" t="str">
        <f>Cheatsheet!O22</f>
        <v>Joique Bell</v>
      </c>
      <c r="E91" s="33" t="str">
        <f>Cheatsheet!P22</f>
        <v>DET</v>
      </c>
      <c r="F91" s="33">
        <f>Cheatsheet!Q22</f>
        <v>9</v>
      </c>
      <c r="G91" s="70">
        <f>Cheatsheet!R22</f>
        <v>191.1</v>
      </c>
      <c r="H91" s="70">
        <f>Cheatsheet!S22</f>
        <v>-14.093939393939365</v>
      </c>
      <c r="I91" s="33" t="s">
        <v>2</v>
      </c>
      <c r="J91" s="33"/>
      <c r="K91" s="181"/>
      <c r="L91" s="181"/>
      <c r="M91" s="33"/>
      <c r="N91" s="33"/>
      <c r="O91" s="33"/>
      <c r="P91" s="33"/>
      <c r="Q91" s="33"/>
      <c r="R91" s="181"/>
      <c r="S91" s="33"/>
      <c r="T91" s="181"/>
      <c r="U91" s="181"/>
      <c r="V91" s="33"/>
      <c r="W91" s="33"/>
      <c r="X91" s="33"/>
      <c r="Y91" s="33"/>
      <c r="Z91" s="33"/>
      <c r="AA91" s="181"/>
      <c r="AB91" s="33"/>
      <c r="AC91" s="181"/>
      <c r="AD91" s="181"/>
      <c r="AE91" s="33"/>
      <c r="AF91" s="33"/>
      <c r="AG91" s="33"/>
      <c r="AH91" s="33"/>
      <c r="AI91" s="33"/>
      <c r="AJ91" s="181"/>
      <c r="AK91" s="33"/>
    </row>
    <row r="92" spans="1:37" ht="12.75" customHeight="1">
      <c r="A92" s="33">
        <f>IF(ISERROR(VLOOKUP(RANK(H92,$H$2:$H$331),$A$2:A91,1,0)),RANK(H92,$H$2:$H$331),IF(ISERROR(VLOOKUP((RANK(H92,$H$2:$H$331)+1),$A$2:A91,1,0)),(RANK(H92,$H$2:$H$331)+1),(RANK(H92,$H$2:$H$331)+2)))</f>
        <v>88</v>
      </c>
      <c r="B92" s="33">
        <f>Cheatsheet!M23</f>
        <v>21</v>
      </c>
      <c r="C92" s="33" t="str">
        <f>Cheatsheet!N23</f>
        <v/>
      </c>
      <c r="D92" s="33" t="str">
        <f>Cheatsheet!O23</f>
        <v>Rashad Jennings</v>
      </c>
      <c r="E92" s="33" t="str">
        <f>Cheatsheet!P23</f>
        <v>NYG</v>
      </c>
      <c r="F92" s="33">
        <f>Cheatsheet!Q23</f>
        <v>8</v>
      </c>
      <c r="G92" s="70">
        <f>Cheatsheet!R23</f>
        <v>188.4</v>
      </c>
      <c r="H92" s="70">
        <f>Cheatsheet!S23</f>
        <v>-16.793939393939354</v>
      </c>
      <c r="I92" s="33" t="s">
        <v>2</v>
      </c>
      <c r="J92" s="33"/>
      <c r="K92" s="181"/>
      <c r="L92" s="181"/>
      <c r="M92" s="33"/>
      <c r="N92" s="33"/>
      <c r="O92" s="33"/>
      <c r="P92" s="33"/>
      <c r="Q92" s="33"/>
      <c r="R92" s="181"/>
      <c r="S92" s="33"/>
      <c r="T92" s="181"/>
      <c r="U92" s="181"/>
      <c r="V92" s="33"/>
      <c r="W92" s="33"/>
      <c r="X92" s="33"/>
      <c r="Y92" s="33"/>
      <c r="Z92" s="33"/>
      <c r="AA92" s="181"/>
      <c r="AB92" s="33"/>
      <c r="AC92" s="181"/>
      <c r="AD92" s="181"/>
      <c r="AE92" s="33"/>
      <c r="AF92" s="33"/>
      <c r="AG92" s="33"/>
      <c r="AH92" s="33"/>
      <c r="AI92" s="33"/>
      <c r="AJ92" s="181"/>
      <c r="AK92" s="33"/>
    </row>
    <row r="93" spans="1:37" ht="12.75" customHeight="1">
      <c r="A93" s="33">
        <f>IF(ISERROR(VLOOKUP(RANK(H93,$H$2:$H$331),$A$2:A92,1,0)),RANK(H93,$H$2:$H$331),IF(ISERROR(VLOOKUP((RANK(H93,$H$2:$H$331)+1),$A$2:A92,1,0)),(RANK(H93,$H$2:$H$331)+1),(RANK(H93,$H$2:$H$331)+2)))</f>
        <v>92</v>
      </c>
      <c r="B93" s="33">
        <f>Cheatsheet!M24</f>
        <v>22</v>
      </c>
      <c r="C93" s="33" t="str">
        <f>Cheatsheet!N24</f>
        <v/>
      </c>
      <c r="D93" s="33" t="str">
        <f>Cheatsheet!O24</f>
        <v>Shane Vereen</v>
      </c>
      <c r="E93" s="33" t="str">
        <f>Cheatsheet!P24</f>
        <v>NE</v>
      </c>
      <c r="F93" s="33">
        <f>Cheatsheet!Q24</f>
        <v>10</v>
      </c>
      <c r="G93" s="70">
        <f>Cheatsheet!R24</f>
        <v>186.2</v>
      </c>
      <c r="H93" s="70">
        <f>Cheatsheet!S24</f>
        <v>-18.993939393939371</v>
      </c>
      <c r="I93" s="33" t="s">
        <v>2</v>
      </c>
      <c r="J93" s="33"/>
      <c r="K93" s="181"/>
      <c r="L93" s="181"/>
      <c r="M93" s="33"/>
      <c r="N93" s="33"/>
      <c r="O93" s="33"/>
      <c r="P93" s="33"/>
      <c r="Q93" s="33"/>
      <c r="R93" s="181"/>
      <c r="S93" s="33"/>
      <c r="T93" s="181"/>
      <c r="U93" s="181"/>
      <c r="V93" s="33"/>
      <c r="W93" s="33"/>
      <c r="X93" s="33"/>
      <c r="Y93" s="33"/>
      <c r="Z93" s="33"/>
      <c r="AA93" s="181"/>
      <c r="AB93" s="33"/>
      <c r="AC93" s="181"/>
      <c r="AD93" s="181"/>
      <c r="AE93" s="33"/>
      <c r="AF93" s="33"/>
      <c r="AG93" s="33"/>
      <c r="AH93" s="33"/>
      <c r="AI93" s="33"/>
      <c r="AJ93" s="181"/>
      <c r="AK93" s="33"/>
    </row>
    <row r="94" spans="1:37" ht="12.75" customHeight="1">
      <c r="A94" s="33">
        <f>IF(ISERROR(VLOOKUP(RANK(H94,$H$2:$H$331),$A$2:A93,1,0)),RANK(H94,$H$2:$H$331),IF(ISERROR(VLOOKUP((RANK(H94,$H$2:$H$331)+1),$A$2:A93,1,0)),(RANK(H94,$H$2:$H$331)+1),(RANK(H94,$H$2:$H$331)+2)))</f>
        <v>96</v>
      </c>
      <c r="B94" s="33">
        <f>Cheatsheet!M25</f>
        <v>23</v>
      </c>
      <c r="C94" s="33" t="str">
        <f>Cheatsheet!N25</f>
        <v/>
      </c>
      <c r="D94" s="33" t="str">
        <f>Cheatsheet!O25</f>
        <v>Chris Johnson</v>
      </c>
      <c r="E94" s="33" t="str">
        <f>Cheatsheet!P25</f>
        <v>NYJ</v>
      </c>
      <c r="F94" s="33">
        <f>Cheatsheet!Q25</f>
        <v>11</v>
      </c>
      <c r="G94" s="70">
        <f>Cheatsheet!R25</f>
        <v>185.3</v>
      </c>
      <c r="H94" s="70">
        <f>Cheatsheet!S25</f>
        <v>-19.893939393939348</v>
      </c>
      <c r="I94" s="33" t="s">
        <v>2</v>
      </c>
      <c r="J94" s="33"/>
      <c r="K94" s="181"/>
      <c r="L94" s="181"/>
      <c r="M94" s="33"/>
      <c r="N94" s="33"/>
      <c r="O94" s="33"/>
      <c r="P94" s="33"/>
      <c r="Q94" s="33"/>
      <c r="R94" s="181"/>
      <c r="S94" s="33"/>
      <c r="T94" s="181"/>
      <c r="U94" s="181"/>
      <c r="V94" s="33"/>
      <c r="W94" s="33"/>
      <c r="X94" s="33"/>
      <c r="Y94" s="33"/>
      <c r="Z94" s="33"/>
      <c r="AA94" s="181"/>
      <c r="AB94" s="33"/>
      <c r="AC94" s="181"/>
      <c r="AD94" s="181"/>
      <c r="AE94" s="33"/>
      <c r="AF94" s="33"/>
      <c r="AG94" s="33"/>
      <c r="AH94" s="33"/>
      <c r="AI94" s="33"/>
      <c r="AJ94" s="181"/>
      <c r="AK94" s="33"/>
    </row>
    <row r="95" spans="1:37" ht="12.75" customHeight="1">
      <c r="A95" s="33">
        <f>IF(ISERROR(VLOOKUP(RANK(H95,$H$2:$H$331),$A$2:A94,1,0)),RANK(H95,$H$2:$H$331),IF(ISERROR(VLOOKUP((RANK(H95,$H$2:$H$331)+1),$A$2:A94,1,0)),(RANK(H95,$H$2:$H$331)+1),(RANK(H95,$H$2:$H$331)+2)))</f>
        <v>98</v>
      </c>
      <c r="B95" s="33">
        <f>Cheatsheet!M26</f>
        <v>24</v>
      </c>
      <c r="C95" s="33" t="str">
        <f>Cheatsheet!N26</f>
        <v/>
      </c>
      <c r="D95" s="33" t="str">
        <f>Cheatsheet!O26</f>
        <v>Bishop Sankey</v>
      </c>
      <c r="E95" s="33" t="str">
        <f>Cheatsheet!P26</f>
        <v>TEN</v>
      </c>
      <c r="F95" s="33">
        <f>Cheatsheet!Q26</f>
        <v>9</v>
      </c>
      <c r="G95" s="70">
        <f>Cheatsheet!R26</f>
        <v>184.6</v>
      </c>
      <c r="H95" s="70">
        <f>Cheatsheet!S26</f>
        <v>-20.593939393939365</v>
      </c>
      <c r="I95" s="33" t="s">
        <v>2</v>
      </c>
      <c r="J95" s="33"/>
      <c r="K95" s="181"/>
      <c r="L95" s="181"/>
      <c r="M95" s="33"/>
      <c r="N95" s="33"/>
      <c r="O95" s="33"/>
      <c r="P95" s="33"/>
      <c r="Q95" s="33"/>
      <c r="R95" s="181"/>
      <c r="S95" s="33"/>
      <c r="T95" s="181"/>
      <c r="U95" s="181"/>
      <c r="V95" s="33"/>
      <c r="W95" s="33"/>
      <c r="X95" s="33"/>
      <c r="Y95" s="33"/>
      <c r="Z95" s="33"/>
      <c r="AA95" s="181"/>
      <c r="AB95" s="33"/>
      <c r="AC95" s="181"/>
      <c r="AD95" s="181"/>
      <c r="AE95" s="33"/>
      <c r="AF95" s="33"/>
      <c r="AG95" s="33"/>
      <c r="AH95" s="33"/>
      <c r="AI95" s="33"/>
      <c r="AJ95" s="181"/>
      <c r="AK95" s="33"/>
    </row>
    <row r="96" spans="1:37" ht="12.75" customHeight="1">
      <c r="A96" s="33">
        <f>IF(ISERROR(VLOOKUP(RANK(H96,$H$2:$H$331),$A$2:A95,1,0)),RANK(H96,$H$2:$H$331),IF(ISERROR(VLOOKUP((RANK(H96,$H$2:$H$331)+1),$A$2:A95,1,0)),(RANK(H96,$H$2:$H$331)+1),(RANK(H96,$H$2:$H$331)+2)))</f>
        <v>103</v>
      </c>
      <c r="B96" s="33">
        <f>Cheatsheet!M27</f>
        <v>25</v>
      </c>
      <c r="C96" s="33" t="str">
        <f>Cheatsheet!N27</f>
        <v/>
      </c>
      <c r="D96" s="33" t="str">
        <f>Cheatsheet!O27</f>
        <v>C.J. Spiller</v>
      </c>
      <c r="E96" s="33" t="str">
        <f>Cheatsheet!P27</f>
        <v>BUF</v>
      </c>
      <c r="F96" s="33">
        <f>Cheatsheet!Q27</f>
        <v>9</v>
      </c>
      <c r="G96" s="70">
        <f>Cheatsheet!R27</f>
        <v>181.9</v>
      </c>
      <c r="H96" s="70">
        <f>Cheatsheet!S27</f>
        <v>-23.293939393939354</v>
      </c>
      <c r="I96" s="33" t="s">
        <v>2</v>
      </c>
      <c r="J96" s="33"/>
      <c r="K96" s="181"/>
      <c r="L96" s="181"/>
      <c r="M96" s="33"/>
      <c r="N96" s="33"/>
      <c r="O96" s="33"/>
      <c r="P96" s="33"/>
      <c r="Q96" s="33"/>
      <c r="R96" s="181"/>
      <c r="S96" s="33"/>
      <c r="T96" s="181"/>
      <c r="U96" s="181"/>
      <c r="V96" s="33"/>
      <c r="W96" s="33"/>
      <c r="X96" s="33"/>
      <c r="Y96" s="33"/>
      <c r="Z96" s="33"/>
      <c r="AA96" s="181"/>
      <c r="AB96" s="33"/>
      <c r="AC96" s="181"/>
      <c r="AD96" s="181"/>
      <c r="AE96" s="33"/>
      <c r="AF96" s="33"/>
      <c r="AG96" s="33"/>
      <c r="AH96" s="33"/>
      <c r="AI96" s="33"/>
      <c r="AJ96" s="181"/>
      <c r="AK96" s="33"/>
    </row>
    <row r="97" spans="1:37" ht="12.75" customHeight="1">
      <c r="A97" s="33">
        <f>IF(ISERROR(VLOOKUP(RANK(H97,$H$2:$H$331),$A$2:A96,1,0)),RANK(H97,$H$2:$H$331),IF(ISERROR(VLOOKUP((RANK(H97,$H$2:$H$331)+1),$A$2:A96,1,0)),(RANK(H97,$H$2:$H$331)+1),(RANK(H97,$H$2:$H$331)+2)))</f>
        <v>109</v>
      </c>
      <c r="B97" s="33">
        <f>Cheatsheet!M28</f>
        <v>26</v>
      </c>
      <c r="C97" s="33" t="str">
        <f>Cheatsheet!N28</f>
        <v/>
      </c>
      <c r="D97" s="33" t="str">
        <f>Cheatsheet!O28</f>
        <v>Frank Gore</v>
      </c>
      <c r="E97" s="33" t="str">
        <f>Cheatsheet!P28</f>
        <v>SF</v>
      </c>
      <c r="F97" s="33">
        <f>Cheatsheet!Q28</f>
        <v>8</v>
      </c>
      <c r="G97" s="70">
        <f>Cheatsheet!R28</f>
        <v>179.4</v>
      </c>
      <c r="H97" s="70">
        <f>Cheatsheet!S28</f>
        <v>-25.793939393939354</v>
      </c>
      <c r="I97" s="33" t="s">
        <v>2</v>
      </c>
      <c r="J97" s="33"/>
      <c r="K97" s="181"/>
      <c r="L97" s="181"/>
      <c r="M97" s="33"/>
      <c r="N97" s="33"/>
      <c r="O97" s="33"/>
      <c r="P97" s="33"/>
      <c r="Q97" s="33"/>
      <c r="R97" s="181"/>
      <c r="S97" s="33"/>
      <c r="T97" s="181"/>
      <c r="U97" s="181"/>
      <c r="V97" s="33"/>
      <c r="W97" s="33"/>
      <c r="X97" s="33"/>
      <c r="Y97" s="33"/>
      <c r="Z97" s="33"/>
      <c r="AA97" s="181"/>
      <c r="AB97" s="33"/>
      <c r="AC97" s="181"/>
      <c r="AD97" s="181"/>
      <c r="AE97" s="33"/>
      <c r="AF97" s="33"/>
      <c r="AG97" s="33"/>
      <c r="AH97" s="33"/>
      <c r="AI97" s="33"/>
      <c r="AJ97" s="181"/>
      <c r="AK97" s="33"/>
    </row>
    <row r="98" spans="1:37" ht="12.75" customHeight="1">
      <c r="A98" s="33">
        <f>IF(ISERROR(VLOOKUP(RANK(H98,$H$2:$H$331),$A$2:A97,1,0)),RANK(H98,$H$2:$H$331),IF(ISERROR(VLOOKUP((RANK(H98,$H$2:$H$331)+1),$A$2:A97,1,0)),(RANK(H98,$H$2:$H$331)+1),(RANK(H98,$H$2:$H$331)+2)))</f>
        <v>117</v>
      </c>
      <c r="B98" s="33">
        <f>Cheatsheet!M29</f>
        <v>27</v>
      </c>
      <c r="C98" s="33" t="str">
        <f>Cheatsheet!N29</f>
        <v/>
      </c>
      <c r="D98" s="33" t="str">
        <f>Cheatsheet!O29</f>
        <v>Ryan Mathews</v>
      </c>
      <c r="E98" s="33" t="str">
        <f>Cheatsheet!P29</f>
        <v>SD</v>
      </c>
      <c r="F98" s="33">
        <f>Cheatsheet!Q29</f>
        <v>10</v>
      </c>
      <c r="G98" s="70">
        <f>Cheatsheet!R29</f>
        <v>177.4</v>
      </c>
      <c r="H98" s="70">
        <f>Cheatsheet!S29</f>
        <v>-27.793939393939354</v>
      </c>
      <c r="I98" s="33" t="s">
        <v>2</v>
      </c>
      <c r="J98" s="33"/>
      <c r="K98" s="181"/>
      <c r="L98" s="181"/>
      <c r="M98" s="33"/>
      <c r="N98" s="33"/>
      <c r="O98" s="33"/>
      <c r="P98" s="33"/>
      <c r="Q98" s="33"/>
      <c r="R98" s="181"/>
      <c r="S98" s="33"/>
      <c r="T98" s="181"/>
      <c r="U98" s="181"/>
      <c r="V98" s="33"/>
      <c r="W98" s="33"/>
      <c r="X98" s="33"/>
      <c r="Y98" s="33"/>
      <c r="Z98" s="33"/>
      <c r="AA98" s="181"/>
      <c r="AB98" s="33"/>
      <c r="AC98" s="181"/>
      <c r="AD98" s="181"/>
      <c r="AE98" s="33"/>
      <c r="AF98" s="33"/>
      <c r="AG98" s="33"/>
      <c r="AH98" s="33"/>
      <c r="AI98" s="33"/>
      <c r="AJ98" s="181"/>
      <c r="AK98" s="33"/>
    </row>
    <row r="99" spans="1:37" ht="12.75" customHeight="1">
      <c r="A99" s="33">
        <f>IF(ISERROR(VLOOKUP(RANK(H99,$H$2:$H$331),$A$2:A98,1,0)),RANK(H99,$H$2:$H$331),IF(ISERROR(VLOOKUP((RANK(H99,$H$2:$H$331)+1),$A$2:A98,1,0)),(RANK(H99,$H$2:$H$331)+1),(RANK(H99,$H$2:$H$331)+2)))</f>
        <v>125</v>
      </c>
      <c r="B99" s="33">
        <f>Cheatsheet!M30</f>
        <v>28</v>
      </c>
      <c r="C99" s="33" t="str">
        <f>Cheatsheet!N30</f>
        <v/>
      </c>
      <c r="D99" s="33" t="str">
        <f>Cheatsheet!O30</f>
        <v>Ben Tate</v>
      </c>
      <c r="E99" s="33" t="str">
        <f>Cheatsheet!P30</f>
        <v>CLE</v>
      </c>
      <c r="F99" s="33">
        <f>Cheatsheet!Q30</f>
        <v>4</v>
      </c>
      <c r="G99" s="70">
        <f>Cheatsheet!R30</f>
        <v>173.5</v>
      </c>
      <c r="H99" s="70">
        <f>Cheatsheet!S30</f>
        <v>-31.69393939393936</v>
      </c>
      <c r="I99" s="33" t="s">
        <v>2</v>
      </c>
      <c r="J99" s="33"/>
      <c r="K99" s="181"/>
      <c r="L99" s="181"/>
      <c r="M99" s="33"/>
      <c r="N99" s="33"/>
      <c r="O99" s="33"/>
      <c r="P99" s="33"/>
      <c r="Q99" s="33"/>
      <c r="R99" s="181"/>
      <c r="S99" s="33"/>
      <c r="T99" s="181"/>
      <c r="U99" s="181"/>
      <c r="V99" s="33"/>
      <c r="W99" s="33"/>
      <c r="X99" s="33"/>
      <c r="Y99" s="33"/>
      <c r="Z99" s="33"/>
      <c r="AA99" s="181"/>
      <c r="AB99" s="33"/>
      <c r="AC99" s="181"/>
      <c r="AD99" s="181"/>
      <c r="AE99" s="33"/>
      <c r="AF99" s="33"/>
      <c r="AG99" s="33"/>
      <c r="AH99" s="33"/>
      <c r="AI99" s="33"/>
      <c r="AJ99" s="181"/>
      <c r="AK99" s="33"/>
    </row>
    <row r="100" spans="1:37" ht="12.75" customHeight="1">
      <c r="A100" s="33">
        <f>IF(ISERROR(VLOOKUP(RANK(H100,$H$2:$H$331),$A$2:A99,1,0)),RANK(H100,$H$2:$H$331),IF(ISERROR(VLOOKUP((RANK(H100,$H$2:$H$331)+1),$A$2:A99,1,0)),(RANK(H100,$H$2:$H$331)+1),(RANK(H100,$H$2:$H$331)+2)))</f>
        <v>135</v>
      </c>
      <c r="B100" s="33">
        <f>Cheatsheet!M31</f>
        <v>29</v>
      </c>
      <c r="C100" s="33" t="str">
        <f>Cheatsheet!N31</f>
        <v/>
      </c>
      <c r="D100" s="33" t="str">
        <f>Cheatsheet!O31</f>
        <v>Pierre Thomas</v>
      </c>
      <c r="E100" s="33" t="str">
        <f>Cheatsheet!P31</f>
        <v>NO</v>
      </c>
      <c r="F100" s="33">
        <f>Cheatsheet!Q31</f>
        <v>6</v>
      </c>
      <c r="G100" s="70">
        <f>Cheatsheet!R31</f>
        <v>166.9</v>
      </c>
      <c r="H100" s="70">
        <f>Cheatsheet!S31</f>
        <v>-38.293939393939354</v>
      </c>
      <c r="I100" s="33" t="s">
        <v>2</v>
      </c>
      <c r="J100" s="33"/>
      <c r="K100" s="181"/>
      <c r="L100" s="181"/>
      <c r="M100" s="33"/>
      <c r="N100" s="33"/>
      <c r="O100" s="33"/>
      <c r="P100" s="33"/>
      <c r="Q100" s="33"/>
      <c r="R100" s="181"/>
      <c r="S100" s="33"/>
      <c r="T100" s="181"/>
      <c r="U100" s="181"/>
      <c r="V100" s="33"/>
      <c r="W100" s="33"/>
      <c r="X100" s="33"/>
      <c r="Y100" s="33"/>
      <c r="Z100" s="33"/>
      <c r="AA100" s="181"/>
      <c r="AB100" s="33"/>
      <c r="AC100" s="181"/>
      <c r="AD100" s="181"/>
      <c r="AE100" s="33"/>
      <c r="AF100" s="33"/>
      <c r="AG100" s="33"/>
      <c r="AH100" s="33"/>
      <c r="AI100" s="33"/>
      <c r="AJ100" s="181"/>
      <c r="AK100" s="33"/>
    </row>
    <row r="101" spans="1:37" ht="12.75" customHeight="1">
      <c r="A101" s="33">
        <f>IF(ISERROR(VLOOKUP(RANK(H101,$H$2:$H$331),$A$2:A100,1,0)),RANK(H101,$H$2:$H$331),IF(ISERROR(VLOOKUP((RANK(H101,$H$2:$H$331)+1),$A$2:A100,1,0)),(RANK(H101,$H$2:$H$331)+1),(RANK(H101,$H$2:$H$331)+2)))</f>
        <v>157</v>
      </c>
      <c r="B101" s="33">
        <f>Cheatsheet!M32</f>
        <v>30</v>
      </c>
      <c r="C101" s="33" t="str">
        <f>Cheatsheet!N32</f>
        <v/>
      </c>
      <c r="D101" s="33" t="str">
        <f>Cheatsheet!O32</f>
        <v>Stevan Ridley</v>
      </c>
      <c r="E101" s="33" t="str">
        <f>Cheatsheet!P32</f>
        <v>NE</v>
      </c>
      <c r="F101" s="33">
        <f>Cheatsheet!Q32</f>
        <v>10</v>
      </c>
      <c r="G101" s="70">
        <f>Cheatsheet!R32</f>
        <v>156.5</v>
      </c>
      <c r="H101" s="70">
        <f>Cheatsheet!S32</f>
        <v>-48.69393939393936</v>
      </c>
      <c r="I101" s="33" t="s">
        <v>2</v>
      </c>
      <c r="J101" s="33"/>
      <c r="K101" s="181"/>
      <c r="L101" s="181"/>
      <c r="M101" s="33"/>
      <c r="N101" s="33"/>
      <c r="O101" s="33"/>
      <c r="P101" s="33"/>
      <c r="Q101" s="33"/>
      <c r="R101" s="181"/>
      <c r="S101" s="33"/>
      <c r="T101" s="181"/>
      <c r="U101" s="181"/>
      <c r="V101" s="33"/>
      <c r="W101" s="33"/>
      <c r="X101" s="33"/>
      <c r="Y101" s="33"/>
      <c r="Z101" s="33"/>
      <c r="AA101" s="181"/>
      <c r="AB101" s="33"/>
      <c r="AC101" s="181"/>
      <c r="AD101" s="181"/>
      <c r="AE101" s="33"/>
      <c r="AF101" s="33"/>
      <c r="AG101" s="33"/>
      <c r="AH101" s="33"/>
      <c r="AI101" s="33"/>
      <c r="AJ101" s="181"/>
      <c r="AK101" s="33"/>
    </row>
    <row r="102" spans="1:37" ht="12.75" customHeight="1">
      <c r="A102" s="33">
        <f>IF(ISERROR(VLOOKUP(RANK(H102,$H$2:$H$331),$A$2:A101,1,0)),RANK(H102,$H$2:$H$331),IF(ISERROR(VLOOKUP((RANK(H102,$H$2:$H$331)+1),$A$2:A101,1,0)),(RANK(H102,$H$2:$H$331)+1),(RANK(H102,$H$2:$H$331)+2)))</f>
        <v>158</v>
      </c>
      <c r="B102" s="33">
        <f>Cheatsheet!M33</f>
        <v>31</v>
      </c>
      <c r="C102" s="33" t="str">
        <f>Cheatsheet!N33</f>
        <v/>
      </c>
      <c r="D102" s="33" t="str">
        <f>Cheatsheet!O33</f>
        <v>Danny Woodhead</v>
      </c>
      <c r="E102" s="33" t="str">
        <f>Cheatsheet!P33</f>
        <v>SD</v>
      </c>
      <c r="F102" s="33">
        <f>Cheatsheet!Q33</f>
        <v>10</v>
      </c>
      <c r="G102" s="70">
        <f>Cheatsheet!R33</f>
        <v>156.19999999999999</v>
      </c>
      <c r="H102" s="70">
        <f>Cheatsheet!S33</f>
        <v>-48.993939393939371</v>
      </c>
      <c r="I102" s="33" t="s">
        <v>2</v>
      </c>
      <c r="J102" s="33"/>
      <c r="K102" s="181"/>
      <c r="L102" s="181"/>
      <c r="M102" s="33"/>
      <c r="N102" s="33"/>
      <c r="O102" s="33"/>
      <c r="P102" s="33"/>
      <c r="Q102" s="33"/>
      <c r="R102" s="181"/>
      <c r="S102" s="33"/>
      <c r="T102" s="181"/>
      <c r="U102" s="181"/>
      <c r="V102" s="33"/>
      <c r="W102" s="33"/>
      <c r="X102" s="33"/>
      <c r="Y102" s="33"/>
      <c r="Z102" s="33"/>
      <c r="AA102" s="181"/>
      <c r="AB102" s="33"/>
      <c r="AC102" s="181"/>
      <c r="AD102" s="181"/>
      <c r="AE102" s="33"/>
      <c r="AF102" s="33"/>
      <c r="AG102" s="33"/>
      <c r="AH102" s="33"/>
      <c r="AI102" s="33"/>
      <c r="AJ102" s="181"/>
      <c r="AK102" s="33"/>
    </row>
    <row r="103" spans="1:37" ht="12.75" customHeight="1">
      <c r="A103" s="33">
        <f>IF(ISERROR(VLOOKUP(RANK(H103,$H$2:$H$331),$A$2:A102,1,0)),RANK(H103,$H$2:$H$331),IF(ISERROR(VLOOKUP((RANK(H103,$H$2:$H$331)+1),$A$2:A102,1,0)),(RANK(H103,$H$2:$H$331)+1),(RANK(H103,$H$2:$H$331)+2)))</f>
        <v>160</v>
      </c>
      <c r="B103" s="33">
        <f>Cheatsheet!M34</f>
        <v>32</v>
      </c>
      <c r="C103" s="33" t="str">
        <f>Cheatsheet!N34</f>
        <v/>
      </c>
      <c r="D103" s="33" t="str">
        <f>Cheatsheet!O34</f>
        <v>Maurice Jones-Drew</v>
      </c>
      <c r="E103" s="33" t="str">
        <f>Cheatsheet!P34</f>
        <v>OAK</v>
      </c>
      <c r="F103" s="33">
        <f>Cheatsheet!Q34</f>
        <v>5</v>
      </c>
      <c r="G103" s="70">
        <f>Cheatsheet!R34</f>
        <v>154.1</v>
      </c>
      <c r="H103" s="70">
        <f>Cheatsheet!S34</f>
        <v>-51.093939393939365</v>
      </c>
      <c r="I103" s="33" t="s">
        <v>2</v>
      </c>
      <c r="J103" s="33"/>
      <c r="K103" s="181"/>
      <c r="L103" s="181"/>
      <c r="M103" s="33"/>
      <c r="N103" s="33"/>
      <c r="O103" s="33"/>
      <c r="P103" s="33"/>
      <c r="Q103" s="33"/>
      <c r="R103" s="181"/>
      <c r="S103" s="33"/>
      <c r="T103" s="181"/>
      <c r="U103" s="181"/>
      <c r="V103" s="33"/>
      <c r="W103" s="33"/>
      <c r="X103" s="33"/>
      <c r="Y103" s="33"/>
      <c r="Z103" s="33"/>
      <c r="AA103" s="181"/>
      <c r="AB103" s="33"/>
      <c r="AC103" s="181"/>
      <c r="AD103" s="181"/>
      <c r="AE103" s="33"/>
      <c r="AF103" s="33"/>
      <c r="AG103" s="33"/>
      <c r="AH103" s="33"/>
      <c r="AI103" s="33"/>
      <c r="AJ103" s="181"/>
      <c r="AK103" s="33"/>
    </row>
    <row r="104" spans="1:37" ht="12.75" customHeight="1">
      <c r="A104" s="33">
        <f>IF(ISERROR(VLOOKUP(RANK(H104,$H$2:$H$331),$A$2:A103,1,0)),RANK(H104,$H$2:$H$331),IF(ISERROR(VLOOKUP((RANK(H104,$H$2:$H$331)+1),$A$2:A103,1,0)),(RANK(H104,$H$2:$H$331)+1),(RANK(H104,$H$2:$H$331)+2)))</f>
        <v>162</v>
      </c>
      <c r="B104" s="33">
        <f>Cheatsheet!M35</f>
        <v>33</v>
      </c>
      <c r="C104" s="33" t="str">
        <f>Cheatsheet!N35</f>
        <v/>
      </c>
      <c r="D104" s="33" t="str">
        <f>Cheatsheet!O35</f>
        <v>Steven Jackson</v>
      </c>
      <c r="E104" s="33" t="str">
        <f>Cheatsheet!P35</f>
        <v>ATL</v>
      </c>
      <c r="F104" s="33">
        <f>Cheatsheet!Q35</f>
        <v>9</v>
      </c>
      <c r="G104" s="70">
        <f>Cheatsheet!R35</f>
        <v>150.6</v>
      </c>
      <c r="H104" s="70">
        <f>Cheatsheet!S35</f>
        <v>-54.593939393939365</v>
      </c>
      <c r="I104" s="33" t="s">
        <v>2</v>
      </c>
      <c r="J104" s="33"/>
      <c r="K104" s="181"/>
      <c r="L104" s="181"/>
      <c r="M104" s="33"/>
      <c r="N104" s="33"/>
      <c r="O104" s="33"/>
      <c r="P104" s="33"/>
      <c r="Q104" s="33"/>
      <c r="R104" s="181"/>
      <c r="S104" s="33"/>
      <c r="T104" s="181"/>
      <c r="U104" s="181"/>
      <c r="V104" s="33"/>
      <c r="W104" s="33"/>
      <c r="X104" s="33"/>
      <c r="Y104" s="33"/>
      <c r="Z104" s="33"/>
      <c r="AA104" s="181"/>
      <c r="AB104" s="33"/>
      <c r="AC104" s="181"/>
      <c r="AD104" s="181"/>
      <c r="AE104" s="33"/>
      <c r="AF104" s="33"/>
      <c r="AG104" s="33"/>
      <c r="AH104" s="33"/>
      <c r="AI104" s="33"/>
      <c r="AJ104" s="181"/>
      <c r="AK104" s="33"/>
    </row>
    <row r="105" spans="1:37" ht="12.75" customHeight="1">
      <c r="A105" s="33">
        <f>IF(ISERROR(VLOOKUP(RANK(H105,$H$2:$H$331),$A$2:A104,1,0)),RANK(H105,$H$2:$H$331),IF(ISERROR(VLOOKUP((RANK(H105,$H$2:$H$331)+1),$A$2:A104,1,0)),(RANK(H105,$H$2:$H$331)+1),(RANK(H105,$H$2:$H$331)+2)))</f>
        <v>163</v>
      </c>
      <c r="B105" s="33">
        <f>Cheatsheet!M36</f>
        <v>34</v>
      </c>
      <c r="C105" s="33" t="str">
        <f>Cheatsheet!N36</f>
        <v/>
      </c>
      <c r="D105" s="33" t="str">
        <f>Cheatsheet!O36</f>
        <v>Fred Jackson</v>
      </c>
      <c r="E105" s="33" t="str">
        <f>Cheatsheet!P36</f>
        <v>BUF</v>
      </c>
      <c r="F105" s="33">
        <f>Cheatsheet!Q36</f>
        <v>9</v>
      </c>
      <c r="G105" s="70">
        <f>Cheatsheet!R36</f>
        <v>149.30000000000001</v>
      </c>
      <c r="H105" s="70">
        <f>Cheatsheet!S36</f>
        <v>-55.893939393939348</v>
      </c>
      <c r="I105" s="33" t="s">
        <v>2</v>
      </c>
      <c r="J105" s="33"/>
      <c r="K105" s="181"/>
      <c r="L105" s="181"/>
      <c r="M105" s="33"/>
      <c r="N105" s="33"/>
      <c r="O105" s="33"/>
      <c r="P105" s="33"/>
      <c r="Q105" s="33"/>
      <c r="R105" s="181"/>
      <c r="S105" s="33"/>
      <c r="T105" s="181"/>
      <c r="U105" s="181"/>
      <c r="V105" s="33"/>
      <c r="W105" s="33"/>
      <c r="X105" s="33"/>
      <c r="Y105" s="33"/>
      <c r="Z105" s="33"/>
      <c r="AA105" s="181"/>
      <c r="AB105" s="33"/>
      <c r="AC105" s="181"/>
      <c r="AD105" s="181"/>
      <c r="AE105" s="33"/>
      <c r="AF105" s="33"/>
      <c r="AG105" s="33"/>
      <c r="AH105" s="33"/>
      <c r="AI105" s="33"/>
      <c r="AJ105" s="181"/>
      <c r="AK105" s="33"/>
    </row>
    <row r="106" spans="1:37" ht="12.75" customHeight="1">
      <c r="A106" s="33">
        <f>IF(ISERROR(VLOOKUP(RANK(H106,$H$2:$H$331),$A$2:A105,1,0)),RANK(H106,$H$2:$H$331),IF(ISERROR(VLOOKUP((RANK(H106,$H$2:$H$331)+1),$A$2:A105,1,0)),(RANK(H106,$H$2:$H$331)+1),(RANK(H106,$H$2:$H$331)+2)))</f>
        <v>177</v>
      </c>
      <c r="B106" s="33">
        <f>Cheatsheet!M37</f>
        <v>35</v>
      </c>
      <c r="C106" s="33" t="str">
        <f>Cheatsheet!N37</f>
        <v/>
      </c>
      <c r="D106" s="33" t="str">
        <f>Cheatsheet!O37</f>
        <v>DeAngelo Williams</v>
      </c>
      <c r="E106" s="33" t="str">
        <f>Cheatsheet!P37</f>
        <v>CAR</v>
      </c>
      <c r="F106" s="33">
        <f>Cheatsheet!Q37</f>
        <v>12</v>
      </c>
      <c r="G106" s="70">
        <f>Cheatsheet!R37</f>
        <v>139</v>
      </c>
      <c r="H106" s="70">
        <f>Cheatsheet!S37</f>
        <v>-66.19393939393936</v>
      </c>
      <c r="I106" s="33" t="s">
        <v>2</v>
      </c>
      <c r="J106" s="33"/>
      <c r="K106" s="181"/>
      <c r="L106" s="181"/>
      <c r="M106" s="33"/>
      <c r="N106" s="33"/>
      <c r="O106" s="33"/>
      <c r="P106" s="33"/>
      <c r="Q106" s="33"/>
      <c r="R106" s="181"/>
      <c r="S106" s="33"/>
      <c r="T106" s="181"/>
      <c r="U106" s="181"/>
      <c r="V106" s="33"/>
      <c r="W106" s="33"/>
      <c r="X106" s="33"/>
      <c r="Y106" s="33"/>
      <c r="Z106" s="33"/>
      <c r="AA106" s="181"/>
      <c r="AB106" s="33"/>
      <c r="AC106" s="181"/>
      <c r="AD106" s="181"/>
      <c r="AE106" s="33"/>
      <c r="AF106" s="33"/>
      <c r="AG106" s="33"/>
      <c r="AH106" s="33"/>
      <c r="AI106" s="33"/>
      <c r="AJ106" s="181"/>
      <c r="AK106" s="33"/>
    </row>
    <row r="107" spans="1:37" ht="12.75" customHeight="1">
      <c r="A107" s="33">
        <f>IF(ISERROR(VLOOKUP(RANK(H107,$H$2:$H$331),$A$2:A106,1,0)),RANK(H107,$H$2:$H$331),IF(ISERROR(VLOOKUP((RANK(H107,$H$2:$H$331)+1),$A$2:A106,1,0)),(RANK(H107,$H$2:$H$331)+1),(RANK(H107,$H$2:$H$331)+2)))</f>
        <v>181</v>
      </c>
      <c r="B107" s="33">
        <f>Cheatsheet!M38</f>
        <v>36</v>
      </c>
      <c r="C107" s="33" t="str">
        <f>Cheatsheet!N38</f>
        <v/>
      </c>
      <c r="D107" s="33" t="str">
        <f>Cheatsheet!O38</f>
        <v>Darren Sproles</v>
      </c>
      <c r="E107" s="33" t="str">
        <f>Cheatsheet!P38</f>
        <v>PHI</v>
      </c>
      <c r="F107" s="33">
        <f>Cheatsheet!Q38</f>
        <v>7</v>
      </c>
      <c r="G107" s="70">
        <f>Cheatsheet!R38</f>
        <v>135.69999999999999</v>
      </c>
      <c r="H107" s="70">
        <f>Cheatsheet!S38</f>
        <v>-69.493939393939371</v>
      </c>
      <c r="I107" s="33" t="s">
        <v>2</v>
      </c>
      <c r="J107" s="33"/>
      <c r="K107" s="181"/>
      <c r="L107" s="181"/>
      <c r="M107" s="33"/>
      <c r="N107" s="33"/>
      <c r="O107" s="33"/>
      <c r="P107" s="33"/>
      <c r="Q107" s="33"/>
      <c r="R107" s="181"/>
      <c r="S107" s="33"/>
      <c r="T107" s="181"/>
      <c r="U107" s="181"/>
      <c r="V107" s="33"/>
      <c r="W107" s="33"/>
      <c r="X107" s="33"/>
      <c r="Y107" s="33"/>
      <c r="Z107" s="33"/>
      <c r="AA107" s="181"/>
      <c r="AB107" s="33"/>
      <c r="AC107" s="181"/>
      <c r="AD107" s="181"/>
      <c r="AE107" s="33"/>
      <c r="AF107" s="33"/>
      <c r="AG107" s="33"/>
      <c r="AH107" s="33"/>
      <c r="AI107" s="33"/>
      <c r="AJ107" s="181"/>
      <c r="AK107" s="33"/>
    </row>
    <row r="108" spans="1:37" ht="12.75" customHeight="1">
      <c r="A108" s="33">
        <f>IF(ISERROR(VLOOKUP(RANK(H108,$H$2:$H$331),$A$2:A107,1,0)),RANK(H108,$H$2:$H$331),IF(ISERROR(VLOOKUP((RANK(H108,$H$2:$H$331)+1),$A$2:A107,1,0)),(RANK(H108,$H$2:$H$331)+1),(RANK(H108,$H$2:$H$331)+2)))</f>
        <v>182</v>
      </c>
      <c r="B108" s="33">
        <f>Cheatsheet!M39</f>
        <v>37</v>
      </c>
      <c r="C108" s="33" t="str">
        <f>Cheatsheet!N39</f>
        <v/>
      </c>
      <c r="D108" s="33" t="str">
        <f>Cheatsheet!O39</f>
        <v>Knowshon Moreno</v>
      </c>
      <c r="E108" s="33" t="str">
        <f>Cheatsheet!P39</f>
        <v>MIA</v>
      </c>
      <c r="F108" s="33">
        <f>Cheatsheet!Q39</f>
        <v>5</v>
      </c>
      <c r="G108" s="70">
        <f>Cheatsheet!R39</f>
        <v>135</v>
      </c>
      <c r="H108" s="70">
        <f>Cheatsheet!S39</f>
        <v>-70.19393939393936</v>
      </c>
      <c r="I108" s="33" t="s">
        <v>2</v>
      </c>
      <c r="J108" s="33"/>
      <c r="K108" s="181"/>
      <c r="L108" s="181"/>
      <c r="M108" s="33"/>
      <c r="N108" s="33"/>
      <c r="O108" s="33"/>
      <c r="P108" s="33"/>
      <c r="Q108" s="33"/>
      <c r="R108" s="181"/>
      <c r="S108" s="33"/>
      <c r="T108" s="181"/>
      <c r="U108" s="181"/>
      <c r="V108" s="33"/>
      <c r="W108" s="33"/>
      <c r="X108" s="33"/>
      <c r="Y108" s="33"/>
      <c r="Z108" s="33"/>
      <c r="AA108" s="181"/>
      <c r="AB108" s="33"/>
      <c r="AC108" s="181"/>
      <c r="AD108" s="181"/>
      <c r="AE108" s="33"/>
      <c r="AF108" s="33"/>
      <c r="AG108" s="33"/>
      <c r="AH108" s="33"/>
      <c r="AI108" s="33"/>
      <c r="AJ108" s="181"/>
      <c r="AK108" s="33"/>
    </row>
    <row r="109" spans="1:37" ht="12.75" customHeight="1">
      <c r="A109" s="33">
        <f>IF(ISERROR(VLOOKUP(RANK(H109,$H$2:$H$331),$A$2:A108,1,0)),RANK(H109,$H$2:$H$331),IF(ISERROR(VLOOKUP((RANK(H109,$H$2:$H$331)+1),$A$2:A108,1,0)),(RANK(H109,$H$2:$H$331)+1),(RANK(H109,$H$2:$H$331)+2)))</f>
        <v>185</v>
      </c>
      <c r="B109" s="33">
        <f>Cheatsheet!M40</f>
        <v>38</v>
      </c>
      <c r="C109" s="33" t="str">
        <f>Cheatsheet!N40</f>
        <v/>
      </c>
      <c r="D109" s="33" t="str">
        <f>Cheatsheet!O40</f>
        <v>Lamar Miller</v>
      </c>
      <c r="E109" s="33" t="str">
        <f>Cheatsheet!P40</f>
        <v>MIA</v>
      </c>
      <c r="F109" s="33">
        <f>Cheatsheet!Q40</f>
        <v>5</v>
      </c>
      <c r="G109" s="70">
        <f>Cheatsheet!R40</f>
        <v>133.5</v>
      </c>
      <c r="H109" s="70">
        <f>Cheatsheet!S40</f>
        <v>-71.69393939393936</v>
      </c>
      <c r="I109" s="33" t="s">
        <v>2</v>
      </c>
      <c r="J109" s="33"/>
      <c r="K109" s="181"/>
      <c r="L109" s="181"/>
      <c r="M109" s="33"/>
      <c r="N109" s="33"/>
      <c r="O109" s="33"/>
      <c r="P109" s="33"/>
      <c r="Q109" s="33"/>
      <c r="R109" s="181"/>
      <c r="S109" s="33"/>
      <c r="T109" s="181"/>
      <c r="U109" s="181"/>
      <c r="V109" s="33"/>
      <c r="W109" s="33"/>
      <c r="X109" s="33"/>
      <c r="Y109" s="33"/>
      <c r="Z109" s="33"/>
      <c r="AA109" s="181"/>
      <c r="AB109" s="33"/>
      <c r="AC109" s="181"/>
      <c r="AD109" s="181"/>
      <c r="AE109" s="33"/>
      <c r="AF109" s="33"/>
      <c r="AG109" s="33"/>
      <c r="AH109" s="33"/>
      <c r="AI109" s="33"/>
      <c r="AJ109" s="181"/>
      <c r="AK109" s="33"/>
    </row>
    <row r="110" spans="1:37" ht="12.75" customHeight="1">
      <c r="A110" s="33">
        <f>IF(ISERROR(VLOOKUP(RANK(H110,$H$2:$H$331),$A$2:A109,1,0)),RANK(H110,$H$2:$H$331),IF(ISERROR(VLOOKUP((RANK(H110,$H$2:$H$331)+1),$A$2:A109,1,0)),(RANK(H110,$H$2:$H$331)+1),(RANK(H110,$H$2:$H$331)+2)))</f>
        <v>196</v>
      </c>
      <c r="B110" s="33">
        <f>Cheatsheet!M41</f>
        <v>39</v>
      </c>
      <c r="C110" s="33" t="str">
        <f>Cheatsheet!N41</f>
        <v/>
      </c>
      <c r="D110" s="33" t="str">
        <f>Cheatsheet!O41</f>
        <v>Terrance West</v>
      </c>
      <c r="E110" s="33" t="str">
        <f>Cheatsheet!P41</f>
        <v>CLE</v>
      </c>
      <c r="F110" s="33">
        <f>Cheatsheet!Q41</f>
        <v>4</v>
      </c>
      <c r="G110" s="70">
        <f>Cheatsheet!R41</f>
        <v>122</v>
      </c>
      <c r="H110" s="70">
        <f>Cheatsheet!S41</f>
        <v>-83.19393939393936</v>
      </c>
      <c r="I110" s="33" t="s">
        <v>2</v>
      </c>
      <c r="J110" s="33"/>
      <c r="K110" s="181"/>
      <c r="L110" s="181"/>
      <c r="M110" s="33"/>
      <c r="N110" s="33"/>
      <c r="O110" s="33"/>
      <c r="P110" s="33"/>
      <c r="Q110" s="33"/>
      <c r="R110" s="181"/>
      <c r="S110" s="33"/>
      <c r="T110" s="181"/>
      <c r="U110" s="181"/>
      <c r="V110" s="33"/>
      <c r="W110" s="33"/>
      <c r="X110" s="33"/>
      <c r="Y110" s="33"/>
      <c r="Z110" s="33"/>
      <c r="AA110" s="181"/>
      <c r="AB110" s="33"/>
      <c r="AC110" s="181"/>
      <c r="AD110" s="181"/>
      <c r="AE110" s="33"/>
      <c r="AF110" s="33"/>
      <c r="AG110" s="33"/>
      <c r="AH110" s="33"/>
      <c r="AI110" s="33"/>
      <c r="AJ110" s="181"/>
      <c r="AK110" s="33"/>
    </row>
    <row r="111" spans="1:37" ht="12.75" customHeight="1">
      <c r="A111" s="33">
        <f>IF(ISERROR(VLOOKUP(RANK(H111,$H$2:$H$331),$A$2:A110,1,0)),RANK(H111,$H$2:$H$331),IF(ISERROR(VLOOKUP((RANK(H111,$H$2:$H$331)+1),$A$2:A110,1,0)),(RANK(H111,$H$2:$H$331)+1),(RANK(H111,$H$2:$H$331)+2)))</f>
        <v>200</v>
      </c>
      <c r="B111" s="33">
        <f>Cheatsheet!M42</f>
        <v>40</v>
      </c>
      <c r="C111" s="33" t="str">
        <f>Cheatsheet!N42</f>
        <v/>
      </c>
      <c r="D111" s="33" t="str">
        <f>Cheatsheet!O42</f>
        <v>Khiry Robinson</v>
      </c>
      <c r="E111" s="33" t="str">
        <f>Cheatsheet!P42</f>
        <v>NO</v>
      </c>
      <c r="F111" s="33">
        <f>Cheatsheet!Q42</f>
        <v>6</v>
      </c>
      <c r="G111" s="70">
        <f>Cheatsheet!R42</f>
        <v>114.2</v>
      </c>
      <c r="H111" s="70">
        <f>Cheatsheet!S42</f>
        <v>-90.993939393939357</v>
      </c>
      <c r="I111" s="33" t="s">
        <v>2</v>
      </c>
      <c r="J111" s="33"/>
      <c r="K111" s="181"/>
      <c r="L111" s="181"/>
      <c r="M111" s="33"/>
      <c r="N111" s="33"/>
      <c r="O111" s="33"/>
      <c r="P111" s="33"/>
      <c r="Q111" s="33"/>
      <c r="R111" s="181"/>
      <c r="S111" s="33"/>
      <c r="T111" s="181"/>
      <c r="U111" s="181"/>
      <c r="V111" s="33"/>
      <c r="W111" s="33"/>
      <c r="X111" s="33"/>
      <c r="Y111" s="33"/>
      <c r="Z111" s="33"/>
      <c r="AA111" s="181"/>
      <c r="AB111" s="33"/>
      <c r="AC111" s="181"/>
      <c r="AD111" s="181"/>
      <c r="AE111" s="33"/>
      <c r="AF111" s="33"/>
      <c r="AG111" s="33"/>
      <c r="AH111" s="33"/>
      <c r="AI111" s="33"/>
      <c r="AJ111" s="181"/>
      <c r="AK111" s="33"/>
    </row>
    <row r="112" spans="1:37" ht="12.75" customHeight="1">
      <c r="A112" s="33">
        <f>IF(ISERROR(VLOOKUP(RANK(H112,$H$2:$H$331),$A$2:A111,1,0)),RANK(H112,$H$2:$H$331),IF(ISERROR(VLOOKUP((RANK(H112,$H$2:$H$331)+1),$A$2:A111,1,0)),(RANK(H112,$H$2:$H$331)+1),(RANK(H112,$H$2:$H$331)+2)))</f>
        <v>204</v>
      </c>
      <c r="B112" s="33">
        <f>Cheatsheet!M43</f>
        <v>41</v>
      </c>
      <c r="C112" s="33" t="str">
        <f>Cheatsheet!N43</f>
        <v/>
      </c>
      <c r="D112" s="33" t="str">
        <f>Cheatsheet!O43</f>
        <v>Bernard Pierce</v>
      </c>
      <c r="E112" s="33" t="str">
        <f>Cheatsheet!P43</f>
        <v>BAL</v>
      </c>
      <c r="F112" s="33">
        <f>Cheatsheet!Q43</f>
        <v>11</v>
      </c>
      <c r="G112" s="70">
        <f>Cheatsheet!R43</f>
        <v>112.4</v>
      </c>
      <c r="H112" s="70">
        <f>Cheatsheet!S43</f>
        <v>-92.793939393939354</v>
      </c>
      <c r="I112" s="33" t="s">
        <v>2</v>
      </c>
      <c r="J112" s="33"/>
      <c r="K112" s="181"/>
      <c r="L112" s="181"/>
      <c r="M112" s="33"/>
      <c r="N112" s="33"/>
      <c r="O112" s="33"/>
      <c r="P112" s="33"/>
      <c r="Q112" s="33"/>
      <c r="R112" s="181"/>
      <c r="S112" s="33"/>
      <c r="T112" s="181"/>
      <c r="U112" s="181"/>
      <c r="V112" s="33"/>
      <c r="W112" s="33"/>
      <c r="X112" s="33"/>
      <c r="Y112" s="33"/>
      <c r="Z112" s="33"/>
      <c r="AA112" s="181"/>
      <c r="AB112" s="33"/>
      <c r="AC112" s="181"/>
      <c r="AD112" s="181"/>
      <c r="AE112" s="33"/>
      <c r="AF112" s="33"/>
      <c r="AG112" s="33"/>
      <c r="AH112" s="33"/>
      <c r="AI112" s="33"/>
      <c r="AJ112" s="181"/>
      <c r="AK112" s="33"/>
    </row>
    <row r="113" spans="1:37" ht="12.75" customHeight="1">
      <c r="A113" s="33">
        <f>IF(ISERROR(VLOOKUP(RANK(H113,$H$2:$H$331),$A$2:A112,1,0)),RANK(H113,$H$2:$H$331),IF(ISERROR(VLOOKUP((RANK(H113,$H$2:$H$331)+1),$A$2:A112,1,0)),(RANK(H113,$H$2:$H$331)+1),(RANK(H113,$H$2:$H$331)+2)))</f>
        <v>206</v>
      </c>
      <c r="B113" s="33">
        <f>Cheatsheet!M44</f>
        <v>42</v>
      </c>
      <c r="C113" s="33" t="str">
        <f>Cheatsheet!N44</f>
        <v/>
      </c>
      <c r="D113" s="33" t="str">
        <f>Cheatsheet!O44</f>
        <v>Jeremy Hill</v>
      </c>
      <c r="E113" s="33" t="str">
        <f>Cheatsheet!P44</f>
        <v>CIN</v>
      </c>
      <c r="F113" s="33">
        <f>Cheatsheet!Q44</f>
        <v>4</v>
      </c>
      <c r="G113" s="70">
        <f>Cheatsheet!R44</f>
        <v>111.1</v>
      </c>
      <c r="H113" s="70">
        <f>Cheatsheet!S44</f>
        <v>-94.093939393939365</v>
      </c>
      <c r="I113" s="33" t="s">
        <v>2</v>
      </c>
      <c r="J113" s="33"/>
      <c r="K113" s="181"/>
      <c r="L113" s="181"/>
      <c r="M113" s="33"/>
      <c r="N113" s="33"/>
      <c r="O113" s="33"/>
      <c r="P113" s="33"/>
      <c r="Q113" s="33"/>
      <c r="R113" s="181"/>
      <c r="S113" s="33"/>
      <c r="T113" s="181"/>
      <c r="U113" s="181"/>
      <c r="V113" s="33"/>
      <c r="W113" s="33"/>
      <c r="X113" s="33"/>
      <c r="Y113" s="33"/>
      <c r="Z113" s="33"/>
      <c r="AA113" s="181"/>
      <c r="AB113" s="33"/>
      <c r="AC113" s="181"/>
      <c r="AD113" s="181"/>
      <c r="AE113" s="33"/>
      <c r="AF113" s="33"/>
      <c r="AG113" s="33"/>
      <c r="AH113" s="33"/>
      <c r="AI113" s="33"/>
      <c r="AJ113" s="181"/>
      <c r="AK113" s="33"/>
    </row>
    <row r="114" spans="1:37" ht="12.75" customHeight="1">
      <c r="A114" s="33">
        <f>IF(ISERROR(VLOOKUP(RANK(H114,$H$2:$H$331),$A$2:A113,1,0)),RANK(H114,$H$2:$H$331),IF(ISERROR(VLOOKUP((RANK(H114,$H$2:$H$331)+1),$A$2:A113,1,0)),(RANK(H114,$H$2:$H$331)+1),(RANK(H114,$H$2:$H$331)+2)))</f>
        <v>207</v>
      </c>
      <c r="B114" s="33">
        <f>Cheatsheet!M45</f>
        <v>43</v>
      </c>
      <c r="C114" s="33" t="str">
        <f>Cheatsheet!N45</f>
        <v/>
      </c>
      <c r="D114" s="33" t="str">
        <f>Cheatsheet!O45</f>
        <v>Darren McFadden</v>
      </c>
      <c r="E114" s="33" t="str">
        <f>Cheatsheet!P45</f>
        <v>OAK</v>
      </c>
      <c r="F114" s="33">
        <f>Cheatsheet!Q45</f>
        <v>5</v>
      </c>
      <c r="G114" s="70">
        <f>Cheatsheet!R45</f>
        <v>110</v>
      </c>
      <c r="H114" s="70">
        <f>Cheatsheet!S45</f>
        <v>-95.19393939393936</v>
      </c>
      <c r="I114" s="33" t="s">
        <v>2</v>
      </c>
      <c r="J114" s="33"/>
      <c r="K114" s="181"/>
      <c r="L114" s="181"/>
      <c r="M114" s="33"/>
      <c r="N114" s="33"/>
      <c r="O114" s="33"/>
      <c r="P114" s="33"/>
      <c r="Q114" s="33"/>
      <c r="R114" s="181"/>
      <c r="S114" s="33"/>
      <c r="T114" s="181"/>
      <c r="U114" s="181"/>
      <c r="V114" s="33"/>
      <c r="W114" s="33"/>
      <c r="X114" s="33"/>
      <c r="Y114" s="33"/>
      <c r="Z114" s="33"/>
      <c r="AA114" s="181"/>
      <c r="AB114" s="33"/>
      <c r="AC114" s="181"/>
      <c r="AD114" s="181"/>
      <c r="AE114" s="33"/>
      <c r="AF114" s="33"/>
      <c r="AG114" s="33"/>
      <c r="AH114" s="33"/>
      <c r="AI114" s="33"/>
      <c r="AJ114" s="181"/>
      <c r="AK114" s="33"/>
    </row>
    <row r="115" spans="1:37" ht="12.75" customHeight="1">
      <c r="A115" s="33">
        <f>IF(ISERROR(VLOOKUP(RANK(H115,$H$2:$H$331),$A$2:A114,1,0)),RANK(H115,$H$2:$H$331),IF(ISERROR(VLOOKUP((RANK(H115,$H$2:$H$331)+1),$A$2:A114,1,0)),(RANK(H115,$H$2:$H$331)+1),(RANK(H115,$H$2:$H$331)+2)))</f>
        <v>209</v>
      </c>
      <c r="B115" s="33">
        <f>Cheatsheet!M46</f>
        <v>44</v>
      </c>
      <c r="C115" s="33" t="str">
        <f>Cheatsheet!N46</f>
        <v/>
      </c>
      <c r="D115" s="33" t="str">
        <f>Cheatsheet!O46</f>
        <v>Dexter McCluster</v>
      </c>
      <c r="E115" s="33" t="str">
        <f>Cheatsheet!P46</f>
        <v>TEN WR,</v>
      </c>
      <c r="F115" s="33" t="e">
        <f>Cheatsheet!Q46</f>
        <v>#N/A</v>
      </c>
      <c r="G115" s="70">
        <f>Cheatsheet!R46</f>
        <v>108.1</v>
      </c>
      <c r="H115" s="70">
        <f>Cheatsheet!S46</f>
        <v>-97.093939393939365</v>
      </c>
      <c r="I115" s="33" t="s">
        <v>2</v>
      </c>
      <c r="J115" s="33"/>
      <c r="K115" s="181"/>
      <c r="L115" s="181"/>
      <c r="M115" s="33"/>
      <c r="N115" s="33"/>
      <c r="O115" s="33"/>
      <c r="P115" s="33"/>
      <c r="Q115" s="33"/>
      <c r="R115" s="181"/>
      <c r="S115" s="33"/>
      <c r="T115" s="181"/>
      <c r="U115" s="181"/>
      <c r="V115" s="33"/>
      <c r="W115" s="33"/>
      <c r="X115" s="33"/>
      <c r="Y115" s="33"/>
      <c r="Z115" s="33"/>
      <c r="AA115" s="181"/>
      <c r="AB115" s="33"/>
      <c r="AC115" s="181"/>
      <c r="AD115" s="181"/>
      <c r="AE115" s="33"/>
      <c r="AF115" s="33"/>
      <c r="AG115" s="33"/>
      <c r="AH115" s="33"/>
      <c r="AI115" s="33"/>
      <c r="AJ115" s="181"/>
      <c r="AK115" s="33"/>
    </row>
    <row r="116" spans="1:37" ht="12.75" customHeight="1">
      <c r="A116" s="33">
        <f>IF(ISERROR(VLOOKUP(RANK(H116,$H$2:$H$331),$A$2:A115,1,0)),RANK(H116,$H$2:$H$331),IF(ISERROR(VLOOKUP((RANK(H116,$H$2:$H$331)+1),$A$2:A115,1,0)),(RANK(H116,$H$2:$H$331)+1),(RANK(H116,$H$2:$H$331)+2)))</f>
        <v>217</v>
      </c>
      <c r="B116" s="33">
        <f>Cheatsheet!M47</f>
        <v>45</v>
      </c>
      <c r="C116" s="33" t="str">
        <f>Cheatsheet!N47</f>
        <v/>
      </c>
      <c r="D116" s="33" t="str">
        <f>Cheatsheet!O47</f>
        <v>Chris Ivory</v>
      </c>
      <c r="E116" s="33" t="str">
        <f>Cheatsheet!P47</f>
        <v>NYJ</v>
      </c>
      <c r="F116" s="33">
        <f>Cheatsheet!Q47</f>
        <v>11</v>
      </c>
      <c r="G116" s="70">
        <f>Cheatsheet!R47</f>
        <v>95.9</v>
      </c>
      <c r="H116" s="70">
        <f>Cheatsheet!S47</f>
        <v>-109.29393939393935</v>
      </c>
      <c r="I116" s="33" t="s">
        <v>2</v>
      </c>
      <c r="J116" s="33"/>
      <c r="K116" s="181"/>
      <c r="L116" s="181"/>
      <c r="M116" s="33"/>
      <c r="N116" s="33"/>
      <c r="O116" s="33"/>
      <c r="P116" s="33"/>
      <c r="Q116" s="33"/>
      <c r="R116" s="181"/>
      <c r="S116" s="33"/>
      <c r="T116" s="181"/>
      <c r="U116" s="181"/>
      <c r="V116" s="33"/>
      <c r="W116" s="33"/>
      <c r="X116" s="33"/>
      <c r="Y116" s="33"/>
      <c r="Z116" s="33"/>
      <c r="AA116" s="181"/>
      <c r="AB116" s="33"/>
      <c r="AC116" s="181"/>
      <c r="AD116" s="181"/>
      <c r="AE116" s="33"/>
      <c r="AF116" s="33"/>
      <c r="AG116" s="33"/>
      <c r="AH116" s="33"/>
      <c r="AI116" s="33"/>
      <c r="AJ116" s="181"/>
      <c r="AK116" s="33"/>
    </row>
    <row r="117" spans="1:37" ht="12.75" customHeight="1">
      <c r="A117" s="33">
        <f>IF(ISERROR(VLOOKUP(RANK(H117,$H$2:$H$331),$A$2:A116,1,0)),RANK(H117,$H$2:$H$331),IF(ISERROR(VLOOKUP((RANK(H117,$H$2:$H$331)+1),$A$2:A116,1,0)),(RANK(H117,$H$2:$H$331)+1),(RANK(H117,$H$2:$H$331)+2)))</f>
        <v>219</v>
      </c>
      <c r="B117" s="33">
        <f>Cheatsheet!M48</f>
        <v>46</v>
      </c>
      <c r="C117" s="33" t="str">
        <f>Cheatsheet!N48</f>
        <v/>
      </c>
      <c r="D117" s="33" t="str">
        <f>Cheatsheet!O48</f>
        <v>Shonn Greene</v>
      </c>
      <c r="E117" s="33" t="str">
        <f>Cheatsheet!P48</f>
        <v>TEN</v>
      </c>
      <c r="F117" s="33">
        <f>Cheatsheet!Q48</f>
        <v>9</v>
      </c>
      <c r="G117" s="70">
        <f>Cheatsheet!R48</f>
        <v>92.2</v>
      </c>
      <c r="H117" s="70">
        <f>Cheatsheet!S48</f>
        <v>-112.99393939393936</v>
      </c>
      <c r="I117" s="33" t="s">
        <v>2</v>
      </c>
      <c r="J117" s="33"/>
      <c r="K117" s="181"/>
      <c r="L117" s="181"/>
      <c r="M117" s="33"/>
      <c r="N117" s="33"/>
      <c r="O117" s="33"/>
      <c r="P117" s="33"/>
      <c r="Q117" s="33"/>
      <c r="R117" s="181"/>
      <c r="S117" s="33"/>
      <c r="T117" s="181"/>
      <c r="U117" s="181"/>
      <c r="V117" s="33"/>
      <c r="W117" s="33"/>
      <c r="X117" s="33"/>
      <c r="Y117" s="33"/>
      <c r="Z117" s="33"/>
      <c r="AA117" s="181"/>
      <c r="AB117" s="33"/>
      <c r="AC117" s="181"/>
      <c r="AD117" s="181"/>
      <c r="AE117" s="33"/>
      <c r="AF117" s="33"/>
      <c r="AG117" s="33"/>
      <c r="AH117" s="33"/>
      <c r="AI117" s="33"/>
      <c r="AJ117" s="181"/>
      <c r="AK117" s="33"/>
    </row>
    <row r="118" spans="1:37" ht="12.75" customHeight="1">
      <c r="A118" s="33">
        <f>IF(ISERROR(VLOOKUP(RANK(H118,$H$2:$H$331),$A$2:A117,1,0)),RANK(H118,$H$2:$H$331),IF(ISERROR(VLOOKUP((RANK(H118,$H$2:$H$331)+1),$A$2:A117,1,0)),(RANK(H118,$H$2:$H$331)+1),(RANK(H118,$H$2:$H$331)+2)))</f>
        <v>222</v>
      </c>
      <c r="B118" s="33">
        <f>Cheatsheet!M49</f>
        <v>47</v>
      </c>
      <c r="C118" s="33" t="str">
        <f>Cheatsheet!N49</f>
        <v/>
      </c>
      <c r="D118" s="33" t="str">
        <f>Cheatsheet!O49</f>
        <v>Lance Dunbar</v>
      </c>
      <c r="E118" s="33" t="str">
        <f>Cheatsheet!P49</f>
        <v>DAL</v>
      </c>
      <c r="F118" s="33">
        <f>Cheatsheet!Q49</f>
        <v>11</v>
      </c>
      <c r="G118" s="70">
        <f>Cheatsheet!R49</f>
        <v>89.6</v>
      </c>
      <c r="H118" s="70">
        <f>Cheatsheet!S49</f>
        <v>-115.59393939393937</v>
      </c>
      <c r="I118" s="33" t="s">
        <v>2</v>
      </c>
      <c r="J118" s="33"/>
      <c r="K118" s="181"/>
      <c r="L118" s="181"/>
      <c r="M118" s="33"/>
      <c r="N118" s="33"/>
      <c r="O118" s="33"/>
      <c r="P118" s="33"/>
      <c r="Q118" s="33"/>
      <c r="R118" s="181"/>
      <c r="S118" s="33"/>
      <c r="T118" s="181"/>
      <c r="U118" s="181"/>
      <c r="V118" s="33"/>
      <c r="W118" s="33"/>
      <c r="X118" s="33"/>
      <c r="Y118" s="33"/>
      <c r="Z118" s="33"/>
      <c r="AA118" s="181"/>
      <c r="AB118" s="33"/>
      <c r="AC118" s="181"/>
      <c r="AD118" s="181"/>
      <c r="AE118" s="33"/>
      <c r="AF118" s="33"/>
      <c r="AG118" s="33"/>
      <c r="AH118" s="33"/>
      <c r="AI118" s="33"/>
      <c r="AJ118" s="181"/>
      <c r="AK118" s="33"/>
    </row>
    <row r="119" spans="1:37" ht="12.75" customHeight="1">
      <c r="A119" s="33">
        <f>IF(ISERROR(VLOOKUP(RANK(H119,$H$2:$H$331),$A$2:A118,1,0)),RANK(H119,$H$2:$H$331),IF(ISERROR(VLOOKUP((RANK(H119,$H$2:$H$331)+1),$A$2:A118,1,0)),(RANK(H119,$H$2:$H$331)+1),(RANK(H119,$H$2:$H$331)+2)))</f>
        <v>223</v>
      </c>
      <c r="B119" s="33">
        <f>Cheatsheet!M50</f>
        <v>48</v>
      </c>
      <c r="C119" s="33" t="str">
        <f>Cheatsheet!N50</f>
        <v/>
      </c>
      <c r="D119" s="33" t="str">
        <f>Cheatsheet!O50</f>
        <v>Mike Tolbert</v>
      </c>
      <c r="E119" s="33" t="str">
        <f>Cheatsheet!P50</f>
        <v>CAR</v>
      </c>
      <c r="F119" s="33">
        <f>Cheatsheet!Q50</f>
        <v>12</v>
      </c>
      <c r="G119" s="70">
        <f>Cheatsheet!R50</f>
        <v>89.6</v>
      </c>
      <c r="H119" s="70">
        <f>Cheatsheet!S50</f>
        <v>-115.59393939393937</v>
      </c>
      <c r="I119" s="33" t="s">
        <v>2</v>
      </c>
      <c r="J119" s="33"/>
      <c r="K119" s="181"/>
      <c r="L119" s="181"/>
      <c r="M119" s="33"/>
      <c r="N119" s="33"/>
      <c r="O119" s="33"/>
      <c r="P119" s="33"/>
      <c r="Q119" s="33"/>
      <c r="R119" s="181"/>
      <c r="S119" s="33"/>
      <c r="T119" s="181"/>
      <c r="U119" s="181"/>
      <c r="V119" s="33"/>
      <c r="W119" s="33"/>
      <c r="X119" s="33"/>
      <c r="Y119" s="33"/>
      <c r="Z119" s="33"/>
      <c r="AA119" s="181"/>
      <c r="AB119" s="33"/>
      <c r="AC119" s="181"/>
      <c r="AD119" s="181"/>
      <c r="AE119" s="33"/>
      <c r="AF119" s="33"/>
      <c r="AG119" s="33"/>
      <c r="AH119" s="33"/>
      <c r="AI119" s="33"/>
      <c r="AJ119" s="181"/>
      <c r="AK119" s="33"/>
    </row>
    <row r="120" spans="1:37" ht="12.75" customHeight="1">
      <c r="A120" s="33">
        <f>IF(ISERROR(VLOOKUP(RANK(H120,$H$2:$H$331),$A$2:A119,1,0)),RANK(H120,$H$2:$H$331),IF(ISERROR(VLOOKUP((RANK(H120,$H$2:$H$331)+1),$A$2:A119,1,0)),(RANK(H120,$H$2:$H$331)+1),(RANK(H120,$H$2:$H$331)+2)))</f>
        <v>228</v>
      </c>
      <c r="B120" s="33">
        <f>Cheatsheet!M51</f>
        <v>49</v>
      </c>
      <c r="C120" s="33" t="str">
        <f>Cheatsheet!N51</f>
        <v/>
      </c>
      <c r="D120" s="33" t="str">
        <f>Cheatsheet!O51</f>
        <v>LeGarrette Blount</v>
      </c>
      <c r="E120" s="33" t="str">
        <f>Cheatsheet!P51</f>
        <v>PIT</v>
      </c>
      <c r="F120" s="33">
        <f>Cheatsheet!Q51</f>
        <v>12</v>
      </c>
      <c r="G120" s="70">
        <f>Cheatsheet!R51</f>
        <v>86.8</v>
      </c>
      <c r="H120" s="70">
        <f>Cheatsheet!S51</f>
        <v>-118.39393939393936</v>
      </c>
      <c r="I120" s="33" t="s">
        <v>2</v>
      </c>
      <c r="J120" s="33"/>
      <c r="K120" s="181"/>
      <c r="L120" s="181"/>
      <c r="M120" s="33"/>
      <c r="N120" s="33"/>
      <c r="O120" s="33"/>
      <c r="P120" s="33"/>
      <c r="Q120" s="33"/>
      <c r="R120" s="181"/>
      <c r="S120" s="33"/>
      <c r="T120" s="181"/>
      <c r="U120" s="181"/>
      <c r="V120" s="33"/>
      <c r="W120" s="33"/>
      <c r="X120" s="33"/>
      <c r="Y120" s="33"/>
      <c r="Z120" s="33"/>
      <c r="AA120" s="181"/>
      <c r="AB120" s="33"/>
      <c r="AC120" s="181"/>
      <c r="AD120" s="181"/>
      <c r="AE120" s="33"/>
      <c r="AF120" s="33"/>
      <c r="AG120" s="33"/>
      <c r="AH120" s="33"/>
      <c r="AI120" s="33"/>
      <c r="AJ120" s="181"/>
      <c r="AK120" s="33"/>
    </row>
    <row r="121" spans="1:37" ht="12.75" customHeight="1">
      <c r="A121" s="33">
        <f>IF(ISERROR(VLOOKUP(RANK(H121,$H$2:$H$331),$A$2:A120,1,0)),RANK(H121,$H$2:$H$331),IF(ISERROR(VLOOKUP((RANK(H121,$H$2:$H$331)+1),$A$2:A120,1,0)),(RANK(H121,$H$2:$H$331)+1),(RANK(H121,$H$2:$H$331)+2)))</f>
        <v>230</v>
      </c>
      <c r="B121" s="33">
        <f>Cheatsheet!M52</f>
        <v>50</v>
      </c>
      <c r="C121" s="33" t="str">
        <f>Cheatsheet!N52</f>
        <v/>
      </c>
      <c r="D121" s="33" t="str">
        <f>Cheatsheet!O52</f>
        <v>Ronnie Hillman</v>
      </c>
      <c r="E121" s="33" t="str">
        <f>Cheatsheet!P52</f>
        <v>DEN</v>
      </c>
      <c r="F121" s="33">
        <f>Cheatsheet!Q52</f>
        <v>4</v>
      </c>
      <c r="G121" s="70">
        <f>Cheatsheet!R52</f>
        <v>85.4</v>
      </c>
      <c r="H121" s="70">
        <f>Cheatsheet!S52</f>
        <v>-119.79393939393935</v>
      </c>
      <c r="I121" s="33" t="s">
        <v>2</v>
      </c>
      <c r="J121" s="33"/>
      <c r="K121" s="181"/>
      <c r="L121" s="181"/>
      <c r="M121" s="33"/>
      <c r="N121" s="33"/>
      <c r="O121" s="33"/>
      <c r="P121" s="33"/>
      <c r="Q121" s="33"/>
      <c r="R121" s="181"/>
      <c r="S121" s="33"/>
      <c r="T121" s="181"/>
      <c r="U121" s="181"/>
      <c r="V121" s="33"/>
      <c r="W121" s="33"/>
      <c r="X121" s="33"/>
      <c r="Y121" s="33"/>
      <c r="Z121" s="33"/>
      <c r="AA121" s="181"/>
      <c r="AB121" s="33"/>
      <c r="AC121" s="181"/>
      <c r="AD121" s="181"/>
      <c r="AE121" s="33"/>
      <c r="AF121" s="33"/>
      <c r="AG121" s="33"/>
      <c r="AH121" s="33"/>
      <c r="AI121" s="33"/>
      <c r="AJ121" s="181"/>
      <c r="AK121" s="33"/>
    </row>
    <row r="122" spans="1:37" ht="12.75" customHeight="1">
      <c r="A122" s="33">
        <f>IF(ISERROR(VLOOKUP(RANK(H122,$H$2:$H$331),$A$2:A121,1,0)),RANK(H122,$H$2:$H$331),IF(ISERROR(VLOOKUP((RANK(H122,$H$2:$H$331)+1),$A$2:A121,1,0)),(RANK(H122,$H$2:$H$331)+1),(RANK(H122,$H$2:$H$331)+2)))</f>
        <v>232</v>
      </c>
      <c r="B122" s="33">
        <f>Cheatsheet!M53</f>
        <v>51</v>
      </c>
      <c r="C122" s="33" t="str">
        <f>Cheatsheet!N53</f>
        <v/>
      </c>
      <c r="D122" s="33" t="str">
        <f>Cheatsheet!O53</f>
        <v>Marcel Reece</v>
      </c>
      <c r="E122" s="33" t="str">
        <f>Cheatsheet!P53</f>
        <v>OAK</v>
      </c>
      <c r="F122" s="33">
        <f>Cheatsheet!Q53</f>
        <v>5</v>
      </c>
      <c r="G122" s="70">
        <f>Cheatsheet!R53</f>
        <v>83.4</v>
      </c>
      <c r="H122" s="70">
        <f>Cheatsheet!S53</f>
        <v>-121.79393939393935</v>
      </c>
      <c r="I122" s="33" t="s">
        <v>2</v>
      </c>
      <c r="J122" s="33"/>
      <c r="K122" s="181"/>
      <c r="L122" s="181"/>
      <c r="M122" s="33"/>
      <c r="N122" s="33"/>
      <c r="O122" s="33"/>
      <c r="P122" s="33"/>
      <c r="Q122" s="33"/>
      <c r="R122" s="181"/>
      <c r="S122" s="33"/>
      <c r="T122" s="181"/>
      <c r="U122" s="181"/>
      <c r="V122" s="33"/>
      <c r="W122" s="33"/>
      <c r="X122" s="33"/>
      <c r="Y122" s="33"/>
      <c r="Z122" s="33"/>
      <c r="AA122" s="181"/>
      <c r="AB122" s="33"/>
      <c r="AC122" s="181"/>
      <c r="AD122" s="181"/>
      <c r="AE122" s="33"/>
      <c r="AF122" s="33"/>
      <c r="AG122" s="33"/>
      <c r="AH122" s="33"/>
      <c r="AI122" s="33"/>
      <c r="AJ122" s="181"/>
      <c r="AK122" s="33"/>
    </row>
    <row r="123" spans="1:37" ht="12.75" customHeight="1">
      <c r="A123" s="33">
        <f>IF(ISERROR(VLOOKUP(RANK(H123,$H$2:$H$331),$A$2:A122,1,0)),RANK(H123,$H$2:$H$331),IF(ISERROR(VLOOKUP((RANK(H123,$H$2:$H$331)+1),$A$2:A122,1,0)),(RANK(H123,$H$2:$H$331)+1),(RANK(H123,$H$2:$H$331)+2)))</f>
        <v>233</v>
      </c>
      <c r="B123" s="33">
        <f>Cheatsheet!M54</f>
        <v>52</v>
      </c>
      <c r="C123" s="33" t="str">
        <f>Cheatsheet!N54</f>
        <v/>
      </c>
      <c r="D123" s="33" t="str">
        <f>Cheatsheet!O54</f>
        <v>Jonathan Stewart</v>
      </c>
      <c r="E123" s="33" t="str">
        <f>Cheatsheet!P54</f>
        <v>CAR</v>
      </c>
      <c r="F123" s="33">
        <f>Cheatsheet!Q54</f>
        <v>12</v>
      </c>
      <c r="G123" s="70">
        <f>Cheatsheet!R54</f>
        <v>83.3</v>
      </c>
      <c r="H123" s="70">
        <f>Cheatsheet!S54</f>
        <v>-121.89393939393936</v>
      </c>
      <c r="I123" s="33" t="s">
        <v>2</v>
      </c>
      <c r="J123" s="33"/>
      <c r="K123" s="181"/>
      <c r="L123" s="181"/>
      <c r="M123" s="33"/>
      <c r="N123" s="33"/>
      <c r="O123" s="33"/>
      <c r="P123" s="33"/>
      <c r="Q123" s="33"/>
      <c r="R123" s="181"/>
      <c r="S123" s="33"/>
      <c r="T123" s="181"/>
      <c r="U123" s="181"/>
      <c r="V123" s="33"/>
      <c r="W123" s="33"/>
      <c r="X123" s="33"/>
      <c r="Y123" s="33"/>
      <c r="Z123" s="33"/>
      <c r="AA123" s="181"/>
      <c r="AB123" s="33"/>
      <c r="AC123" s="181"/>
      <c r="AD123" s="181"/>
      <c r="AE123" s="33"/>
      <c r="AF123" s="33"/>
      <c r="AG123" s="33"/>
      <c r="AH123" s="33"/>
      <c r="AI123" s="33"/>
      <c r="AJ123" s="181"/>
      <c r="AK123" s="33"/>
    </row>
    <row r="124" spans="1:37" ht="12.75" customHeight="1">
      <c r="A124" s="33">
        <f>IF(ISERROR(VLOOKUP(RANK(H124,$H$2:$H$331),$A$2:A123,1,0)),RANK(H124,$H$2:$H$331),IF(ISERROR(VLOOKUP((RANK(H124,$H$2:$H$331)+1),$A$2:A123,1,0)),(RANK(H124,$H$2:$H$331)+1),(RANK(H124,$H$2:$H$331)+2)))</f>
        <v>237</v>
      </c>
      <c r="B124" s="33">
        <f>Cheatsheet!M55</f>
        <v>53</v>
      </c>
      <c r="C124" s="33" t="str">
        <f>Cheatsheet!N55</f>
        <v/>
      </c>
      <c r="D124" s="33" t="str">
        <f>Cheatsheet!O55</f>
        <v>Jacquizz Rodgers</v>
      </c>
      <c r="E124" s="33" t="str">
        <f>Cheatsheet!P55</f>
        <v>ATL</v>
      </c>
      <c r="F124" s="33">
        <f>Cheatsheet!Q55</f>
        <v>9</v>
      </c>
      <c r="G124" s="70">
        <f>Cheatsheet!R55</f>
        <v>81</v>
      </c>
      <c r="H124" s="70">
        <f>Cheatsheet!S55</f>
        <v>-124.19393939393936</v>
      </c>
      <c r="I124" s="33" t="s">
        <v>2</v>
      </c>
      <c r="J124" s="33"/>
      <c r="K124" s="181"/>
      <c r="L124" s="181"/>
      <c r="M124" s="33"/>
      <c r="N124" s="33"/>
      <c r="O124" s="33"/>
      <c r="P124" s="33"/>
      <c r="Q124" s="33"/>
      <c r="R124" s="181"/>
      <c r="S124" s="33"/>
      <c r="T124" s="181"/>
      <c r="U124" s="181"/>
      <c r="V124" s="33"/>
      <c r="W124" s="33"/>
      <c r="X124" s="33"/>
      <c r="Y124" s="33"/>
      <c r="Z124" s="33"/>
      <c r="AA124" s="181"/>
      <c r="AB124" s="33"/>
      <c r="AC124" s="181"/>
      <c r="AD124" s="181"/>
      <c r="AE124" s="33"/>
      <c r="AF124" s="33"/>
      <c r="AG124" s="33"/>
      <c r="AH124" s="33"/>
      <c r="AI124" s="33"/>
      <c r="AJ124" s="181"/>
      <c r="AK124" s="33"/>
    </row>
    <row r="125" spans="1:37" ht="12.75" customHeight="1">
      <c r="A125" s="33">
        <f>IF(ISERROR(VLOOKUP(RANK(H125,$H$2:$H$331),$A$2:A124,1,0)),RANK(H125,$H$2:$H$331),IF(ISERROR(VLOOKUP((RANK(H125,$H$2:$H$331)+1),$A$2:A124,1,0)),(RANK(H125,$H$2:$H$331)+1),(RANK(H125,$H$2:$H$331)+2)))</f>
        <v>247</v>
      </c>
      <c r="B125" s="33">
        <f>Cheatsheet!M56</f>
        <v>54</v>
      </c>
      <c r="C125" s="33" t="str">
        <f>Cheatsheet!N56</f>
        <v/>
      </c>
      <c r="D125" s="33" t="str">
        <f>Cheatsheet!O56</f>
        <v>Devonta Freeman</v>
      </c>
      <c r="E125" s="33" t="str">
        <f>Cheatsheet!P56</f>
        <v>ATL</v>
      </c>
      <c r="F125" s="33">
        <f>Cheatsheet!Q56</f>
        <v>9</v>
      </c>
      <c r="G125" s="70">
        <f>Cheatsheet!R56</f>
        <v>73.599999999999994</v>
      </c>
      <c r="H125" s="70">
        <f>Cheatsheet!S56</f>
        <v>-131.59393939393937</v>
      </c>
      <c r="I125" s="33" t="s">
        <v>2</v>
      </c>
      <c r="J125" s="33"/>
      <c r="K125" s="181"/>
      <c r="L125" s="181"/>
      <c r="M125" s="33"/>
      <c r="N125" s="33"/>
      <c r="O125" s="33"/>
      <c r="P125" s="33"/>
      <c r="Q125" s="33"/>
      <c r="R125" s="181"/>
      <c r="S125" s="33"/>
      <c r="T125" s="181"/>
      <c r="U125" s="181"/>
      <c r="V125" s="33"/>
      <c r="W125" s="33"/>
      <c r="X125" s="33"/>
      <c r="Y125" s="33"/>
      <c r="Z125" s="33"/>
      <c r="AA125" s="181"/>
      <c r="AB125" s="33"/>
      <c r="AC125" s="181"/>
      <c r="AD125" s="181"/>
      <c r="AE125" s="33"/>
      <c r="AF125" s="33"/>
      <c r="AG125" s="33"/>
      <c r="AH125" s="33"/>
      <c r="AI125" s="33"/>
      <c r="AJ125" s="181"/>
      <c r="AK125" s="33"/>
    </row>
    <row r="126" spans="1:37" ht="12.75" customHeight="1">
      <c r="A126" s="33">
        <f>IF(ISERROR(VLOOKUP(RANK(H126,$H$2:$H$331),$A$2:A125,1,0)),RANK(H126,$H$2:$H$331),IF(ISERROR(VLOOKUP((RANK(H126,$H$2:$H$331)+1),$A$2:A125,1,0)),(RANK(H126,$H$2:$H$331)+1),(RANK(H126,$H$2:$H$331)+2)))</f>
        <v>252</v>
      </c>
      <c r="B126" s="33">
        <f>Cheatsheet!M57</f>
        <v>55</v>
      </c>
      <c r="C126" s="33" t="str">
        <f>Cheatsheet!N57</f>
        <v/>
      </c>
      <c r="D126" s="33" t="str">
        <f>Cheatsheet!O57</f>
        <v>Carlos Hyde</v>
      </c>
      <c r="E126" s="33" t="str">
        <f>Cheatsheet!P57</f>
        <v>SF</v>
      </c>
      <c r="F126" s="33">
        <f>Cheatsheet!Q57</f>
        <v>8</v>
      </c>
      <c r="G126" s="70">
        <f>Cheatsheet!R57</f>
        <v>71.599999999999994</v>
      </c>
      <c r="H126" s="70">
        <f>Cheatsheet!S57</f>
        <v>-133.59393939393937</v>
      </c>
      <c r="I126" s="33" t="s">
        <v>2</v>
      </c>
      <c r="J126" s="33"/>
      <c r="K126" s="181"/>
      <c r="L126" s="181"/>
      <c r="M126" s="33"/>
      <c r="N126" s="33"/>
      <c r="O126" s="33"/>
      <c r="P126" s="33"/>
      <c r="Q126" s="33"/>
      <c r="R126" s="181"/>
      <c r="S126" s="33"/>
      <c r="T126" s="181"/>
      <c r="U126" s="181"/>
      <c r="V126" s="33"/>
      <c r="W126" s="33"/>
      <c r="X126" s="33"/>
      <c r="Y126" s="33"/>
      <c r="Z126" s="33"/>
      <c r="AA126" s="181"/>
      <c r="AB126" s="33"/>
      <c r="AC126" s="181"/>
      <c r="AD126" s="181"/>
      <c r="AE126" s="33"/>
      <c r="AF126" s="33"/>
      <c r="AG126" s="33"/>
      <c r="AH126" s="33"/>
      <c r="AI126" s="33"/>
      <c r="AJ126" s="181"/>
      <c r="AK126" s="33"/>
    </row>
    <row r="127" spans="1:37" ht="12.75" customHeight="1">
      <c r="A127" s="33">
        <f>IF(ISERROR(VLOOKUP(RANK(H127,$H$2:$H$331),$A$2:A126,1,0)),RANK(H127,$H$2:$H$331),IF(ISERROR(VLOOKUP((RANK(H127,$H$2:$H$331)+1),$A$2:A126,1,0)),(RANK(H127,$H$2:$H$331)+1),(RANK(H127,$H$2:$H$331)+2)))</f>
        <v>254</v>
      </c>
      <c r="B127" s="33">
        <f>Cheatsheet!M58</f>
        <v>56</v>
      </c>
      <c r="C127" s="33" t="str">
        <f>Cheatsheet!N58</f>
        <v/>
      </c>
      <c r="D127" s="33" t="str">
        <f>Cheatsheet!O58</f>
        <v>James Starks</v>
      </c>
      <c r="E127" s="33" t="str">
        <f>Cheatsheet!P58</f>
        <v>GB</v>
      </c>
      <c r="F127" s="33">
        <f>Cheatsheet!Q58</f>
        <v>9</v>
      </c>
      <c r="G127" s="70">
        <f>Cheatsheet!R58</f>
        <v>70.099999999999994</v>
      </c>
      <c r="H127" s="70">
        <f>Cheatsheet!S58</f>
        <v>-135.09393939393937</v>
      </c>
      <c r="I127" s="33" t="s">
        <v>2</v>
      </c>
      <c r="J127" s="33"/>
      <c r="K127" s="181"/>
      <c r="L127" s="181"/>
      <c r="M127" s="33"/>
      <c r="N127" s="33"/>
      <c r="O127" s="33"/>
      <c r="P127" s="33"/>
      <c r="Q127" s="33"/>
      <c r="R127" s="181"/>
      <c r="S127" s="33"/>
      <c r="T127" s="181"/>
      <c r="U127" s="181"/>
      <c r="V127" s="33"/>
      <c r="W127" s="33"/>
      <c r="X127" s="33"/>
      <c r="Y127" s="33"/>
      <c r="Z127" s="33"/>
      <c r="AA127" s="181"/>
      <c r="AB127" s="33"/>
      <c r="AC127" s="181"/>
      <c r="AD127" s="181"/>
      <c r="AE127" s="33"/>
      <c r="AF127" s="33"/>
      <c r="AG127" s="33"/>
      <c r="AH127" s="33"/>
      <c r="AI127" s="33"/>
      <c r="AJ127" s="181"/>
      <c r="AK127" s="33"/>
    </row>
    <row r="128" spans="1:37" ht="12.75" customHeight="1">
      <c r="A128" s="33">
        <f>IF(ISERROR(VLOOKUP(RANK(H128,$H$2:$H$331),$A$2:A127,1,0)),RANK(H128,$H$2:$H$331),IF(ISERROR(VLOOKUP((RANK(H128,$H$2:$H$331)+1),$A$2:A127,1,0)),(RANK(H128,$H$2:$H$331)+1),(RANK(H128,$H$2:$H$331)+2)))</f>
        <v>255</v>
      </c>
      <c r="B128" s="33">
        <f>Cheatsheet!M59</f>
        <v>57</v>
      </c>
      <c r="C128" s="33" t="str">
        <f>Cheatsheet!N59</f>
        <v/>
      </c>
      <c r="D128" s="33" t="str">
        <f>Cheatsheet!O59</f>
        <v>Roy Helu</v>
      </c>
      <c r="E128" s="33" t="str">
        <f>Cheatsheet!P59</f>
        <v>WSH</v>
      </c>
      <c r="F128" s="33">
        <f>Cheatsheet!Q59</f>
        <v>10</v>
      </c>
      <c r="G128" s="70">
        <f>Cheatsheet!R59</f>
        <v>69.900000000000006</v>
      </c>
      <c r="H128" s="70">
        <f>Cheatsheet!S59</f>
        <v>-135.29393939393935</v>
      </c>
      <c r="I128" s="33" t="s">
        <v>2</v>
      </c>
      <c r="J128" s="33"/>
      <c r="K128" s="181"/>
      <c r="L128" s="181"/>
      <c r="M128" s="33"/>
      <c r="N128" s="33"/>
      <c r="O128" s="33"/>
      <c r="P128" s="33"/>
      <c r="Q128" s="33"/>
      <c r="R128" s="181"/>
      <c r="S128" s="33"/>
      <c r="T128" s="181"/>
      <c r="U128" s="181"/>
      <c r="V128" s="33"/>
      <c r="W128" s="33"/>
      <c r="X128" s="33"/>
      <c r="Y128" s="33"/>
      <c r="Z128" s="33"/>
      <c r="AA128" s="181"/>
      <c r="AB128" s="33"/>
      <c r="AC128" s="181"/>
      <c r="AD128" s="181"/>
      <c r="AE128" s="33"/>
      <c r="AF128" s="33"/>
      <c r="AG128" s="33"/>
      <c r="AH128" s="33"/>
      <c r="AI128" s="33"/>
      <c r="AJ128" s="181"/>
      <c r="AK128" s="33"/>
    </row>
    <row r="129" spans="1:37" ht="12.75" customHeight="1">
      <c r="A129" s="33">
        <f>IF(ISERROR(VLOOKUP(RANK(H129,$H$2:$H$331),$A$2:A128,1,0)),RANK(H129,$H$2:$H$331),IF(ISERROR(VLOOKUP((RANK(H129,$H$2:$H$331)+1),$A$2:A128,1,0)),(RANK(H129,$H$2:$H$331)+1),(RANK(H129,$H$2:$H$331)+2)))</f>
        <v>256</v>
      </c>
      <c r="B129" s="33">
        <f>Cheatsheet!M60</f>
        <v>58</v>
      </c>
      <c r="C129" s="33" t="str">
        <f>Cheatsheet!N60</f>
        <v/>
      </c>
      <c r="D129" s="33" t="str">
        <f>Cheatsheet!O60</f>
        <v>Andre Williams</v>
      </c>
      <c r="E129" s="33" t="str">
        <f>Cheatsheet!P60</f>
        <v>NYG</v>
      </c>
      <c r="F129" s="33">
        <f>Cheatsheet!Q60</f>
        <v>8</v>
      </c>
      <c r="G129" s="70">
        <f>Cheatsheet!R60</f>
        <v>68.5</v>
      </c>
      <c r="H129" s="70">
        <f>Cheatsheet!S60</f>
        <v>-136.69393939393936</v>
      </c>
      <c r="I129" s="33" t="s">
        <v>2</v>
      </c>
      <c r="J129" s="33"/>
      <c r="K129" s="181"/>
      <c r="L129" s="181"/>
      <c r="M129" s="33"/>
      <c r="N129" s="33"/>
      <c r="O129" s="33"/>
      <c r="P129" s="33"/>
      <c r="Q129" s="33"/>
      <c r="R129" s="181"/>
      <c r="S129" s="33"/>
      <c r="T129" s="181"/>
      <c r="U129" s="181"/>
      <c r="V129" s="33"/>
      <c r="W129" s="33"/>
      <c r="X129" s="33"/>
      <c r="Y129" s="33"/>
      <c r="Z129" s="33"/>
      <c r="AA129" s="181"/>
      <c r="AB129" s="33"/>
      <c r="AC129" s="181"/>
      <c r="AD129" s="181"/>
      <c r="AE129" s="33"/>
      <c r="AF129" s="33"/>
      <c r="AG129" s="33"/>
      <c r="AH129" s="33"/>
      <c r="AI129" s="33"/>
      <c r="AJ129" s="181"/>
      <c r="AK129" s="33"/>
    </row>
    <row r="130" spans="1:37" ht="12.75" customHeight="1">
      <c r="A130" s="33">
        <f>IF(ISERROR(VLOOKUP(RANK(H130,$H$2:$H$331),$A$2:A129,1,0)),RANK(H130,$H$2:$H$331),IF(ISERROR(VLOOKUP((RANK(H130,$H$2:$H$331)+1),$A$2:A129,1,0)),(RANK(H130,$H$2:$H$331)+1),(RANK(H130,$H$2:$H$331)+2)))</f>
        <v>260</v>
      </c>
      <c r="B130" s="33">
        <f>Cheatsheet!M61</f>
        <v>59</v>
      </c>
      <c r="C130" s="33" t="str">
        <f>Cheatsheet!N61</f>
        <v/>
      </c>
      <c r="D130" s="33" t="str">
        <f>Cheatsheet!O61</f>
        <v>Tre Mason</v>
      </c>
      <c r="E130" s="33" t="str">
        <f>Cheatsheet!P61</f>
        <v>STL</v>
      </c>
      <c r="F130" s="33">
        <f>Cheatsheet!Q61</f>
        <v>4</v>
      </c>
      <c r="G130" s="70">
        <f>Cheatsheet!R61</f>
        <v>66.3</v>
      </c>
      <c r="H130" s="70">
        <f>Cheatsheet!S61</f>
        <v>-138.89393939393938</v>
      </c>
      <c r="I130" s="33" t="s">
        <v>2</v>
      </c>
      <c r="J130" s="33"/>
      <c r="K130" s="181"/>
      <c r="L130" s="181"/>
      <c r="M130" s="33"/>
      <c r="N130" s="33"/>
      <c r="O130" s="33"/>
      <c r="P130" s="33"/>
      <c r="Q130" s="33"/>
      <c r="R130" s="181"/>
      <c r="S130" s="33"/>
      <c r="T130" s="181"/>
      <c r="U130" s="181"/>
      <c r="V130" s="33"/>
      <c r="W130" s="33"/>
      <c r="X130" s="33"/>
      <c r="Y130" s="33"/>
      <c r="Z130" s="33"/>
      <c r="AA130" s="181"/>
      <c r="AB130" s="33"/>
      <c r="AC130" s="181"/>
      <c r="AD130" s="181"/>
      <c r="AE130" s="33"/>
      <c r="AF130" s="33"/>
      <c r="AG130" s="33"/>
      <c r="AH130" s="33"/>
      <c r="AI130" s="33"/>
      <c r="AJ130" s="181"/>
      <c r="AK130" s="33"/>
    </row>
    <row r="131" spans="1:37" ht="12.75" customHeight="1">
      <c r="A131" s="33">
        <f>IF(ISERROR(VLOOKUP(RANK(H131,$H$2:$H$331),$A$2:A130,1,0)),RANK(H131,$H$2:$H$331),IF(ISERROR(VLOOKUP((RANK(H131,$H$2:$H$331)+1),$A$2:A130,1,0)),(RANK(H131,$H$2:$H$331)+1),(RANK(H131,$H$2:$H$331)+2)))</f>
        <v>262</v>
      </c>
      <c r="B131" s="33">
        <f>Cheatsheet!M62</f>
        <v>60</v>
      </c>
      <c r="C131" s="33" t="str">
        <f>Cheatsheet!N62</f>
        <v/>
      </c>
      <c r="D131" s="33" t="str">
        <f>Cheatsheet!O62</f>
        <v>Christine Michael</v>
      </c>
      <c r="E131" s="33" t="str">
        <f>Cheatsheet!P62</f>
        <v>SEA</v>
      </c>
      <c r="F131" s="33">
        <f>Cheatsheet!Q62</f>
        <v>4</v>
      </c>
      <c r="G131" s="70">
        <f>Cheatsheet!R62</f>
        <v>64.400000000000006</v>
      </c>
      <c r="H131" s="70">
        <f>Cheatsheet!S62</f>
        <v>-140.79393939393935</v>
      </c>
      <c r="I131" s="33" t="s">
        <v>2</v>
      </c>
      <c r="J131" s="33"/>
      <c r="K131" s="181"/>
      <c r="L131" s="181"/>
      <c r="M131" s="33"/>
      <c r="N131" s="33"/>
      <c r="O131" s="33"/>
      <c r="P131" s="33"/>
      <c r="Q131" s="33"/>
      <c r="R131" s="181"/>
      <c r="S131" s="33"/>
      <c r="T131" s="181"/>
      <c r="U131" s="181"/>
      <c r="V131" s="33"/>
      <c r="W131" s="33"/>
      <c r="X131" s="33"/>
      <c r="Y131" s="33"/>
      <c r="Z131" s="33"/>
      <c r="AA131" s="181"/>
      <c r="AB131" s="33"/>
      <c r="AC131" s="181"/>
      <c r="AD131" s="181"/>
      <c r="AE131" s="33"/>
      <c r="AF131" s="33"/>
      <c r="AG131" s="33"/>
      <c r="AH131" s="33"/>
      <c r="AI131" s="33"/>
      <c r="AJ131" s="181"/>
      <c r="AK131" s="33"/>
    </row>
    <row r="132" spans="1:37" ht="12.75" customHeight="1">
      <c r="A132" s="33">
        <f>IF(ISERROR(VLOOKUP(RANK(H132,$H$2:$H$331),$A$2:A131,1,0)),RANK(H132,$H$2:$H$331),IF(ISERROR(VLOOKUP((RANK(H132,$H$2:$H$331)+1),$A$2:A131,1,0)),(RANK(H132,$H$2:$H$331)+1),(RANK(H132,$H$2:$H$331)+2)))</f>
        <v>266</v>
      </c>
      <c r="B132" s="33">
        <f>Cheatsheet!M63</f>
        <v>61</v>
      </c>
      <c r="C132" s="33" t="str">
        <f>Cheatsheet!N63</f>
        <v/>
      </c>
      <c r="D132" s="33" t="str">
        <f>Cheatsheet!O63</f>
        <v>Mark Ingram</v>
      </c>
      <c r="E132" s="33" t="str">
        <f>Cheatsheet!P63</f>
        <v>NO</v>
      </c>
      <c r="F132" s="33">
        <f>Cheatsheet!Q63</f>
        <v>6</v>
      </c>
      <c r="G132" s="70">
        <f>Cheatsheet!R63</f>
        <v>59</v>
      </c>
      <c r="H132" s="70">
        <f>Cheatsheet!S63</f>
        <v>-146.19393939393936</v>
      </c>
      <c r="I132" s="33" t="s">
        <v>2</v>
      </c>
      <c r="J132" s="33"/>
      <c r="K132" s="181"/>
      <c r="L132" s="181"/>
      <c r="M132" s="33"/>
      <c r="N132" s="33"/>
      <c r="O132" s="33"/>
      <c r="P132" s="33"/>
      <c r="Q132" s="33"/>
      <c r="R132" s="181"/>
      <c r="S132" s="33"/>
      <c r="T132" s="181"/>
      <c r="U132" s="181"/>
      <c r="V132" s="33"/>
      <c r="W132" s="33"/>
      <c r="X132" s="33"/>
      <c r="Y132" s="33"/>
      <c r="Z132" s="33"/>
      <c r="AA132" s="181"/>
      <c r="AB132" s="33"/>
      <c r="AC132" s="181"/>
      <c r="AD132" s="181"/>
      <c r="AE132" s="33"/>
      <c r="AF132" s="33"/>
      <c r="AG132" s="33"/>
      <c r="AH132" s="33"/>
      <c r="AI132" s="33"/>
      <c r="AJ132" s="181"/>
      <c r="AK132" s="33"/>
    </row>
    <row r="133" spans="1:37" ht="12.75" customHeight="1">
      <c r="A133" s="33">
        <f>IF(ISERROR(VLOOKUP(RANK(H133,$H$2:$H$331),$A$2:A132,1,0)),RANK(H133,$H$2:$H$331),IF(ISERROR(VLOOKUP((RANK(H133,$H$2:$H$331)+1),$A$2:A132,1,0)),(RANK(H133,$H$2:$H$331)+1),(RANK(H133,$H$2:$H$331)+2)))</f>
        <v>271</v>
      </c>
      <c r="B133" s="33">
        <f>Cheatsheet!M64</f>
        <v>62</v>
      </c>
      <c r="C133" s="33" t="str">
        <f>Cheatsheet!N64</f>
        <v/>
      </c>
      <c r="D133" s="33" t="str">
        <f>Cheatsheet!O64</f>
        <v>Bilal Powell</v>
      </c>
      <c r="E133" s="33" t="str">
        <f>Cheatsheet!P64</f>
        <v>NYJ</v>
      </c>
      <c r="F133" s="33">
        <f>Cheatsheet!Q64</f>
        <v>11</v>
      </c>
      <c r="G133" s="70">
        <f>Cheatsheet!R64</f>
        <v>55.9</v>
      </c>
      <c r="H133" s="70">
        <f>Cheatsheet!S64</f>
        <v>-149.29393939393935</v>
      </c>
      <c r="I133" s="33" t="s">
        <v>2</v>
      </c>
      <c r="J133" s="33"/>
      <c r="K133" s="181"/>
      <c r="L133" s="181"/>
      <c r="M133" s="33"/>
      <c r="N133" s="33"/>
      <c r="O133" s="33"/>
      <c r="P133" s="33"/>
      <c r="Q133" s="33"/>
      <c r="R133" s="181"/>
      <c r="S133" s="33"/>
      <c r="T133" s="181"/>
      <c r="U133" s="181"/>
      <c r="V133" s="33"/>
      <c r="W133" s="33"/>
      <c r="X133" s="33"/>
      <c r="Y133" s="33"/>
      <c r="Z133" s="33"/>
      <c r="AA133" s="181"/>
      <c r="AB133" s="33"/>
      <c r="AC133" s="181"/>
      <c r="AD133" s="181"/>
      <c r="AE133" s="33"/>
      <c r="AF133" s="33"/>
      <c r="AG133" s="33"/>
      <c r="AH133" s="33"/>
      <c r="AI133" s="33"/>
      <c r="AJ133" s="181"/>
      <c r="AK133" s="33"/>
    </row>
    <row r="134" spans="1:37" ht="12.75" customHeight="1">
      <c r="A134" s="33">
        <f>IF(ISERROR(VLOOKUP(RANK(H134,$H$2:$H$331),$A$2:A133,1,0)),RANK(H134,$H$2:$H$331),IF(ISERROR(VLOOKUP((RANK(H134,$H$2:$H$331)+1),$A$2:A133,1,0)),(RANK(H134,$H$2:$H$331)+1),(RANK(H134,$H$2:$H$331)+2)))</f>
        <v>272</v>
      </c>
      <c r="B134" s="33">
        <f>Cheatsheet!M65</f>
        <v>63</v>
      </c>
      <c r="C134" s="33" t="str">
        <f>Cheatsheet!N65</f>
        <v/>
      </c>
      <c r="D134" s="33" t="str">
        <f>Cheatsheet!O65</f>
        <v>Knile Davis</v>
      </c>
      <c r="E134" s="33" t="str">
        <f>Cheatsheet!P65</f>
        <v>KC</v>
      </c>
      <c r="F134" s="33">
        <f>Cheatsheet!Q65</f>
        <v>6</v>
      </c>
      <c r="G134" s="70">
        <f>Cheatsheet!R65</f>
        <v>55.7</v>
      </c>
      <c r="H134" s="70">
        <f>Cheatsheet!S65</f>
        <v>-149.49393939393934</v>
      </c>
      <c r="I134" s="33" t="s">
        <v>2</v>
      </c>
      <c r="J134" s="33"/>
      <c r="K134" s="181"/>
      <c r="L134" s="181"/>
      <c r="M134" s="33"/>
      <c r="N134" s="33"/>
      <c r="O134" s="33"/>
      <c r="P134" s="33"/>
      <c r="Q134" s="33"/>
      <c r="R134" s="181"/>
      <c r="S134" s="33"/>
      <c r="T134" s="181"/>
      <c r="U134" s="181"/>
      <c r="V134" s="33"/>
      <c r="W134" s="33"/>
      <c r="X134" s="33"/>
      <c r="Y134" s="33"/>
      <c r="Z134" s="33"/>
      <c r="AA134" s="181"/>
      <c r="AB134" s="33"/>
      <c r="AC134" s="181"/>
      <c r="AD134" s="181"/>
      <c r="AE134" s="33"/>
      <c r="AF134" s="33"/>
      <c r="AG134" s="33"/>
      <c r="AH134" s="33"/>
      <c r="AI134" s="33"/>
      <c r="AJ134" s="181"/>
      <c r="AK134" s="33"/>
    </row>
    <row r="135" spans="1:37" ht="12.75" customHeight="1">
      <c r="A135" s="33">
        <f>IF(ISERROR(VLOOKUP(RANK(H135,$H$2:$H$331),$A$2:A134,1,0)),RANK(H135,$H$2:$H$331),IF(ISERROR(VLOOKUP((RANK(H135,$H$2:$H$331)+1),$A$2:A134,1,0)),(RANK(H135,$H$2:$H$331)+1),(RANK(H135,$H$2:$H$331)+2)))</f>
        <v>276</v>
      </c>
      <c r="B135" s="33">
        <f>Cheatsheet!M66</f>
        <v>64</v>
      </c>
      <c r="C135" s="33" t="str">
        <f>Cheatsheet!N66</f>
        <v/>
      </c>
      <c r="D135" s="33" t="str">
        <f>Cheatsheet!O66</f>
        <v>Donald Brown</v>
      </c>
      <c r="E135" s="33" t="str">
        <f>Cheatsheet!P66</f>
        <v>SD</v>
      </c>
      <c r="F135" s="33">
        <f>Cheatsheet!Q66</f>
        <v>10</v>
      </c>
      <c r="G135" s="70">
        <f>Cheatsheet!R66</f>
        <v>54.4</v>
      </c>
      <c r="H135" s="70">
        <f>Cheatsheet!S66</f>
        <v>-150.79393939393935</v>
      </c>
      <c r="I135" s="33" t="s">
        <v>2</v>
      </c>
      <c r="J135" s="33"/>
      <c r="K135" s="181"/>
      <c r="L135" s="181"/>
      <c r="M135" s="33"/>
      <c r="N135" s="33"/>
      <c r="O135" s="33"/>
      <c r="P135" s="33"/>
      <c r="Q135" s="33"/>
      <c r="R135" s="181"/>
      <c r="S135" s="33"/>
      <c r="T135" s="181"/>
      <c r="U135" s="181"/>
      <c r="V135" s="33"/>
      <c r="W135" s="33"/>
      <c r="X135" s="33"/>
      <c r="Y135" s="33"/>
      <c r="Z135" s="33"/>
      <c r="AA135" s="181"/>
      <c r="AB135" s="33"/>
      <c r="AC135" s="181"/>
      <c r="AD135" s="181"/>
      <c r="AE135" s="33"/>
      <c r="AF135" s="33"/>
      <c r="AG135" s="33"/>
      <c r="AH135" s="33"/>
      <c r="AI135" s="33"/>
      <c r="AJ135" s="181"/>
      <c r="AK135" s="33"/>
    </row>
    <row r="136" spans="1:37" ht="12.75" customHeight="1">
      <c r="A136" s="33">
        <f>IF(ISERROR(VLOOKUP(RANK(H136,$H$2:$H$331),$A$2:A135,1,0)),RANK(H136,$H$2:$H$331),IF(ISERROR(VLOOKUP((RANK(H136,$H$2:$H$331)+1),$A$2:A135,1,0)),(RANK(H136,$H$2:$H$331)+1),(RANK(H136,$H$2:$H$331)+2)))</f>
        <v>278</v>
      </c>
      <c r="B136" s="33">
        <f>Cheatsheet!M67</f>
        <v>65</v>
      </c>
      <c r="C136" s="33" t="str">
        <f>Cheatsheet!N67</f>
        <v/>
      </c>
      <c r="D136" s="33" t="str">
        <f>Cheatsheet!O67</f>
        <v>Robert Turbin</v>
      </c>
      <c r="E136" s="33" t="str">
        <f>Cheatsheet!P67</f>
        <v>SEA</v>
      </c>
      <c r="F136" s="33">
        <f>Cheatsheet!Q67</f>
        <v>4</v>
      </c>
      <c r="G136" s="70">
        <f>Cheatsheet!R67</f>
        <v>53</v>
      </c>
      <c r="H136" s="70">
        <f>Cheatsheet!S67</f>
        <v>-152.19393939393936</v>
      </c>
      <c r="I136" s="33" t="s">
        <v>2</v>
      </c>
      <c r="J136" s="33"/>
      <c r="K136" s="181"/>
      <c r="L136" s="181"/>
      <c r="M136" s="33"/>
      <c r="N136" s="33"/>
      <c r="O136" s="33"/>
      <c r="P136" s="33"/>
      <c r="Q136" s="33"/>
      <c r="R136" s="181"/>
      <c r="S136" s="33"/>
      <c r="T136" s="181"/>
      <c r="U136" s="181"/>
      <c r="V136" s="33"/>
      <c r="W136" s="33"/>
      <c r="X136" s="33"/>
      <c r="Y136" s="33"/>
      <c r="Z136" s="33"/>
      <c r="AA136" s="181"/>
      <c r="AB136" s="33"/>
      <c r="AC136" s="181"/>
      <c r="AD136" s="181"/>
      <c r="AE136" s="33"/>
      <c r="AF136" s="33"/>
      <c r="AG136" s="33"/>
      <c r="AH136" s="33"/>
      <c r="AI136" s="33"/>
      <c r="AJ136" s="181"/>
      <c r="AK136" s="33"/>
    </row>
    <row r="137" spans="1:37" ht="12.75" customHeight="1">
      <c r="A137" s="33">
        <f>IF(ISERROR(VLOOKUP(RANK(H137,$H$2:$H$331),$A$2:A136,1,0)),RANK(H137,$H$2:$H$331),IF(ISERROR(VLOOKUP((RANK(H137,$H$2:$H$331)+1),$A$2:A136,1,0)),(RANK(H137,$H$2:$H$331)+1),(RANK(H137,$H$2:$H$331)+2)))</f>
        <v>281</v>
      </c>
      <c r="B137" s="33">
        <f>Cheatsheet!M68</f>
        <v>66</v>
      </c>
      <c r="C137" s="33" t="str">
        <f>Cheatsheet!N68</f>
        <v/>
      </c>
      <c r="D137" s="33" t="str">
        <f>Cheatsheet!O68</f>
        <v>Jordan Todman</v>
      </c>
      <c r="E137" s="33" t="str">
        <f>Cheatsheet!P68</f>
        <v>JAC</v>
      </c>
      <c r="F137" s="33">
        <f>Cheatsheet!Q68</f>
        <v>11</v>
      </c>
      <c r="G137" s="70">
        <f>Cheatsheet!R68</f>
        <v>51.1</v>
      </c>
      <c r="H137" s="70">
        <f>Cheatsheet!S68</f>
        <v>-154.09393939393937</v>
      </c>
      <c r="I137" s="33" t="s">
        <v>2</v>
      </c>
      <c r="J137" s="33"/>
      <c r="K137" s="181"/>
      <c r="L137" s="181"/>
      <c r="M137" s="33"/>
      <c r="N137" s="33"/>
      <c r="O137" s="33"/>
      <c r="P137" s="33"/>
      <c r="Q137" s="33"/>
      <c r="R137" s="181"/>
      <c r="S137" s="33"/>
      <c r="T137" s="181"/>
      <c r="U137" s="181"/>
      <c r="V137" s="33"/>
      <c r="W137" s="33"/>
      <c r="X137" s="33"/>
      <c r="Y137" s="33"/>
      <c r="Z137" s="33"/>
      <c r="AA137" s="181"/>
      <c r="AB137" s="33"/>
      <c r="AC137" s="181"/>
      <c r="AD137" s="181"/>
      <c r="AE137" s="33"/>
      <c r="AF137" s="33"/>
      <c r="AG137" s="33"/>
      <c r="AH137" s="33"/>
      <c r="AI137" s="33"/>
      <c r="AJ137" s="181"/>
      <c r="AK137" s="33"/>
    </row>
    <row r="138" spans="1:37" ht="12.75" customHeight="1">
      <c r="A138" s="33">
        <f>IF(ISERROR(VLOOKUP(RANK(H138,$H$2:$H$331),$A$2:A137,1,0)),RANK(H138,$H$2:$H$331),IF(ISERROR(VLOOKUP((RANK(H138,$H$2:$H$331)+1),$A$2:A137,1,0)),(RANK(H138,$H$2:$H$331)+1),(RANK(H138,$H$2:$H$331)+2)))</f>
        <v>282</v>
      </c>
      <c r="B138" s="33">
        <f>Cheatsheet!M69</f>
        <v>67</v>
      </c>
      <c r="C138" s="33" t="str">
        <f>Cheatsheet!N69</f>
        <v/>
      </c>
      <c r="D138" s="33" t="str">
        <f>Cheatsheet!O69</f>
        <v>Stepfan Taylor</v>
      </c>
      <c r="E138" s="33" t="str">
        <f>Cheatsheet!P69</f>
        <v>ARI</v>
      </c>
      <c r="F138" s="33">
        <f>Cheatsheet!Q69</f>
        <v>4</v>
      </c>
      <c r="G138" s="70">
        <f>Cheatsheet!R69</f>
        <v>51.1</v>
      </c>
      <c r="H138" s="70">
        <f>Cheatsheet!S69</f>
        <v>-154.09393939393937</v>
      </c>
      <c r="I138" s="33" t="s">
        <v>2</v>
      </c>
      <c r="J138" s="33"/>
      <c r="K138" s="181"/>
      <c r="L138" s="181"/>
      <c r="M138" s="33"/>
      <c r="N138" s="33"/>
      <c r="O138" s="33"/>
      <c r="P138" s="33"/>
      <c r="Q138" s="33"/>
      <c r="R138" s="181"/>
      <c r="S138" s="33"/>
      <c r="T138" s="181"/>
      <c r="U138" s="181"/>
      <c r="V138" s="33"/>
      <c r="W138" s="33"/>
      <c r="X138" s="33"/>
      <c r="Y138" s="33"/>
      <c r="Z138" s="33"/>
      <c r="AA138" s="181"/>
      <c r="AB138" s="33"/>
      <c r="AC138" s="181"/>
      <c r="AD138" s="181"/>
      <c r="AE138" s="33"/>
      <c r="AF138" s="33"/>
      <c r="AG138" s="33"/>
      <c r="AH138" s="33"/>
      <c r="AI138" s="33"/>
      <c r="AJ138" s="181"/>
      <c r="AK138" s="33"/>
    </row>
    <row r="139" spans="1:37" ht="12.75" customHeight="1">
      <c r="A139" s="33">
        <f>IF(ISERROR(VLOOKUP(RANK(H139,$H$2:$H$331),$A$2:A138,1,0)),RANK(H139,$H$2:$H$331),IF(ISERROR(VLOOKUP((RANK(H139,$H$2:$H$331)+1),$A$2:A138,1,0)),(RANK(H139,$H$2:$H$331)+1),(RANK(H139,$H$2:$H$331)+2)))</f>
        <v>286</v>
      </c>
      <c r="B139" s="33">
        <f>Cheatsheet!M70</f>
        <v>68</v>
      </c>
      <c r="C139" s="33" t="str">
        <f>Cheatsheet!N70</f>
        <v/>
      </c>
      <c r="D139" s="33" t="str">
        <f>Cheatsheet!O70</f>
        <v>Jonathan Grimes</v>
      </c>
      <c r="E139" s="33" t="str">
        <f>Cheatsheet!P70</f>
        <v>HOU</v>
      </c>
      <c r="F139" s="33">
        <f>Cheatsheet!Q70</f>
        <v>10</v>
      </c>
      <c r="G139" s="70">
        <f>Cheatsheet!R70</f>
        <v>49.9</v>
      </c>
      <c r="H139" s="70">
        <f>Cheatsheet!S70</f>
        <v>-155.29393939393935</v>
      </c>
      <c r="I139" s="33" t="s">
        <v>2</v>
      </c>
      <c r="J139" s="33"/>
      <c r="K139" s="181"/>
      <c r="L139" s="181"/>
      <c r="M139" s="33"/>
      <c r="N139" s="33"/>
      <c r="O139" s="33"/>
      <c r="P139" s="33"/>
      <c r="Q139" s="33"/>
      <c r="R139" s="181"/>
      <c r="S139" s="33"/>
      <c r="T139" s="181"/>
      <c r="U139" s="181"/>
      <c r="V139" s="33"/>
      <c r="W139" s="33"/>
      <c r="X139" s="33"/>
      <c r="Y139" s="33"/>
      <c r="Z139" s="33"/>
      <c r="AA139" s="181"/>
      <c r="AB139" s="33"/>
      <c r="AC139" s="181"/>
      <c r="AD139" s="181"/>
      <c r="AE139" s="33"/>
      <c r="AF139" s="33"/>
      <c r="AG139" s="33"/>
      <c r="AH139" s="33"/>
      <c r="AI139" s="33"/>
      <c r="AJ139" s="181"/>
      <c r="AK139" s="33"/>
    </row>
    <row r="140" spans="1:37" ht="12.75" customHeight="1">
      <c r="A140" s="33">
        <f>IF(ISERROR(VLOOKUP(RANK(H140,$H$2:$H$331),$A$2:A139,1,0)),RANK(H140,$H$2:$H$331),IF(ISERROR(VLOOKUP((RANK(H140,$H$2:$H$331)+1),$A$2:A139,1,0)),(RANK(H140,$H$2:$H$331)+1),(RANK(H140,$H$2:$H$331)+2)))</f>
        <v>287</v>
      </c>
      <c r="B140" s="33">
        <f>Cheatsheet!M71</f>
        <v>69</v>
      </c>
      <c r="C140" s="33" t="str">
        <f>Cheatsheet!N71</f>
        <v/>
      </c>
      <c r="D140" s="33" t="str">
        <f>Cheatsheet!O71</f>
        <v>James White</v>
      </c>
      <c r="E140" s="33" t="str">
        <f>Cheatsheet!P71</f>
        <v>NE</v>
      </c>
      <c r="F140" s="33">
        <f>Cheatsheet!Q71</f>
        <v>10</v>
      </c>
      <c r="G140" s="70">
        <f>Cheatsheet!R71</f>
        <v>49.7</v>
      </c>
      <c r="H140" s="70">
        <f>Cheatsheet!S71</f>
        <v>-155.49393939393934</v>
      </c>
      <c r="I140" s="33" t="s">
        <v>2</v>
      </c>
      <c r="J140" s="33"/>
      <c r="K140" s="181"/>
      <c r="L140" s="181"/>
      <c r="M140" s="33"/>
      <c r="N140" s="33"/>
      <c r="O140" s="33"/>
      <c r="P140" s="33"/>
      <c r="Q140" s="33"/>
      <c r="R140" s="181"/>
      <c r="S140" s="33"/>
      <c r="T140" s="181"/>
      <c r="U140" s="181"/>
      <c r="V140" s="33"/>
      <c r="W140" s="33"/>
      <c r="X140" s="33"/>
      <c r="Y140" s="33"/>
      <c r="Z140" s="33"/>
      <c r="AA140" s="181"/>
      <c r="AB140" s="33"/>
      <c r="AC140" s="181"/>
      <c r="AD140" s="181"/>
      <c r="AE140" s="33"/>
      <c r="AF140" s="33"/>
      <c r="AG140" s="33"/>
      <c r="AH140" s="33"/>
      <c r="AI140" s="33"/>
      <c r="AJ140" s="181"/>
      <c r="AK140" s="33"/>
    </row>
    <row r="141" spans="1:37" ht="12.75" customHeight="1">
      <c r="A141" s="33">
        <f>IF(ISERROR(VLOOKUP(RANK(H141,$H$2:$H$331),$A$2:A140,1,0)),RANK(H141,$H$2:$H$331),IF(ISERROR(VLOOKUP((RANK(H141,$H$2:$H$331)+1),$A$2:A140,1,0)),(RANK(H141,$H$2:$H$331)+1),(RANK(H141,$H$2:$H$331)+2)))</f>
        <v>288</v>
      </c>
      <c r="B141" s="33">
        <f>Cheatsheet!M72</f>
        <v>70</v>
      </c>
      <c r="C141" s="33" t="str">
        <f>Cheatsheet!N72</f>
        <v/>
      </c>
      <c r="D141" s="33" t="str">
        <f>Cheatsheet!O72</f>
        <v>C.J. Anderson</v>
      </c>
      <c r="E141" s="33" t="str">
        <f>Cheatsheet!P72</f>
        <v>DEN</v>
      </c>
      <c r="F141" s="33">
        <f>Cheatsheet!Q72</f>
        <v>4</v>
      </c>
      <c r="G141" s="70">
        <f>Cheatsheet!R72</f>
        <v>49.1</v>
      </c>
      <c r="H141" s="70">
        <f>Cheatsheet!S72</f>
        <v>-156.09393939393937</v>
      </c>
      <c r="I141" s="33" t="s">
        <v>2</v>
      </c>
      <c r="J141" s="33"/>
      <c r="K141" s="181"/>
      <c r="L141" s="181"/>
      <c r="M141" s="33"/>
      <c r="N141" s="33"/>
      <c r="O141" s="33"/>
      <c r="P141" s="33"/>
      <c r="Q141" s="33"/>
      <c r="R141" s="181"/>
      <c r="S141" s="33"/>
      <c r="T141" s="181"/>
      <c r="U141" s="181"/>
      <c r="V141" s="33"/>
      <c r="W141" s="33"/>
      <c r="X141" s="33"/>
      <c r="Y141" s="33"/>
      <c r="Z141" s="33"/>
      <c r="AA141" s="181"/>
      <c r="AB141" s="33"/>
      <c r="AC141" s="181"/>
      <c r="AD141" s="181"/>
      <c r="AE141" s="33"/>
      <c r="AF141" s="33"/>
      <c r="AG141" s="33"/>
      <c r="AH141" s="33"/>
      <c r="AI141" s="33"/>
      <c r="AJ141" s="181"/>
      <c r="AK141" s="33"/>
    </row>
    <row r="142" spans="1:37" ht="12.75" customHeight="1">
      <c r="A142" s="33">
        <f>IF(ISERROR(VLOOKUP(RANK(H142,$H$2:$H$331),$A$2:A141,1,0)),RANK(H142,$H$2:$H$331),IF(ISERROR(VLOOKUP((RANK(H142,$H$2:$H$331)+1),$A$2:A141,1,0)),(RANK(H142,$H$2:$H$331)+1),(RANK(H142,$H$2:$H$331)+2)))</f>
        <v>289</v>
      </c>
      <c r="B142" s="33">
        <f>Cheatsheet!M73</f>
        <v>71</v>
      </c>
      <c r="C142" s="33" t="str">
        <f>Cheatsheet!N73</f>
        <v/>
      </c>
      <c r="D142" s="33" t="str">
        <f>Cheatsheet!O73</f>
        <v>Ahmad Bradshaw</v>
      </c>
      <c r="E142" s="33" t="str">
        <f>Cheatsheet!P73</f>
        <v>IND</v>
      </c>
      <c r="F142" s="33">
        <f>Cheatsheet!Q73</f>
        <v>10</v>
      </c>
      <c r="G142" s="70">
        <f>Cheatsheet!R73</f>
        <v>47.9</v>
      </c>
      <c r="H142" s="70">
        <f>Cheatsheet!S73</f>
        <v>-157.29393939393935</v>
      </c>
      <c r="I142" s="33" t="s">
        <v>2</v>
      </c>
      <c r="J142" s="33"/>
      <c r="K142" s="181"/>
      <c r="L142" s="181"/>
      <c r="M142" s="33"/>
      <c r="N142" s="33"/>
      <c r="O142" s="33"/>
      <c r="P142" s="33"/>
      <c r="Q142" s="33"/>
      <c r="R142" s="181"/>
      <c r="S142" s="33"/>
      <c r="T142" s="181"/>
      <c r="U142" s="181"/>
      <c r="V142" s="33"/>
      <c r="W142" s="33"/>
      <c r="X142" s="33"/>
      <c r="Y142" s="33"/>
      <c r="Z142" s="33"/>
      <c r="AA142" s="181"/>
      <c r="AB142" s="33"/>
      <c r="AC142" s="181"/>
      <c r="AD142" s="181"/>
      <c r="AE142" s="33"/>
      <c r="AF142" s="33"/>
      <c r="AG142" s="33"/>
      <c r="AH142" s="33"/>
      <c r="AI142" s="33"/>
      <c r="AJ142" s="181"/>
      <c r="AK142" s="33"/>
    </row>
    <row r="143" spans="1:37" ht="12.75" customHeight="1">
      <c r="A143" s="33">
        <f>IF(ISERROR(VLOOKUP(RANK(H143,$H$2:$H$331),$A$2:A142,1,0)),RANK(H143,$H$2:$H$331),IF(ISERROR(VLOOKUP((RANK(H143,$H$2:$H$331)+1),$A$2:A142,1,0)),(RANK(H143,$H$2:$H$331)+1),(RANK(H143,$H$2:$H$331)+2)))</f>
        <v>290</v>
      </c>
      <c r="B143" s="33">
        <f>Cheatsheet!M74</f>
        <v>72</v>
      </c>
      <c r="C143" s="33" t="str">
        <f>Cheatsheet!N74</f>
        <v/>
      </c>
      <c r="D143" s="33" t="str">
        <f>Cheatsheet!O74</f>
        <v>Latavius Murray</v>
      </c>
      <c r="E143" s="33" t="str">
        <f>Cheatsheet!P74</f>
        <v>OAK</v>
      </c>
      <c r="F143" s="33">
        <f>Cheatsheet!Q74</f>
        <v>5</v>
      </c>
      <c r="G143" s="70">
        <f>Cheatsheet!R74</f>
        <v>41.8</v>
      </c>
      <c r="H143" s="70">
        <f>Cheatsheet!S74</f>
        <v>-163.39393939393938</v>
      </c>
      <c r="I143" s="33" t="s">
        <v>2</v>
      </c>
      <c r="J143" s="33"/>
      <c r="K143" s="181"/>
      <c r="L143" s="181"/>
      <c r="M143" s="33"/>
      <c r="N143" s="33"/>
      <c r="O143" s="33"/>
      <c r="P143" s="33"/>
      <c r="Q143" s="33"/>
      <c r="R143" s="181"/>
      <c r="S143" s="33"/>
      <c r="T143" s="181"/>
      <c r="U143" s="181"/>
      <c r="V143" s="33"/>
      <c r="W143" s="33"/>
      <c r="X143" s="33"/>
      <c r="Y143" s="33"/>
      <c r="Z143" s="33"/>
      <c r="AA143" s="181"/>
      <c r="AB143" s="33"/>
      <c r="AC143" s="181"/>
      <c r="AD143" s="181"/>
      <c r="AE143" s="33"/>
      <c r="AF143" s="33"/>
      <c r="AG143" s="33"/>
      <c r="AH143" s="33"/>
      <c r="AI143" s="33"/>
      <c r="AJ143" s="181"/>
      <c r="AK143" s="33"/>
    </row>
    <row r="144" spans="1:37" ht="12.75" customHeight="1">
      <c r="A144" s="33">
        <f>IF(ISERROR(VLOOKUP(RANK(H144,$H$2:$H$331),$A$2:A143,1,0)),RANK(H144,$H$2:$H$331),IF(ISERROR(VLOOKUP((RANK(H144,$H$2:$H$331)+1),$A$2:A143,1,0)),(RANK(H144,$H$2:$H$331)+1),(RANK(H144,$H$2:$H$331)+2)))</f>
        <v>291</v>
      </c>
      <c r="B144" s="33">
        <f>Cheatsheet!M75</f>
        <v>73</v>
      </c>
      <c r="C144" s="33" t="str">
        <f>Cheatsheet!N75</f>
        <v/>
      </c>
      <c r="D144" s="33" t="str">
        <f>Cheatsheet!O75</f>
        <v>Ka'Deem Carey</v>
      </c>
      <c r="E144" s="33" t="str">
        <f>Cheatsheet!P75</f>
        <v>CHI</v>
      </c>
      <c r="F144" s="33">
        <f>Cheatsheet!Q75</f>
        <v>9</v>
      </c>
      <c r="G144" s="70">
        <f>Cheatsheet!R75</f>
        <v>41.8</v>
      </c>
      <c r="H144" s="70">
        <f>Cheatsheet!S75</f>
        <v>-163.39393939393938</v>
      </c>
      <c r="I144" s="33" t="s">
        <v>2</v>
      </c>
      <c r="J144" s="33"/>
      <c r="K144" s="181"/>
      <c r="L144" s="181"/>
      <c r="M144" s="33"/>
      <c r="N144" s="33"/>
      <c r="O144" s="33"/>
      <c r="P144" s="33"/>
      <c r="Q144" s="33"/>
      <c r="R144" s="181"/>
      <c r="S144" s="33"/>
      <c r="T144" s="181"/>
      <c r="U144" s="181"/>
      <c r="V144" s="33"/>
      <c r="W144" s="33"/>
      <c r="X144" s="33"/>
      <c r="Y144" s="33"/>
      <c r="Z144" s="33"/>
      <c r="AA144" s="181"/>
      <c r="AB144" s="33"/>
      <c r="AC144" s="181"/>
      <c r="AD144" s="181"/>
      <c r="AE144" s="33"/>
      <c r="AF144" s="33"/>
      <c r="AG144" s="33"/>
      <c r="AH144" s="33"/>
      <c r="AI144" s="33"/>
      <c r="AJ144" s="181"/>
      <c r="AK144" s="33"/>
    </row>
    <row r="145" spans="1:37" ht="12.75" customHeight="1">
      <c r="A145" s="33">
        <f>IF(ISERROR(VLOOKUP(RANK(H145,$H$2:$H$331),$A$2:A144,1,0)),RANK(H145,$H$2:$H$331),IF(ISERROR(VLOOKUP((RANK(H145,$H$2:$H$331)+1),$A$2:A144,1,0)),(RANK(H145,$H$2:$H$331)+1),(RANK(H145,$H$2:$H$331)+2)))</f>
        <v>292</v>
      </c>
      <c r="B145" s="33">
        <f>Cheatsheet!M76</f>
        <v>74</v>
      </c>
      <c r="C145" s="33" t="str">
        <f>Cheatsheet!N76</f>
        <v/>
      </c>
      <c r="D145" s="33" t="str">
        <f>Cheatsheet!O76</f>
        <v>Jerick McKinnon</v>
      </c>
      <c r="E145" s="33" t="str">
        <f>Cheatsheet!P76</f>
        <v>MIN</v>
      </c>
      <c r="F145" s="33">
        <f>Cheatsheet!Q76</f>
        <v>10</v>
      </c>
      <c r="G145" s="70">
        <f>Cheatsheet!R76</f>
        <v>41.4</v>
      </c>
      <c r="H145" s="70">
        <f>Cheatsheet!S76</f>
        <v>-163.79393939393935</v>
      </c>
      <c r="I145" s="33" t="s">
        <v>2</v>
      </c>
      <c r="J145" s="33"/>
      <c r="K145" s="181"/>
      <c r="L145" s="181"/>
      <c r="M145" s="33"/>
      <c r="N145" s="33"/>
      <c r="O145" s="33"/>
      <c r="P145" s="33"/>
      <c r="Q145" s="33"/>
      <c r="R145" s="181"/>
      <c r="S145" s="33"/>
      <c r="T145" s="181"/>
      <c r="U145" s="181"/>
      <c r="V145" s="33"/>
      <c r="W145" s="33"/>
      <c r="X145" s="33"/>
      <c r="Y145" s="33"/>
      <c r="Z145" s="33"/>
      <c r="AA145" s="181"/>
      <c r="AB145" s="33"/>
      <c r="AC145" s="181"/>
      <c r="AD145" s="181"/>
      <c r="AE145" s="33"/>
      <c r="AF145" s="33"/>
      <c r="AG145" s="33"/>
      <c r="AH145" s="33"/>
      <c r="AI145" s="33"/>
      <c r="AJ145" s="181"/>
      <c r="AK145" s="33"/>
    </row>
    <row r="146" spans="1:37" ht="12.75" customHeight="1">
      <c r="A146" s="33">
        <f>IF(ISERROR(VLOOKUP(RANK(H146,$H$2:$H$331),$A$2:A145,1,0)),RANK(H146,$H$2:$H$331),IF(ISERROR(VLOOKUP((RANK(H146,$H$2:$H$331)+1),$A$2:A145,1,0)),(RANK(H146,$H$2:$H$331)+1),(RANK(H146,$H$2:$H$331)+2)))</f>
        <v>293</v>
      </c>
      <c r="B146" s="33">
        <f>Cheatsheet!M77</f>
        <v>75</v>
      </c>
      <c r="C146" s="33" t="str">
        <f>Cheatsheet!N77</f>
        <v/>
      </c>
      <c r="D146" s="33" t="str">
        <f>Cheatsheet!O77</f>
        <v>Bryce Brown</v>
      </c>
      <c r="E146" s="33" t="str">
        <f>Cheatsheet!P77</f>
        <v>BUF</v>
      </c>
      <c r="F146" s="33">
        <f>Cheatsheet!Q77</f>
        <v>9</v>
      </c>
      <c r="G146" s="70">
        <f>Cheatsheet!R77</f>
        <v>39.6</v>
      </c>
      <c r="H146" s="70">
        <f>Cheatsheet!S77</f>
        <v>-165.59393939393937</v>
      </c>
      <c r="I146" s="33" t="s">
        <v>2</v>
      </c>
      <c r="J146" s="33"/>
      <c r="K146" s="181"/>
      <c r="L146" s="181"/>
      <c r="M146" s="33"/>
      <c r="N146" s="33"/>
      <c r="O146" s="33"/>
      <c r="P146" s="33"/>
      <c r="Q146" s="33"/>
      <c r="R146" s="181"/>
      <c r="S146" s="33"/>
      <c r="T146" s="181"/>
      <c r="U146" s="181"/>
      <c r="V146" s="33"/>
      <c r="W146" s="33"/>
      <c r="X146" s="33"/>
      <c r="Y146" s="33"/>
      <c r="Z146" s="33"/>
      <c r="AA146" s="181"/>
      <c r="AB146" s="33"/>
      <c r="AC146" s="181"/>
      <c r="AD146" s="181"/>
      <c r="AE146" s="33"/>
      <c r="AF146" s="33"/>
      <c r="AG146" s="33"/>
      <c r="AH146" s="33"/>
      <c r="AI146" s="33"/>
      <c r="AJ146" s="181"/>
      <c r="AK146" s="33"/>
    </row>
    <row r="147" spans="1:37" ht="12.75" customHeight="1">
      <c r="A147" s="33">
        <f>IF(ISERROR(VLOOKUP(RANK(H147,$H$2:$H$331),$A$2:A146,1,0)),RANK(H147,$H$2:$H$331),IF(ISERROR(VLOOKUP((RANK(H147,$H$2:$H$331)+1),$A$2:A146,1,0)),(RANK(H147,$H$2:$H$331)+1),(RANK(H147,$H$2:$H$331)+2)))</f>
        <v>294</v>
      </c>
      <c r="B147" s="33">
        <f>Cheatsheet!M78</f>
        <v>76</v>
      </c>
      <c r="C147" s="33" t="str">
        <f>Cheatsheet!N78</f>
        <v/>
      </c>
      <c r="D147" s="33" t="str">
        <f>Cheatsheet!O78</f>
        <v>Bobby Rainey</v>
      </c>
      <c r="E147" s="33" t="str">
        <f>Cheatsheet!P78</f>
        <v>TB</v>
      </c>
      <c r="F147" s="33">
        <f>Cheatsheet!Q78</f>
        <v>7</v>
      </c>
      <c r="G147" s="70">
        <f>Cheatsheet!R78</f>
        <v>35.799999999999997</v>
      </c>
      <c r="H147" s="70">
        <f>Cheatsheet!S78</f>
        <v>-169.39393939393938</v>
      </c>
      <c r="I147" s="33" t="s">
        <v>2</v>
      </c>
      <c r="J147" s="33"/>
      <c r="K147" s="181"/>
      <c r="L147" s="181"/>
      <c r="M147" s="33"/>
      <c r="N147" s="33"/>
      <c r="O147" s="33"/>
      <c r="P147" s="33"/>
      <c r="Q147" s="33"/>
      <c r="R147" s="181"/>
      <c r="S147" s="33"/>
      <c r="T147" s="181"/>
      <c r="U147" s="181"/>
      <c r="V147" s="33"/>
      <c r="W147" s="33"/>
      <c r="X147" s="33"/>
      <c r="Y147" s="33"/>
      <c r="Z147" s="33"/>
      <c r="AA147" s="181"/>
      <c r="AB147" s="33"/>
      <c r="AC147" s="181"/>
      <c r="AD147" s="181"/>
      <c r="AE147" s="33"/>
      <c r="AF147" s="33"/>
      <c r="AG147" s="33"/>
      <c r="AH147" s="33"/>
      <c r="AI147" s="33"/>
      <c r="AJ147" s="181"/>
      <c r="AK147" s="33"/>
    </row>
    <row r="148" spans="1:37" ht="12.75" customHeight="1">
      <c r="A148" s="33">
        <f>IF(ISERROR(VLOOKUP(RANK(H148,$H$2:$H$331),$A$2:A147,1,0)),RANK(H148,$H$2:$H$331),IF(ISERROR(VLOOKUP((RANK(H148,$H$2:$H$331)+1),$A$2:A147,1,0)),(RANK(H148,$H$2:$H$331)+1),(RANK(H148,$H$2:$H$331)+2)))</f>
        <v>295</v>
      </c>
      <c r="B148" s="33">
        <f>Cheatsheet!M79</f>
        <v>77</v>
      </c>
      <c r="C148" s="33" t="str">
        <f>Cheatsheet!N79</f>
        <v/>
      </c>
      <c r="D148" s="33" t="str">
        <f>Cheatsheet!O79</f>
        <v>Travaris Cadet</v>
      </c>
      <c r="E148" s="33" t="str">
        <f>Cheatsheet!P79</f>
        <v>NO</v>
      </c>
      <c r="F148" s="33">
        <f>Cheatsheet!Q79</f>
        <v>6</v>
      </c>
      <c r="G148" s="70">
        <f>Cheatsheet!R79</f>
        <v>35.799999999999997</v>
      </c>
      <c r="H148" s="70">
        <f>Cheatsheet!S79</f>
        <v>-169.39393939393938</v>
      </c>
      <c r="I148" s="33" t="s">
        <v>2</v>
      </c>
      <c r="J148" s="33"/>
      <c r="K148" s="181"/>
      <c r="L148" s="181"/>
      <c r="M148" s="33"/>
      <c r="N148" s="33"/>
      <c r="O148" s="33"/>
      <c r="P148" s="33"/>
      <c r="Q148" s="33"/>
      <c r="R148" s="181"/>
      <c r="S148" s="33"/>
      <c r="T148" s="181"/>
      <c r="U148" s="181"/>
      <c r="V148" s="33"/>
      <c r="W148" s="33"/>
      <c r="X148" s="33"/>
      <c r="Y148" s="33"/>
      <c r="Z148" s="33"/>
      <c r="AA148" s="181"/>
      <c r="AB148" s="33"/>
      <c r="AC148" s="181"/>
      <c r="AD148" s="181"/>
      <c r="AE148" s="33"/>
      <c r="AF148" s="33"/>
      <c r="AG148" s="33"/>
      <c r="AH148" s="33"/>
      <c r="AI148" s="33"/>
      <c r="AJ148" s="181"/>
      <c r="AK148" s="33"/>
    </row>
    <row r="149" spans="1:37" ht="12.75" customHeight="1">
      <c r="A149" s="33">
        <f>IF(ISERROR(VLOOKUP(RANK(H149,$H$2:$H$331),$A$2:A148,1,0)),RANK(H149,$H$2:$H$331),IF(ISERROR(VLOOKUP((RANK(H149,$H$2:$H$331)+1),$A$2:A148,1,0)),(RANK(H149,$H$2:$H$331)+1),(RANK(H149,$H$2:$H$331)+2)))</f>
        <v>296</v>
      </c>
      <c r="B149" s="33">
        <f>Cheatsheet!M80</f>
        <v>78</v>
      </c>
      <c r="C149" s="33" t="str">
        <f>Cheatsheet!N80</f>
        <v/>
      </c>
      <c r="D149" s="33" t="str">
        <f>Cheatsheet!O80</f>
        <v>Brandon Bolden</v>
      </c>
      <c r="E149" s="33" t="str">
        <f>Cheatsheet!P80</f>
        <v>NE</v>
      </c>
      <c r="F149" s="33">
        <f>Cheatsheet!Q80</f>
        <v>10</v>
      </c>
      <c r="G149" s="70">
        <f>Cheatsheet!R80</f>
        <v>34.299999999999997</v>
      </c>
      <c r="H149" s="70">
        <f>Cheatsheet!S80</f>
        <v>-170.89393939393938</v>
      </c>
      <c r="I149" s="33" t="s">
        <v>2</v>
      </c>
      <c r="J149" s="33"/>
      <c r="K149" s="181"/>
      <c r="L149" s="181"/>
      <c r="M149" s="33"/>
      <c r="N149" s="33"/>
      <c r="O149" s="33"/>
      <c r="P149" s="33"/>
      <c r="Q149" s="33"/>
      <c r="R149" s="181"/>
      <c r="S149" s="33"/>
      <c r="T149" s="181"/>
      <c r="U149" s="181"/>
      <c r="V149" s="33"/>
      <c r="W149" s="33"/>
      <c r="X149" s="33"/>
      <c r="Y149" s="33"/>
      <c r="Z149" s="33"/>
      <c r="AA149" s="181"/>
      <c r="AB149" s="33"/>
      <c r="AC149" s="181"/>
      <c r="AD149" s="181"/>
      <c r="AE149" s="33"/>
      <c r="AF149" s="33"/>
      <c r="AG149" s="33"/>
      <c r="AH149" s="33"/>
      <c r="AI149" s="33"/>
      <c r="AJ149" s="181"/>
      <c r="AK149" s="33"/>
    </row>
    <row r="150" spans="1:37" ht="12.75" customHeight="1">
      <c r="A150" s="33">
        <f>IF(ISERROR(VLOOKUP(RANK(H150,$H$2:$H$331),$A$2:A149,1,0)),RANK(H150,$H$2:$H$331),IF(ISERROR(VLOOKUP((RANK(H150,$H$2:$H$331)+1),$A$2:A149,1,0)),(RANK(H150,$H$2:$H$331)+1),(RANK(H150,$H$2:$H$331)+2)))</f>
        <v>297</v>
      </c>
      <c r="B150" s="33">
        <f>Cheatsheet!M81</f>
        <v>79</v>
      </c>
      <c r="C150" s="33" t="str">
        <f>Cheatsheet!N81</f>
        <v/>
      </c>
      <c r="D150" s="33" t="str">
        <f>Cheatsheet!O81</f>
        <v>Mikel Leshoure</v>
      </c>
      <c r="E150" s="33" t="str">
        <f>Cheatsheet!P81</f>
        <v>DET</v>
      </c>
      <c r="F150" s="33">
        <f>Cheatsheet!Q81</f>
        <v>9</v>
      </c>
      <c r="G150" s="70">
        <f>Cheatsheet!R81</f>
        <v>33.6</v>
      </c>
      <c r="H150" s="70">
        <f>Cheatsheet!S81</f>
        <v>-171.59393939393937</v>
      </c>
      <c r="I150" s="33" t="s">
        <v>2</v>
      </c>
      <c r="J150" s="33"/>
      <c r="K150" s="181"/>
      <c r="L150" s="181"/>
      <c r="M150" s="33"/>
      <c r="N150" s="33"/>
      <c r="O150" s="33"/>
      <c r="P150" s="33"/>
      <c r="Q150" s="33"/>
      <c r="R150" s="181"/>
      <c r="S150" s="33"/>
      <c r="T150" s="181"/>
      <c r="U150" s="181"/>
      <c r="V150" s="33"/>
      <c r="W150" s="33"/>
      <c r="X150" s="33"/>
      <c r="Y150" s="33"/>
      <c r="Z150" s="33"/>
      <c r="AA150" s="181"/>
      <c r="AB150" s="33"/>
      <c r="AC150" s="181"/>
      <c r="AD150" s="181"/>
      <c r="AE150" s="33"/>
      <c r="AF150" s="33"/>
      <c r="AG150" s="33"/>
      <c r="AH150" s="33"/>
      <c r="AI150" s="33"/>
      <c r="AJ150" s="181"/>
      <c r="AK150" s="33"/>
    </row>
    <row r="151" spans="1:37" ht="12.75" customHeight="1">
      <c r="A151" s="33">
        <f>IF(ISERROR(VLOOKUP(RANK(H151,$H$2:$H$331),$A$2:A150,1,0)),RANK(H151,$H$2:$H$331),IF(ISERROR(VLOOKUP((RANK(H151,$H$2:$H$331)+1),$A$2:A150,1,0)),(RANK(H151,$H$2:$H$331)+1),(RANK(H151,$H$2:$H$331)+2)))</f>
        <v>298</v>
      </c>
      <c r="B151" s="33">
        <f>Cheatsheet!M82</f>
        <v>80</v>
      </c>
      <c r="C151" s="33" t="str">
        <f>Cheatsheet!N82</f>
        <v/>
      </c>
      <c r="D151" s="33" t="str">
        <f>Cheatsheet!O82</f>
        <v>Chris Polk</v>
      </c>
      <c r="E151" s="33" t="str">
        <f>Cheatsheet!P82</f>
        <v>PHI</v>
      </c>
      <c r="F151" s="33">
        <f>Cheatsheet!Q82</f>
        <v>7</v>
      </c>
      <c r="G151" s="70">
        <f>Cheatsheet!R82</f>
        <v>33.4</v>
      </c>
      <c r="H151" s="70">
        <f>Cheatsheet!S82</f>
        <v>-171.79393939393935</v>
      </c>
      <c r="I151" s="33" t="s">
        <v>2</v>
      </c>
      <c r="J151" s="33"/>
      <c r="K151" s="181"/>
      <c r="L151" s="181"/>
      <c r="M151" s="33"/>
      <c r="N151" s="33"/>
      <c r="O151" s="33"/>
      <c r="P151" s="33"/>
      <c r="Q151" s="33"/>
      <c r="R151" s="181"/>
      <c r="S151" s="33"/>
      <c r="T151" s="181"/>
      <c r="U151" s="181"/>
      <c r="V151" s="33"/>
      <c r="W151" s="33"/>
      <c r="X151" s="33"/>
      <c r="Y151" s="33"/>
      <c r="Z151" s="33"/>
      <c r="AA151" s="181"/>
      <c r="AB151" s="33"/>
      <c r="AC151" s="181"/>
      <c r="AD151" s="181"/>
      <c r="AE151" s="33"/>
      <c r="AF151" s="33"/>
      <c r="AG151" s="33"/>
      <c r="AH151" s="33"/>
      <c r="AI151" s="33"/>
      <c r="AJ151" s="181"/>
      <c r="AK151" s="33"/>
    </row>
    <row r="152" spans="1:37" ht="12.75" customHeight="1">
      <c r="A152" s="33">
        <f>IF(ISERROR(VLOOKUP(RANK(H152,$H$2:$H$331),$A$2:A151,1,0)),RANK(H152,$H$2:$H$331),IF(ISERROR(VLOOKUP((RANK(H152,$H$2:$H$331)+1),$A$2:A151,1,0)),(RANK(H152,$H$2:$H$331)+1),(RANK(H152,$H$2:$H$331)+2)))</f>
        <v>299</v>
      </c>
      <c r="B152" s="33">
        <f>Cheatsheet!M83</f>
        <v>81</v>
      </c>
      <c r="C152" s="33" t="str">
        <f>Cheatsheet!N83</f>
        <v/>
      </c>
      <c r="D152" s="33" t="str">
        <f>Cheatsheet!O83</f>
        <v>Jonathan Dwyer</v>
      </c>
      <c r="E152" s="33" t="str">
        <f>Cheatsheet!P83</f>
        <v>ARI</v>
      </c>
      <c r="F152" s="33">
        <f>Cheatsheet!Q83</f>
        <v>4</v>
      </c>
      <c r="G152" s="70">
        <f>Cheatsheet!R83</f>
        <v>31.2</v>
      </c>
      <c r="H152" s="70">
        <f>Cheatsheet!S83</f>
        <v>-173.99393939393937</v>
      </c>
      <c r="I152" s="33" t="s">
        <v>2</v>
      </c>
      <c r="J152" s="33"/>
      <c r="K152" s="181"/>
      <c r="L152" s="181"/>
      <c r="M152" s="33"/>
      <c r="N152" s="33"/>
      <c r="O152" s="33"/>
      <c r="P152" s="33"/>
      <c r="Q152" s="33"/>
      <c r="R152" s="181"/>
      <c r="S152" s="33"/>
      <c r="T152" s="181"/>
      <c r="U152" s="181"/>
      <c r="V152" s="33"/>
      <c r="W152" s="33"/>
      <c r="X152" s="33"/>
      <c r="Y152" s="33"/>
      <c r="Z152" s="33"/>
      <c r="AA152" s="181"/>
      <c r="AB152" s="33"/>
      <c r="AC152" s="181"/>
      <c r="AD152" s="181"/>
      <c r="AE152" s="33"/>
      <c r="AF152" s="33"/>
      <c r="AG152" s="33"/>
      <c r="AH152" s="33"/>
      <c r="AI152" s="33"/>
      <c r="AJ152" s="181"/>
      <c r="AK152" s="33"/>
    </row>
    <row r="153" spans="1:37" ht="12.75" customHeight="1">
      <c r="A153" s="33">
        <f>IF(ISERROR(VLOOKUP(RANK(H153,$H$2:$H$331),$A$2:A152,1,0)),RANK(H153,$H$2:$H$331),IF(ISERROR(VLOOKUP((RANK(H153,$H$2:$H$331)+1),$A$2:A152,1,0)),(RANK(H153,$H$2:$H$331)+1),(RANK(H153,$H$2:$H$331)+2)))</f>
        <v>300</v>
      </c>
      <c r="B153" s="33">
        <f>Cheatsheet!M84</f>
        <v>82</v>
      </c>
      <c r="C153" s="33" t="str">
        <f>Cheatsheet!N84</f>
        <v/>
      </c>
      <c r="D153" s="33" t="str">
        <f>Cheatsheet!O84</f>
        <v>De'Anthony Thomas</v>
      </c>
      <c r="E153" s="33" t="str">
        <f>Cheatsheet!P84</f>
        <v>KC</v>
      </c>
      <c r="F153" s="33">
        <f>Cheatsheet!Q84</f>
        <v>6</v>
      </c>
      <c r="G153" s="70">
        <f>Cheatsheet!R84</f>
        <v>30.8</v>
      </c>
      <c r="H153" s="70">
        <f>Cheatsheet!S84</f>
        <v>-174.39393939393935</v>
      </c>
      <c r="I153" s="33" t="s">
        <v>2</v>
      </c>
      <c r="J153" s="33"/>
      <c r="K153" s="181"/>
      <c r="L153" s="181"/>
      <c r="M153" s="33"/>
      <c r="N153" s="33"/>
      <c r="O153" s="33"/>
      <c r="P153" s="33"/>
      <c r="Q153" s="33"/>
      <c r="R153" s="181"/>
      <c r="S153" s="33"/>
      <c r="T153" s="181"/>
      <c r="U153" s="181"/>
      <c r="V153" s="33"/>
      <c r="W153" s="33"/>
      <c r="X153" s="33"/>
      <c r="Y153" s="33"/>
      <c r="Z153" s="33"/>
      <c r="AA153" s="181"/>
      <c r="AB153" s="33"/>
      <c r="AC153" s="181"/>
      <c r="AD153" s="181"/>
      <c r="AE153" s="33"/>
      <c r="AF153" s="33"/>
      <c r="AG153" s="33"/>
      <c r="AH153" s="33"/>
      <c r="AI153" s="33"/>
      <c r="AJ153" s="181"/>
      <c r="AK153" s="33"/>
    </row>
    <row r="154" spans="1:37" ht="12.75" customHeight="1">
      <c r="A154" s="33">
        <f>IF(ISERROR(VLOOKUP(RANK(H154,$H$2:$H$331),$A$2:A153,1,0)),RANK(H154,$H$2:$H$331),IF(ISERROR(VLOOKUP((RANK(H154,$H$2:$H$331)+1),$A$2:A153,1,0)),(RANK(H154,$H$2:$H$331)+1),(RANK(H154,$H$2:$H$331)+2)))</f>
        <v>301</v>
      </c>
      <c r="B154" s="33">
        <f>Cheatsheet!M85</f>
        <v>83</v>
      </c>
      <c r="C154" s="33" t="str">
        <f>Cheatsheet!N85</f>
        <v/>
      </c>
      <c r="D154" s="33" t="str">
        <f>Cheatsheet!O85</f>
        <v>BenJarvus Green-Ellis</v>
      </c>
      <c r="E154" s="33" t="str">
        <f>Cheatsheet!P85</f>
        <v>CIN</v>
      </c>
      <c r="F154" s="33">
        <f>Cheatsheet!Q85</f>
        <v>4</v>
      </c>
      <c r="G154" s="70">
        <f>Cheatsheet!R85</f>
        <v>30.4</v>
      </c>
      <c r="H154" s="70">
        <f>Cheatsheet!S85</f>
        <v>-174.79393939393935</v>
      </c>
      <c r="I154" s="33" t="s">
        <v>2</v>
      </c>
      <c r="J154" s="33"/>
      <c r="K154" s="181"/>
      <c r="L154" s="181"/>
      <c r="M154" s="33"/>
      <c r="N154" s="33"/>
      <c r="O154" s="33"/>
      <c r="P154" s="33"/>
      <c r="Q154" s="33"/>
      <c r="R154" s="181"/>
      <c r="S154" s="33"/>
      <c r="T154" s="181"/>
      <c r="U154" s="181"/>
      <c r="V154" s="33"/>
      <c r="W154" s="33"/>
      <c r="X154" s="33"/>
      <c r="Y154" s="33"/>
      <c r="Z154" s="33"/>
      <c r="AA154" s="181"/>
      <c r="AB154" s="33"/>
      <c r="AC154" s="181"/>
      <c r="AD154" s="181"/>
      <c r="AE154" s="33"/>
      <c r="AF154" s="33"/>
      <c r="AG154" s="33"/>
      <c r="AH154" s="33"/>
      <c r="AI154" s="33"/>
      <c r="AJ154" s="181"/>
      <c r="AK154" s="33"/>
    </row>
    <row r="155" spans="1:37" ht="12.75" customHeight="1">
      <c r="A155" s="33">
        <f>IF(ISERROR(VLOOKUP(RANK(H155,$H$2:$H$331),$A$2:A154,1,0)),RANK(H155,$H$2:$H$331),IF(ISERROR(VLOOKUP((RANK(H155,$H$2:$H$331)+1),$A$2:A154,1,0)),(RANK(H155,$H$2:$H$331)+1),(RANK(H155,$H$2:$H$331)+2)))</f>
        <v>302</v>
      </c>
      <c r="B155" s="33">
        <f>Cheatsheet!M86</f>
        <v>84</v>
      </c>
      <c r="C155" s="33" t="str">
        <f>Cheatsheet!N86</f>
        <v/>
      </c>
      <c r="D155" s="33" t="str">
        <f>Cheatsheet!O86</f>
        <v>Denard Robinson</v>
      </c>
      <c r="E155" s="33" t="str">
        <f>Cheatsheet!P86</f>
        <v>JAC</v>
      </c>
      <c r="F155" s="33">
        <f>Cheatsheet!Q86</f>
        <v>11</v>
      </c>
      <c r="G155" s="70">
        <f>Cheatsheet!R86</f>
        <v>30.4</v>
      </c>
      <c r="H155" s="70">
        <f>Cheatsheet!S86</f>
        <v>-174.79393939393935</v>
      </c>
      <c r="I155" s="33" t="s">
        <v>2</v>
      </c>
      <c r="J155" s="33"/>
      <c r="K155" s="181"/>
      <c r="L155" s="181"/>
      <c r="M155" s="33"/>
      <c r="N155" s="33"/>
      <c r="O155" s="33"/>
      <c r="P155" s="33"/>
      <c r="Q155" s="33"/>
      <c r="R155" s="181"/>
      <c r="S155" s="33"/>
      <c r="T155" s="181"/>
      <c r="U155" s="181"/>
      <c r="V155" s="33"/>
      <c r="W155" s="33"/>
      <c r="X155" s="33"/>
      <c r="Y155" s="33"/>
      <c r="Z155" s="33"/>
      <c r="AA155" s="181"/>
      <c r="AB155" s="33"/>
      <c r="AC155" s="181"/>
      <c r="AD155" s="181"/>
      <c r="AE155" s="33"/>
      <c r="AF155" s="33"/>
      <c r="AG155" s="33"/>
      <c r="AH155" s="33"/>
      <c r="AI155" s="33"/>
      <c r="AJ155" s="181"/>
      <c r="AK155" s="33"/>
    </row>
    <row r="156" spans="1:37" ht="12.75" customHeight="1">
      <c r="A156" s="33">
        <f>IF(ISERROR(VLOOKUP(RANK(H156,$H$2:$H$331),$A$2:A155,1,0)),RANK(H156,$H$2:$H$331),IF(ISERROR(VLOOKUP((RANK(H156,$H$2:$H$331)+1),$A$2:A155,1,0)),(RANK(H156,$H$2:$H$331)+1),(RANK(H156,$H$2:$H$331)+2)))</f>
        <v>303</v>
      </c>
      <c r="B156" s="33">
        <f>Cheatsheet!M87</f>
        <v>85</v>
      </c>
      <c r="C156" s="33" t="str">
        <f>Cheatsheet!N87</f>
        <v/>
      </c>
      <c r="D156" s="33" t="str">
        <f>Cheatsheet!O87</f>
        <v>Ronnie Brown</v>
      </c>
      <c r="E156" s="33" t="str">
        <f>Cheatsheet!P87</f>
        <v>SD</v>
      </c>
      <c r="F156" s="33">
        <f>Cheatsheet!Q87</f>
        <v>10</v>
      </c>
      <c r="G156" s="70">
        <f>Cheatsheet!R87</f>
        <v>29.9</v>
      </c>
      <c r="H156" s="70">
        <f>Cheatsheet!S87</f>
        <v>-175.29393939393935</v>
      </c>
      <c r="I156" s="33" t="s">
        <v>2</v>
      </c>
      <c r="J156" s="33"/>
      <c r="K156" s="181"/>
      <c r="L156" s="181"/>
      <c r="M156" s="33"/>
      <c r="N156" s="33"/>
      <c r="O156" s="33"/>
      <c r="P156" s="33"/>
      <c r="Q156" s="33"/>
      <c r="R156" s="181"/>
      <c r="S156" s="33"/>
      <c r="T156" s="181"/>
      <c r="U156" s="181"/>
      <c r="V156" s="33"/>
      <c r="W156" s="33"/>
      <c r="X156" s="33"/>
      <c r="Y156" s="33"/>
      <c r="Z156" s="33"/>
      <c r="AA156" s="181"/>
      <c r="AB156" s="33"/>
      <c r="AC156" s="181"/>
      <c r="AD156" s="181"/>
      <c r="AE156" s="33"/>
      <c r="AF156" s="33"/>
      <c r="AG156" s="33"/>
      <c r="AH156" s="33"/>
      <c r="AI156" s="33"/>
      <c r="AJ156" s="181"/>
      <c r="AK156" s="33"/>
    </row>
    <row r="157" spans="1:37" ht="12.75" customHeight="1">
      <c r="A157" s="33">
        <f>IF(ISERROR(VLOOKUP(RANK(H157,$H$2:$H$331),$A$2:A156,1,0)),RANK(H157,$H$2:$H$331),IF(ISERROR(VLOOKUP((RANK(H157,$H$2:$H$331)+1),$A$2:A156,1,0)),(RANK(H157,$H$2:$H$331)+1),(RANK(H157,$H$2:$H$331)+2)))</f>
        <v>304</v>
      </c>
      <c r="B157" s="33">
        <f>Cheatsheet!M88</f>
        <v>86</v>
      </c>
      <c r="C157" s="33" t="str">
        <f>Cheatsheet!N88</f>
        <v/>
      </c>
      <c r="D157" s="33" t="str">
        <f>Cheatsheet!O88</f>
        <v>Peyton Hillis</v>
      </c>
      <c r="E157" s="33" t="str">
        <f>Cheatsheet!P88</f>
        <v>NYG</v>
      </c>
      <c r="F157" s="33">
        <f>Cheatsheet!Q88</f>
        <v>8</v>
      </c>
      <c r="G157" s="70">
        <f>Cheatsheet!R88</f>
        <v>28.8</v>
      </c>
      <c r="H157" s="70">
        <f>Cheatsheet!S88</f>
        <v>-176.39393939393935</v>
      </c>
      <c r="I157" s="33" t="s">
        <v>2</v>
      </c>
      <c r="J157" s="33"/>
      <c r="K157" s="181"/>
      <c r="L157" s="181"/>
      <c r="M157" s="33"/>
      <c r="N157" s="33"/>
      <c r="O157" s="33"/>
      <c r="P157" s="33"/>
      <c r="Q157" s="33"/>
      <c r="R157" s="181"/>
      <c r="S157" s="33"/>
      <c r="T157" s="181"/>
      <c r="U157" s="181"/>
      <c r="V157" s="33"/>
      <c r="W157" s="33"/>
      <c r="X157" s="33"/>
      <c r="Y157" s="33"/>
      <c r="Z157" s="33"/>
      <c r="AA157" s="181"/>
      <c r="AB157" s="33"/>
      <c r="AC157" s="181"/>
      <c r="AD157" s="181"/>
      <c r="AE157" s="33"/>
      <c r="AF157" s="33"/>
      <c r="AG157" s="33"/>
      <c r="AH157" s="33"/>
      <c r="AI157" s="33"/>
      <c r="AJ157" s="181"/>
      <c r="AK157" s="33"/>
    </row>
    <row r="158" spans="1:37" ht="12.75" customHeight="1">
      <c r="A158" s="33">
        <f>IF(ISERROR(VLOOKUP(RANK(H158,$H$2:$H$331),$A$2:A157,1,0)),RANK(H158,$H$2:$H$331),IF(ISERROR(VLOOKUP((RANK(H158,$H$2:$H$331)+1),$A$2:A157,1,0)),(RANK(H158,$H$2:$H$331)+1),(RANK(H158,$H$2:$H$331)+2)))</f>
        <v>305</v>
      </c>
      <c r="B158" s="33">
        <f>Cheatsheet!M89</f>
        <v>87</v>
      </c>
      <c r="C158" s="33" t="str">
        <f>Cheatsheet!N89</f>
        <v/>
      </c>
      <c r="D158" s="33" t="str">
        <f>Cheatsheet!O89</f>
        <v>Daniel Thomas</v>
      </c>
      <c r="E158" s="33" t="str">
        <f>Cheatsheet!P89</f>
        <v>MIA</v>
      </c>
      <c r="F158" s="33">
        <f>Cheatsheet!Q89</f>
        <v>5</v>
      </c>
      <c r="G158" s="70">
        <f>Cheatsheet!R89</f>
        <v>28.7</v>
      </c>
      <c r="H158" s="70">
        <f>Cheatsheet!S89</f>
        <v>-176.49393939393937</v>
      </c>
      <c r="I158" s="33" t="s">
        <v>2</v>
      </c>
      <c r="J158" s="33"/>
      <c r="K158" s="181"/>
      <c r="L158" s="181"/>
      <c r="M158" s="33"/>
      <c r="N158" s="33"/>
      <c r="O158" s="33"/>
      <c r="P158" s="33"/>
      <c r="Q158" s="33"/>
      <c r="R158" s="181"/>
      <c r="S158" s="33"/>
      <c r="T158" s="181"/>
      <c r="U158" s="181"/>
      <c r="V158" s="33"/>
      <c r="W158" s="33"/>
      <c r="X158" s="33"/>
      <c r="Y158" s="33"/>
      <c r="Z158" s="33"/>
      <c r="AA158" s="181"/>
      <c r="AB158" s="33"/>
      <c r="AC158" s="181"/>
      <c r="AD158" s="181"/>
      <c r="AE158" s="33"/>
      <c r="AF158" s="33"/>
      <c r="AG158" s="33"/>
      <c r="AH158" s="33"/>
      <c r="AI158" s="33"/>
      <c r="AJ158" s="181"/>
      <c r="AK158" s="33"/>
    </row>
    <row r="159" spans="1:37" ht="12.75" customHeight="1">
      <c r="A159" s="33">
        <f>IF(ISERROR(VLOOKUP(RANK(H159,$H$2:$H$331),$A$2:A158,1,0)),RANK(H159,$H$2:$H$331),IF(ISERROR(VLOOKUP((RANK(H159,$H$2:$H$331)+1),$A$2:A158,1,0)),(RANK(H159,$H$2:$H$331)+1),(RANK(H159,$H$2:$H$331)+2)))</f>
        <v>306</v>
      </c>
      <c r="B159" s="33">
        <f>Cheatsheet!M90</f>
        <v>88</v>
      </c>
      <c r="C159" s="33" t="str">
        <f>Cheatsheet!N90</f>
        <v/>
      </c>
      <c r="D159" s="33" t="str">
        <f>Cheatsheet!O90</f>
        <v>Marcus Lattimore</v>
      </c>
      <c r="E159" s="33" t="str">
        <f>Cheatsheet!P90</f>
        <v>SF</v>
      </c>
      <c r="F159" s="33">
        <f>Cheatsheet!Q90</f>
        <v>8</v>
      </c>
      <c r="G159" s="70">
        <f>Cheatsheet!R90</f>
        <v>27.3</v>
      </c>
      <c r="H159" s="70">
        <f>Cheatsheet!S90</f>
        <v>-177.89393939393935</v>
      </c>
      <c r="I159" s="33" t="s">
        <v>2</v>
      </c>
      <c r="J159" s="33"/>
      <c r="K159" s="181"/>
      <c r="L159" s="181"/>
      <c r="M159" s="33"/>
      <c r="N159" s="33"/>
      <c r="O159" s="33"/>
      <c r="P159" s="33"/>
      <c r="Q159" s="33"/>
      <c r="R159" s="181"/>
      <c r="S159" s="33"/>
      <c r="T159" s="181"/>
      <c r="U159" s="181"/>
      <c r="V159" s="33"/>
      <c r="W159" s="33"/>
      <c r="X159" s="33"/>
      <c r="Y159" s="33"/>
      <c r="Z159" s="33"/>
      <c r="AA159" s="181"/>
      <c r="AB159" s="33"/>
      <c r="AC159" s="181"/>
      <c r="AD159" s="181"/>
      <c r="AE159" s="33"/>
      <c r="AF159" s="33"/>
      <c r="AG159" s="33"/>
      <c r="AH159" s="33"/>
      <c r="AI159" s="33"/>
      <c r="AJ159" s="181"/>
      <c r="AK159" s="33"/>
    </row>
    <row r="160" spans="1:37" ht="12.75" customHeight="1">
      <c r="A160" s="33">
        <f>IF(ISERROR(VLOOKUP(RANK(H160,$H$2:$H$331),$A$2:A159,1,0)),RANK(H160,$H$2:$H$331),IF(ISERROR(VLOOKUP((RANK(H160,$H$2:$H$331)+1),$A$2:A159,1,0)),(RANK(H160,$H$2:$H$331)+1),(RANK(H160,$H$2:$H$331)+2)))</f>
        <v>307</v>
      </c>
      <c r="B160" s="33">
        <f>Cheatsheet!M91</f>
        <v>89</v>
      </c>
      <c r="C160" s="33" t="str">
        <f>Cheatsheet!N91</f>
        <v/>
      </c>
      <c r="D160" s="33" t="str">
        <f>Cheatsheet!O91</f>
        <v>Mike James</v>
      </c>
      <c r="E160" s="33" t="str">
        <f>Cheatsheet!P91</f>
        <v>TB</v>
      </c>
      <c r="F160" s="33">
        <f>Cheatsheet!Q91</f>
        <v>7</v>
      </c>
      <c r="G160" s="70">
        <f>Cheatsheet!R91</f>
        <v>27.1</v>
      </c>
      <c r="H160" s="70">
        <f>Cheatsheet!S91</f>
        <v>-178.09393939393937</v>
      </c>
      <c r="I160" s="33" t="s">
        <v>2</v>
      </c>
      <c r="J160" s="33"/>
      <c r="K160" s="181"/>
      <c r="L160" s="181"/>
      <c r="M160" s="33"/>
      <c r="N160" s="33"/>
      <c r="O160" s="33"/>
      <c r="P160" s="33"/>
      <c r="Q160" s="33"/>
      <c r="R160" s="181"/>
      <c r="S160" s="33"/>
      <c r="T160" s="181"/>
      <c r="U160" s="181"/>
      <c r="V160" s="33"/>
      <c r="W160" s="33"/>
      <c r="X160" s="33"/>
      <c r="Y160" s="33"/>
      <c r="Z160" s="33"/>
      <c r="AA160" s="181"/>
      <c r="AB160" s="33"/>
      <c r="AC160" s="181"/>
      <c r="AD160" s="181"/>
      <c r="AE160" s="33"/>
      <c r="AF160" s="33"/>
      <c r="AG160" s="33"/>
      <c r="AH160" s="33"/>
      <c r="AI160" s="33"/>
      <c r="AJ160" s="181"/>
      <c r="AK160" s="33"/>
    </row>
    <row r="161" spans="1:37" ht="12.75" customHeight="1">
      <c r="A161" s="33">
        <f>IF(ISERROR(VLOOKUP(RANK(H161,$H$2:$H$331),$A$2:A160,1,0)),RANK(H161,$H$2:$H$331),IF(ISERROR(VLOOKUP((RANK(H161,$H$2:$H$331)+1),$A$2:A160,1,0)),(RANK(H161,$H$2:$H$331)+1),(RANK(H161,$H$2:$H$331)+2)))</f>
        <v>308</v>
      </c>
      <c r="B161" s="33">
        <f>Cheatsheet!M92</f>
        <v>90</v>
      </c>
      <c r="C161" s="33" t="str">
        <f>Cheatsheet!N92</f>
        <v/>
      </c>
      <c r="D161" s="33" t="str">
        <f>Cheatsheet!O92</f>
        <v>Isaiah Crowell</v>
      </c>
      <c r="E161" s="33" t="str">
        <f>Cheatsheet!P92</f>
        <v>CLE</v>
      </c>
      <c r="F161" s="33">
        <f>Cheatsheet!Q92</f>
        <v>4</v>
      </c>
      <c r="G161" s="70">
        <f>Cheatsheet!R92</f>
        <v>26.9</v>
      </c>
      <c r="H161" s="70">
        <f>Cheatsheet!S92</f>
        <v>-178.29393939393935</v>
      </c>
      <c r="I161" s="33" t="s">
        <v>2</v>
      </c>
      <c r="J161" s="33"/>
      <c r="K161" s="181"/>
      <c r="L161" s="181"/>
      <c r="M161" s="33"/>
      <c r="N161" s="33"/>
      <c r="O161" s="33"/>
      <c r="P161" s="33"/>
      <c r="Q161" s="33"/>
      <c r="R161" s="181"/>
      <c r="S161" s="33"/>
      <c r="T161" s="181"/>
      <c r="U161" s="181"/>
      <c r="V161" s="33"/>
      <c r="W161" s="33"/>
      <c r="X161" s="33"/>
      <c r="Y161" s="33"/>
      <c r="Z161" s="33"/>
      <c r="AA161" s="181"/>
      <c r="AB161" s="33"/>
      <c r="AC161" s="181"/>
      <c r="AD161" s="181"/>
      <c r="AE161" s="33"/>
      <c r="AF161" s="33"/>
      <c r="AG161" s="33"/>
      <c r="AH161" s="33"/>
      <c r="AI161" s="33"/>
      <c r="AJ161" s="181"/>
      <c r="AK161" s="33"/>
    </row>
    <row r="162" spans="1:37" ht="12.75" customHeight="1">
      <c r="A162" s="33">
        <f>IF(ISERROR(VLOOKUP(RANK(H162,$H$2:$H$331),$A$2:A161,1,0)),RANK(H162,$H$2:$H$331),IF(ISERROR(VLOOKUP((RANK(H162,$H$2:$H$331)+1),$A$2:A161,1,0)),(RANK(H162,$H$2:$H$331)+1),(RANK(H162,$H$2:$H$331)+2)))</f>
        <v>309</v>
      </c>
      <c r="B162" s="33">
        <f>Cheatsheet!M93</f>
        <v>91</v>
      </c>
      <c r="C162" s="33" t="str">
        <f>Cheatsheet!N93</f>
        <v/>
      </c>
      <c r="D162" s="33" t="str">
        <f>Cheatsheet!O93</f>
        <v>Benny Cunningham</v>
      </c>
      <c r="E162" s="33" t="str">
        <f>Cheatsheet!P93</f>
        <v>STL</v>
      </c>
      <c r="F162" s="33">
        <f>Cheatsheet!Q93</f>
        <v>4</v>
      </c>
      <c r="G162" s="70">
        <f>Cheatsheet!R93</f>
        <v>26</v>
      </c>
      <c r="H162" s="70">
        <f>Cheatsheet!S93</f>
        <v>-179.19393939393936</v>
      </c>
      <c r="I162" s="33" t="s">
        <v>2</v>
      </c>
      <c r="J162" s="33"/>
      <c r="K162" s="181"/>
      <c r="L162" s="181"/>
      <c r="M162" s="33"/>
      <c r="N162" s="33"/>
      <c r="O162" s="33"/>
      <c r="P162" s="33"/>
      <c r="Q162" s="33"/>
      <c r="R162" s="181"/>
      <c r="S162" s="33"/>
      <c r="T162" s="181"/>
      <c r="U162" s="181"/>
      <c r="V162" s="33"/>
      <c r="W162" s="33"/>
      <c r="X162" s="33"/>
      <c r="Y162" s="33"/>
      <c r="Z162" s="33"/>
      <c r="AA162" s="181"/>
      <c r="AB162" s="33"/>
      <c r="AC162" s="181"/>
      <c r="AD162" s="181"/>
      <c r="AE162" s="33"/>
      <c r="AF162" s="33"/>
      <c r="AG162" s="33"/>
      <c r="AH162" s="33"/>
      <c r="AI162" s="33"/>
      <c r="AJ162" s="181"/>
      <c r="AK162" s="33"/>
    </row>
    <row r="163" spans="1:37" ht="12.75" customHeight="1">
      <c r="A163" s="33">
        <f>IF(ISERROR(VLOOKUP(RANK(H163,$H$2:$H$331),$A$2:A162,1,0)),RANK(H163,$H$2:$H$331),IF(ISERROR(VLOOKUP((RANK(H163,$H$2:$H$331)+1),$A$2:A162,1,0)),(RANK(H163,$H$2:$H$331)+1),(RANK(H163,$H$2:$H$331)+2)))</f>
        <v>310</v>
      </c>
      <c r="B163" s="33">
        <f>Cheatsheet!M94</f>
        <v>92</v>
      </c>
      <c r="C163" s="33" t="str">
        <f>Cheatsheet!N94</f>
        <v/>
      </c>
      <c r="D163" s="33" t="str">
        <f>Cheatsheet!O94</f>
        <v>Matt Asiata</v>
      </c>
      <c r="E163" s="33" t="str">
        <f>Cheatsheet!P94</f>
        <v>MIN</v>
      </c>
      <c r="F163" s="33">
        <f>Cheatsheet!Q94</f>
        <v>10</v>
      </c>
      <c r="G163" s="70">
        <f>Cheatsheet!R94</f>
        <v>24.7</v>
      </c>
      <c r="H163" s="70">
        <f>Cheatsheet!S94</f>
        <v>-180.49393939393937</v>
      </c>
      <c r="I163" s="33" t="s">
        <v>2</v>
      </c>
      <c r="J163" s="33"/>
      <c r="K163" s="181"/>
      <c r="L163" s="181"/>
      <c r="M163" s="33"/>
      <c r="N163" s="33"/>
      <c r="O163" s="33"/>
      <c r="P163" s="33"/>
      <c r="Q163" s="33"/>
      <c r="R163" s="181"/>
      <c r="S163" s="33"/>
      <c r="T163" s="181"/>
      <c r="U163" s="181"/>
      <c r="V163" s="33"/>
      <c r="W163" s="33"/>
      <c r="X163" s="33"/>
      <c r="Y163" s="33"/>
      <c r="Z163" s="33"/>
      <c r="AA163" s="181"/>
      <c r="AB163" s="33"/>
      <c r="AC163" s="181"/>
      <c r="AD163" s="181"/>
      <c r="AE163" s="33"/>
      <c r="AF163" s="33"/>
      <c r="AG163" s="33"/>
      <c r="AH163" s="33"/>
      <c r="AI163" s="33"/>
      <c r="AJ163" s="181"/>
      <c r="AK163" s="33"/>
    </row>
    <row r="164" spans="1:37" ht="12.75" customHeight="1">
      <c r="A164" s="33">
        <f>IF(ISERROR(VLOOKUP(RANK(H164,$H$2:$H$331),$A$2:A163,1,0)),RANK(H164,$H$2:$H$331),IF(ISERROR(VLOOKUP((RANK(H164,$H$2:$H$331)+1),$A$2:A163,1,0)),(RANK(H164,$H$2:$H$331)+1),(RANK(H164,$H$2:$H$331)+2)))</f>
        <v>311</v>
      </c>
      <c r="B164" s="33">
        <f>Cheatsheet!M95</f>
        <v>93</v>
      </c>
      <c r="C164" s="33" t="str">
        <f>Cheatsheet!N95</f>
        <v/>
      </c>
      <c r="D164" s="33" t="str">
        <f>Cheatsheet!O95</f>
        <v>Dri Archer</v>
      </c>
      <c r="E164" s="33" t="str">
        <f>Cheatsheet!P95</f>
        <v>PIT</v>
      </c>
      <c r="F164" s="33">
        <f>Cheatsheet!Q95</f>
        <v>12</v>
      </c>
      <c r="G164" s="70">
        <f>Cheatsheet!R95</f>
        <v>24.7</v>
      </c>
      <c r="H164" s="70">
        <f>Cheatsheet!S95</f>
        <v>-180.49393939393937</v>
      </c>
      <c r="I164" s="33" t="s">
        <v>2</v>
      </c>
      <c r="J164" s="33"/>
      <c r="K164" s="181"/>
      <c r="L164" s="181"/>
      <c r="M164" s="33"/>
      <c r="N164" s="33"/>
      <c r="O164" s="33"/>
      <c r="P164" s="33"/>
      <c r="Q164" s="33"/>
      <c r="R164" s="181"/>
      <c r="S164" s="33"/>
      <c r="T164" s="181"/>
      <c r="U164" s="181"/>
      <c r="V164" s="33"/>
      <c r="W164" s="33"/>
      <c r="X164" s="33"/>
      <c r="Y164" s="33"/>
      <c r="Z164" s="33"/>
      <c r="AA164" s="181"/>
      <c r="AB164" s="33"/>
      <c r="AC164" s="181"/>
      <c r="AD164" s="181"/>
      <c r="AE164" s="33"/>
      <c r="AF164" s="33"/>
      <c r="AG164" s="33"/>
      <c r="AH164" s="33"/>
      <c r="AI164" s="33"/>
      <c r="AJ164" s="181"/>
      <c r="AK164" s="33"/>
    </row>
    <row r="165" spans="1:37" ht="12.75" customHeight="1">
      <c r="A165" s="33">
        <f>IF(ISERROR(VLOOKUP(RANK(H165,$H$2:$H$331),$A$2:A164,1,0)),RANK(H165,$H$2:$H$331),IF(ISERROR(VLOOKUP((RANK(H165,$H$2:$H$331)+1),$A$2:A164,1,0)),(RANK(H165,$H$2:$H$331)+1),(RANK(H165,$H$2:$H$331)+2)))</f>
        <v>312</v>
      </c>
      <c r="B165" s="33">
        <f>Cheatsheet!M96</f>
        <v>94</v>
      </c>
      <c r="C165" s="33" t="str">
        <f>Cheatsheet!N96</f>
        <v/>
      </c>
      <c r="D165" s="33" t="str">
        <f>Cheatsheet!O96</f>
        <v>Lache Seastrunk</v>
      </c>
      <c r="E165" s="33" t="str">
        <f>Cheatsheet!P96</f>
        <v>WSH</v>
      </c>
      <c r="F165" s="33">
        <f>Cheatsheet!Q96</f>
        <v>10</v>
      </c>
      <c r="G165" s="70">
        <f>Cheatsheet!R96</f>
        <v>23.2</v>
      </c>
      <c r="H165" s="70">
        <f>Cheatsheet!S96</f>
        <v>-181.99393939393937</v>
      </c>
      <c r="I165" s="33" t="s">
        <v>2</v>
      </c>
      <c r="J165" s="33"/>
      <c r="K165" s="181"/>
      <c r="L165" s="181"/>
      <c r="M165" s="33"/>
      <c r="N165" s="33"/>
      <c r="O165" s="33"/>
      <c r="P165" s="33"/>
      <c r="Q165" s="33"/>
      <c r="R165" s="181"/>
      <c r="S165" s="33"/>
      <c r="T165" s="181"/>
      <c r="U165" s="181"/>
      <c r="V165" s="33"/>
      <c r="W165" s="33"/>
      <c r="X165" s="33"/>
      <c r="Y165" s="33"/>
      <c r="Z165" s="33"/>
      <c r="AA165" s="181"/>
      <c r="AB165" s="33"/>
      <c r="AC165" s="181"/>
      <c r="AD165" s="181"/>
      <c r="AE165" s="33"/>
      <c r="AF165" s="33"/>
      <c r="AG165" s="33"/>
      <c r="AH165" s="33"/>
      <c r="AI165" s="33"/>
      <c r="AJ165" s="181"/>
      <c r="AK165" s="33"/>
    </row>
    <row r="166" spans="1:37" ht="12.75" customHeight="1">
      <c r="A166" s="33">
        <f>IF(ISERROR(VLOOKUP(RANK(H166,$H$2:$H$331),$A$2:A165,1,0)),RANK(H166,$H$2:$H$331),IF(ISERROR(VLOOKUP((RANK(H166,$H$2:$H$331)+1),$A$2:A165,1,0)),(RANK(H166,$H$2:$H$331)+1),(RANK(H166,$H$2:$H$331)+2)))</f>
        <v>313</v>
      </c>
      <c r="B166" s="33">
        <f>Cheatsheet!M97</f>
        <v>95</v>
      </c>
      <c r="C166" s="33" t="str">
        <f>Cheatsheet!N97</f>
        <v/>
      </c>
      <c r="D166" s="33" t="str">
        <f>Cheatsheet!O97</f>
        <v>Joseph Randle</v>
      </c>
      <c r="E166" s="33" t="str">
        <f>Cheatsheet!P97</f>
        <v>DAL</v>
      </c>
      <c r="F166" s="33">
        <f>Cheatsheet!Q97</f>
        <v>11</v>
      </c>
      <c r="G166" s="70">
        <f>Cheatsheet!R97</f>
        <v>22.7</v>
      </c>
      <c r="H166" s="70">
        <f>Cheatsheet!S97</f>
        <v>-182.49393939393937</v>
      </c>
      <c r="I166" s="33" t="s">
        <v>2</v>
      </c>
      <c r="J166" s="33"/>
      <c r="K166" s="181"/>
      <c r="L166" s="181"/>
      <c r="M166" s="33"/>
      <c r="N166" s="33"/>
      <c r="O166" s="33"/>
      <c r="P166" s="33"/>
      <c r="Q166" s="33"/>
      <c r="R166" s="181"/>
      <c r="S166" s="33"/>
      <c r="T166" s="181"/>
      <c r="U166" s="181"/>
      <c r="V166" s="33"/>
      <c r="W166" s="33"/>
      <c r="X166" s="33"/>
      <c r="Y166" s="33"/>
      <c r="Z166" s="33"/>
      <c r="AA166" s="181"/>
      <c r="AB166" s="33"/>
      <c r="AC166" s="181"/>
      <c r="AD166" s="181"/>
      <c r="AE166" s="33"/>
      <c r="AF166" s="33"/>
      <c r="AG166" s="33"/>
      <c r="AH166" s="33"/>
      <c r="AI166" s="33"/>
      <c r="AJ166" s="181"/>
      <c r="AK166" s="33"/>
    </row>
    <row r="167" spans="1:37" ht="12.75" customHeight="1">
      <c r="A167" s="33">
        <f>IF(ISERROR(VLOOKUP(RANK(H167,$H$2:$H$331),$A$2:A166,1,0)),RANK(H167,$H$2:$H$331),IF(ISERROR(VLOOKUP((RANK(H167,$H$2:$H$331)+1),$A$2:A166,1,0)),(RANK(H167,$H$2:$H$331)+1),(RANK(H167,$H$2:$H$331)+2)))</f>
        <v>314</v>
      </c>
      <c r="B167" s="33">
        <f>Cheatsheet!M98</f>
        <v>96</v>
      </c>
      <c r="C167" s="33" t="str">
        <f>Cheatsheet!N98</f>
        <v/>
      </c>
      <c r="D167" s="33" t="str">
        <f>Cheatsheet!O98</f>
        <v>Lorenzo Taliaferro</v>
      </c>
      <c r="E167" s="33" t="str">
        <f>Cheatsheet!P98</f>
        <v>BAL</v>
      </c>
      <c r="F167" s="33">
        <f>Cheatsheet!Q98</f>
        <v>11</v>
      </c>
      <c r="G167" s="70">
        <f>Cheatsheet!R98</f>
        <v>22</v>
      </c>
      <c r="H167" s="70">
        <f>Cheatsheet!S98</f>
        <v>-183.19393939393936</v>
      </c>
      <c r="I167" s="33" t="s">
        <v>2</v>
      </c>
      <c r="J167" s="33"/>
      <c r="K167" s="181"/>
      <c r="L167" s="181"/>
      <c r="M167" s="33"/>
      <c r="N167" s="33"/>
      <c r="O167" s="33"/>
      <c r="P167" s="33"/>
      <c r="Q167" s="33"/>
      <c r="R167" s="181"/>
      <c r="S167" s="33"/>
      <c r="T167" s="181"/>
      <c r="U167" s="181"/>
      <c r="V167" s="33"/>
      <c r="W167" s="33"/>
      <c r="X167" s="33"/>
      <c r="Y167" s="33"/>
      <c r="Z167" s="33"/>
      <c r="AA167" s="181"/>
      <c r="AB167" s="33"/>
      <c r="AC167" s="181"/>
      <c r="AD167" s="181"/>
      <c r="AE167" s="33"/>
      <c r="AF167" s="33"/>
      <c r="AG167" s="33"/>
      <c r="AH167" s="33"/>
      <c r="AI167" s="33"/>
      <c r="AJ167" s="181"/>
      <c r="AK167" s="33"/>
    </row>
    <row r="168" spans="1:37" ht="12.75" customHeight="1">
      <c r="A168" s="33">
        <f>IF(ISERROR(VLOOKUP(RANK(H168,$H$2:$H$331),$A$2:A167,1,0)),RANK(H168,$H$2:$H$331),IF(ISERROR(VLOOKUP((RANK(H168,$H$2:$H$331)+1),$A$2:A167,1,0)),(RANK(H168,$H$2:$H$331)+1),(RANK(H168,$H$2:$H$331)+2)))</f>
        <v>315</v>
      </c>
      <c r="B168" s="33">
        <f>Cheatsheet!M99</f>
        <v>97</v>
      </c>
      <c r="C168" s="33" t="str">
        <f>Cheatsheet!N99</f>
        <v/>
      </c>
      <c r="D168" s="33" t="str">
        <f>Cheatsheet!O99</f>
        <v>Shaun Draughn</v>
      </c>
      <c r="E168" s="33" t="str">
        <f>Cheatsheet!P99</f>
        <v>CHI</v>
      </c>
      <c r="F168" s="33">
        <f>Cheatsheet!Q99</f>
        <v>9</v>
      </c>
      <c r="G168" s="70">
        <f>Cheatsheet!R99</f>
        <v>21</v>
      </c>
      <c r="H168" s="70">
        <f>Cheatsheet!S99</f>
        <v>-184.19393939393936</v>
      </c>
      <c r="I168" s="33" t="s">
        <v>2</v>
      </c>
      <c r="J168" s="33"/>
      <c r="K168" s="181"/>
      <c r="L168" s="181"/>
      <c r="M168" s="33"/>
      <c r="N168" s="33"/>
      <c r="O168" s="33"/>
      <c r="P168" s="33"/>
      <c r="Q168" s="33"/>
      <c r="R168" s="181"/>
      <c r="S168" s="33"/>
      <c r="T168" s="181"/>
      <c r="U168" s="181"/>
      <c r="V168" s="33"/>
      <c r="W168" s="33"/>
      <c r="X168" s="33"/>
      <c r="Y168" s="33"/>
      <c r="Z168" s="33"/>
      <c r="AA168" s="181"/>
      <c r="AB168" s="33"/>
      <c r="AC168" s="181"/>
      <c r="AD168" s="181"/>
      <c r="AE168" s="33"/>
      <c r="AF168" s="33"/>
      <c r="AG168" s="33"/>
      <c r="AH168" s="33"/>
      <c r="AI168" s="33"/>
      <c r="AJ168" s="181"/>
      <c r="AK168" s="33"/>
    </row>
    <row r="169" spans="1:37" ht="12.75" customHeight="1">
      <c r="A169" s="33">
        <f>IF(ISERROR(VLOOKUP(RANK(H169,$H$2:$H$331),$A$2:A168,1,0)),RANK(H169,$H$2:$H$331),IF(ISERROR(VLOOKUP((RANK(H169,$H$2:$H$331)+1),$A$2:A168,1,0)),(RANK(H169,$H$2:$H$331)+1),(RANK(H169,$H$2:$H$331)+2)))</f>
        <v>316</v>
      </c>
      <c r="B169" s="33">
        <f>Cheatsheet!M100</f>
        <v>98</v>
      </c>
      <c r="C169" s="33" t="str">
        <f>Cheatsheet!N100</f>
        <v/>
      </c>
      <c r="D169" s="33" t="str">
        <f>Cheatsheet!O100</f>
        <v>Dion Lewis</v>
      </c>
      <c r="E169" s="33" t="str">
        <f>Cheatsheet!P100</f>
        <v>CLE</v>
      </c>
      <c r="F169" s="33">
        <f>Cheatsheet!Q100</f>
        <v>4</v>
      </c>
      <c r="G169" s="70">
        <f>Cheatsheet!R100</f>
        <v>21</v>
      </c>
      <c r="H169" s="70">
        <f>Cheatsheet!S100</f>
        <v>-184.19393939393936</v>
      </c>
      <c r="I169" s="33" t="s">
        <v>2</v>
      </c>
      <c r="J169" s="33"/>
      <c r="K169" s="181"/>
      <c r="L169" s="181"/>
      <c r="M169" s="33"/>
      <c r="N169" s="33"/>
      <c r="O169" s="33"/>
      <c r="P169" s="33"/>
      <c r="Q169" s="33"/>
      <c r="R169" s="181"/>
      <c r="S169" s="33"/>
      <c r="T169" s="181"/>
      <c r="U169" s="181"/>
      <c r="V169" s="33"/>
      <c r="W169" s="33"/>
      <c r="X169" s="33"/>
      <c r="Y169" s="33"/>
      <c r="Z169" s="33"/>
      <c r="AA169" s="181"/>
      <c r="AB169" s="33"/>
      <c r="AC169" s="181"/>
      <c r="AD169" s="181"/>
      <c r="AE169" s="33"/>
      <c r="AF169" s="33"/>
      <c r="AG169" s="33"/>
      <c r="AH169" s="33"/>
      <c r="AI169" s="33"/>
      <c r="AJ169" s="181"/>
      <c r="AK169" s="33"/>
    </row>
    <row r="170" spans="1:37" ht="12.75" customHeight="1">
      <c r="A170" s="33">
        <f>IF(ISERROR(VLOOKUP(RANK(H170,$H$2:$H$331),$A$2:A169,1,0)),RANK(H170,$H$2:$H$331),IF(ISERROR(VLOOKUP((RANK(H170,$H$2:$H$331)+1),$A$2:A169,1,0)),(RANK(H170,$H$2:$H$331)+1),(RANK(H170,$H$2:$H$331)+2)))</f>
        <v>317</v>
      </c>
      <c r="B170" s="33">
        <f>Cheatsheet!M101</f>
        <v>99</v>
      </c>
      <c r="C170" s="33" t="str">
        <f>Cheatsheet!N101</f>
        <v/>
      </c>
      <c r="D170" s="33" t="str">
        <f>Cheatsheet!O101</f>
        <v>Justin Forsett</v>
      </c>
      <c r="E170" s="33" t="str">
        <f>Cheatsheet!P101</f>
        <v>BAL</v>
      </c>
      <c r="F170" s="33">
        <f>Cheatsheet!Q101</f>
        <v>11</v>
      </c>
      <c r="G170" s="70">
        <f>Cheatsheet!R101</f>
        <v>20.9</v>
      </c>
      <c r="H170" s="70">
        <f>Cheatsheet!S101</f>
        <v>-184.29393939393935</v>
      </c>
      <c r="I170" s="33" t="s">
        <v>2</v>
      </c>
      <c r="J170" s="33"/>
      <c r="K170" s="181"/>
      <c r="L170" s="181"/>
      <c r="M170" s="33"/>
      <c r="N170" s="33"/>
      <c r="O170" s="33"/>
      <c r="P170" s="33"/>
      <c r="Q170" s="33"/>
      <c r="R170" s="181"/>
      <c r="S170" s="33"/>
      <c r="T170" s="181"/>
      <c r="U170" s="181"/>
      <c r="V170" s="33"/>
      <c r="W170" s="33"/>
      <c r="X170" s="33"/>
      <c r="Y170" s="33"/>
      <c r="Z170" s="33"/>
      <c r="AA170" s="181"/>
      <c r="AB170" s="33"/>
      <c r="AC170" s="181"/>
      <c r="AD170" s="181"/>
      <c r="AE170" s="33"/>
      <c r="AF170" s="33"/>
      <c r="AG170" s="33"/>
      <c r="AH170" s="33"/>
      <c r="AI170" s="33"/>
      <c r="AJ170" s="181"/>
      <c r="AK170" s="33"/>
    </row>
    <row r="171" spans="1:37" ht="12.75" customHeight="1">
      <c r="A171" s="33">
        <f>IF(ISERROR(VLOOKUP(RANK(H171,$H$2:$H$331),$A$2:A170,1,0)),RANK(H171,$H$2:$H$331),IF(ISERROR(VLOOKUP((RANK(H171,$H$2:$H$331)+1),$A$2:A170,1,0)),(RANK(H171,$H$2:$H$331)+1),(RANK(H171,$H$2:$H$331)+2)))</f>
        <v>318</v>
      </c>
      <c r="B171" s="33">
        <f>Cheatsheet!M102</f>
        <v>100</v>
      </c>
      <c r="C171" s="33" t="str">
        <f>Cheatsheet!N102</f>
        <v/>
      </c>
      <c r="D171" s="33" t="str">
        <f>Cheatsheet!O102</f>
        <v>Vick Ballard</v>
      </c>
      <c r="E171" s="33" t="str">
        <f>Cheatsheet!P102</f>
        <v>IND</v>
      </c>
      <c r="F171" s="33">
        <f>Cheatsheet!Q102</f>
        <v>10</v>
      </c>
      <c r="G171" s="70">
        <f>Cheatsheet!R102</f>
        <v>20.6</v>
      </c>
      <c r="H171" s="70">
        <f>Cheatsheet!S102</f>
        <v>-184.59393939393937</v>
      </c>
      <c r="I171" s="33" t="s">
        <v>2</v>
      </c>
      <c r="J171" s="33"/>
      <c r="K171" s="181"/>
      <c r="L171" s="181"/>
      <c r="M171" s="33"/>
      <c r="N171" s="33"/>
      <c r="O171" s="33"/>
      <c r="P171" s="33"/>
      <c r="Q171" s="33"/>
      <c r="R171" s="181"/>
      <c r="S171" s="33"/>
      <c r="T171" s="181"/>
      <c r="U171" s="181"/>
      <c r="V171" s="33"/>
      <c r="W171" s="33"/>
      <c r="X171" s="33"/>
      <c r="Y171" s="33"/>
      <c r="Z171" s="33"/>
      <c r="AA171" s="181"/>
      <c r="AB171" s="33"/>
      <c r="AC171" s="181"/>
      <c r="AD171" s="181"/>
      <c r="AE171" s="33"/>
      <c r="AF171" s="33"/>
      <c r="AG171" s="33"/>
      <c r="AH171" s="33"/>
      <c r="AI171" s="33"/>
      <c r="AJ171" s="181"/>
      <c r="AK171" s="33"/>
    </row>
    <row r="172" spans="1:37" ht="12.75" customHeight="1">
      <c r="A172" s="33">
        <f>IF(ISERROR(VLOOKUP(RANK(H172,$H$2:$H$331),$A$2:A171,1,0)),RANK(H172,$H$2:$H$331),IF(ISERROR(VLOOKUP((RANK(H172,$H$2:$H$331)+1),$A$2:A171,1,0)),(RANK(H172,$H$2:$H$331)+1),(RANK(H172,$H$2:$H$331)+2)))</f>
        <v>5</v>
      </c>
      <c r="B172" s="33">
        <f>Cheatsheet!Y3</f>
        <v>1</v>
      </c>
      <c r="C172" s="33" t="str">
        <f>Cheatsheet!Z3</f>
        <v/>
      </c>
      <c r="D172" s="33" t="str">
        <f>Cheatsheet!AA3</f>
        <v>Calvin Johnson</v>
      </c>
      <c r="E172" s="33" t="str">
        <f>Cheatsheet!AB3</f>
        <v>DET</v>
      </c>
      <c r="F172" s="33">
        <f>Cheatsheet!AC3</f>
        <v>9</v>
      </c>
      <c r="G172" s="70">
        <f>Cheatsheet!AD3</f>
        <v>277.89999999999998</v>
      </c>
      <c r="H172" s="70">
        <f>Cheatsheet!AE3</f>
        <v>76.860606060606074</v>
      </c>
      <c r="I172" s="33" t="s">
        <v>3</v>
      </c>
      <c r="J172" s="33"/>
      <c r="K172" s="181"/>
      <c r="L172" s="181"/>
      <c r="M172" s="33"/>
      <c r="N172" s="33"/>
      <c r="O172" s="33"/>
      <c r="P172" s="33"/>
      <c r="Q172" s="33"/>
      <c r="R172" s="181"/>
      <c r="S172" s="33"/>
      <c r="T172" s="181"/>
      <c r="U172" s="181"/>
      <c r="V172" s="33"/>
      <c r="W172" s="33"/>
      <c r="X172" s="33"/>
      <c r="Y172" s="33"/>
      <c r="Z172" s="33"/>
      <c r="AA172" s="181"/>
      <c r="AB172" s="33"/>
      <c r="AC172" s="181"/>
      <c r="AD172" s="181"/>
      <c r="AE172" s="33"/>
      <c r="AF172" s="33"/>
      <c r="AG172" s="33"/>
      <c r="AH172" s="33"/>
      <c r="AI172" s="33"/>
      <c r="AJ172" s="181"/>
      <c r="AK172" s="33"/>
    </row>
    <row r="173" spans="1:37" ht="12.75" customHeight="1">
      <c r="A173" s="33">
        <f>IF(ISERROR(VLOOKUP(RANK(H173,$H$2:$H$331),$A$2:A172,1,0)),RANK(H173,$H$2:$H$331),IF(ISERROR(VLOOKUP((RANK(H173,$H$2:$H$331)+1),$A$2:A172,1,0)),(RANK(H173,$H$2:$H$331)+1),(RANK(H173,$H$2:$H$331)+2)))</f>
        <v>9</v>
      </c>
      <c r="B173" s="33">
        <f>Cheatsheet!Y4</f>
        <v>2</v>
      </c>
      <c r="C173" s="33" t="str">
        <f>Cheatsheet!Z4</f>
        <v/>
      </c>
      <c r="D173" s="33" t="str">
        <f>Cheatsheet!AA4</f>
        <v>Demaryius Thomas</v>
      </c>
      <c r="E173" s="33" t="str">
        <f>Cheatsheet!AB4</f>
        <v>DEN</v>
      </c>
      <c r="F173" s="33">
        <f>Cheatsheet!AC4</f>
        <v>4</v>
      </c>
      <c r="G173" s="70">
        <f>Cheatsheet!AD4</f>
        <v>268.39999999999998</v>
      </c>
      <c r="H173" s="70">
        <f>Cheatsheet!AE4</f>
        <v>67.360606060606074</v>
      </c>
      <c r="I173" s="33" t="s">
        <v>3</v>
      </c>
      <c r="J173" s="33"/>
      <c r="K173" s="181"/>
      <c r="L173" s="181"/>
      <c r="M173" s="33"/>
      <c r="N173" s="33"/>
      <c r="O173" s="33"/>
      <c r="P173" s="33"/>
      <c r="Q173" s="33"/>
      <c r="R173" s="181"/>
      <c r="S173" s="33"/>
      <c r="T173" s="181"/>
      <c r="U173" s="181"/>
      <c r="V173" s="33"/>
      <c r="W173" s="33"/>
      <c r="X173" s="33"/>
      <c r="Y173" s="33"/>
      <c r="Z173" s="33"/>
      <c r="AA173" s="181"/>
      <c r="AB173" s="33"/>
      <c r="AC173" s="181"/>
      <c r="AD173" s="181"/>
      <c r="AE173" s="33"/>
      <c r="AF173" s="33"/>
      <c r="AG173" s="33"/>
      <c r="AH173" s="33"/>
      <c r="AI173" s="33"/>
      <c r="AJ173" s="181"/>
      <c r="AK173" s="33"/>
    </row>
    <row r="174" spans="1:37" ht="12.75" customHeight="1">
      <c r="A174" s="33">
        <f>IF(ISERROR(VLOOKUP(RANK(H174,$H$2:$H$331),$A$2:A173,1,0)),RANK(H174,$H$2:$H$331),IF(ISERROR(VLOOKUP((RANK(H174,$H$2:$H$331)+1),$A$2:A173,1,0)),(RANK(H174,$H$2:$H$331)+1),(RANK(H174,$H$2:$H$331)+2)))</f>
        <v>11</v>
      </c>
      <c r="B174" s="33">
        <f>Cheatsheet!Y5</f>
        <v>3</v>
      </c>
      <c r="C174" s="33" t="str">
        <f>Cheatsheet!Z5</f>
        <v/>
      </c>
      <c r="D174" s="33" t="str">
        <f>Cheatsheet!AA5</f>
        <v>Dez Bryant</v>
      </c>
      <c r="E174" s="33" t="str">
        <f>Cheatsheet!AB5</f>
        <v>DAL</v>
      </c>
      <c r="F174" s="33">
        <f>Cheatsheet!AC5</f>
        <v>11</v>
      </c>
      <c r="G174" s="70">
        <f>Cheatsheet!AD5</f>
        <v>249.7</v>
      </c>
      <c r="H174" s="70">
        <f>Cheatsheet!AE5</f>
        <v>48.660606060606085</v>
      </c>
      <c r="I174" s="33" t="s">
        <v>3</v>
      </c>
      <c r="J174" s="33"/>
      <c r="K174" s="181"/>
      <c r="L174" s="181"/>
      <c r="M174" s="33"/>
      <c r="N174" s="33"/>
      <c r="O174" s="33"/>
      <c r="P174" s="33"/>
      <c r="Q174" s="33"/>
      <c r="R174" s="181"/>
      <c r="S174" s="33"/>
      <c r="T174" s="181"/>
      <c r="U174" s="181"/>
      <c r="V174" s="33"/>
      <c r="W174" s="33"/>
      <c r="X174" s="33"/>
      <c r="Y174" s="33"/>
      <c r="Z174" s="33"/>
      <c r="AA174" s="181"/>
      <c r="AB174" s="33"/>
      <c r="AC174" s="181"/>
      <c r="AD174" s="181"/>
      <c r="AE174" s="33"/>
      <c r="AF174" s="33"/>
      <c r="AG174" s="33"/>
      <c r="AH174" s="33"/>
      <c r="AI174" s="33"/>
      <c r="AJ174" s="181"/>
      <c r="AK174" s="33"/>
    </row>
    <row r="175" spans="1:37" ht="12.75" customHeight="1">
      <c r="A175" s="33">
        <f>IF(ISERROR(VLOOKUP(RANK(H175,$H$2:$H$331),$A$2:A174,1,0)),RANK(H175,$H$2:$H$331),IF(ISERROR(VLOOKUP((RANK(H175,$H$2:$H$331)+1),$A$2:A174,1,0)),(RANK(H175,$H$2:$H$331)+1),(RANK(H175,$H$2:$H$331)+2)))</f>
        <v>12</v>
      </c>
      <c r="B175" s="33">
        <f>Cheatsheet!Y6</f>
        <v>4</v>
      </c>
      <c r="C175" s="33" t="str">
        <f>Cheatsheet!Z6</f>
        <v/>
      </c>
      <c r="D175" s="33" t="str">
        <f>Cheatsheet!AA6</f>
        <v>Julio Jones</v>
      </c>
      <c r="E175" s="33" t="str">
        <f>Cheatsheet!AB6</f>
        <v>ATL</v>
      </c>
      <c r="F175" s="33">
        <f>Cheatsheet!AC6</f>
        <v>9</v>
      </c>
      <c r="G175" s="70">
        <f>Cheatsheet!AD6</f>
        <v>247.7</v>
      </c>
      <c r="H175" s="70">
        <f>Cheatsheet!AE6</f>
        <v>46.660606060606085</v>
      </c>
      <c r="I175" s="33" t="s">
        <v>3</v>
      </c>
      <c r="J175" s="33"/>
      <c r="K175" s="181"/>
      <c r="L175" s="181"/>
      <c r="M175" s="33"/>
      <c r="N175" s="33"/>
      <c r="O175" s="33"/>
      <c r="P175" s="33"/>
      <c r="Q175" s="33"/>
      <c r="R175" s="181"/>
      <c r="S175" s="33"/>
      <c r="T175" s="181"/>
      <c r="U175" s="181"/>
      <c r="V175" s="33"/>
      <c r="W175" s="33"/>
      <c r="X175" s="33"/>
      <c r="Y175" s="33"/>
      <c r="Z175" s="33"/>
      <c r="AA175" s="181"/>
      <c r="AB175" s="33"/>
      <c r="AC175" s="181"/>
      <c r="AD175" s="181"/>
      <c r="AE175" s="33"/>
      <c r="AF175" s="33"/>
      <c r="AG175" s="33"/>
      <c r="AH175" s="33"/>
      <c r="AI175" s="33"/>
      <c r="AJ175" s="181"/>
      <c r="AK175" s="33"/>
    </row>
    <row r="176" spans="1:37" ht="12.75" customHeight="1">
      <c r="A176" s="33">
        <f>IF(ISERROR(VLOOKUP(RANK(H176,$H$2:$H$331),$A$2:A175,1,0)),RANK(H176,$H$2:$H$331),IF(ISERROR(VLOOKUP((RANK(H176,$H$2:$H$331)+1),$A$2:A175,1,0)),(RANK(H176,$H$2:$H$331)+1),(RANK(H176,$H$2:$H$331)+2)))</f>
        <v>13</v>
      </c>
      <c r="B176" s="33">
        <f>Cheatsheet!Y7</f>
        <v>5</v>
      </c>
      <c r="C176" s="33" t="str">
        <f>Cheatsheet!Z7</f>
        <v/>
      </c>
      <c r="D176" s="33" t="str">
        <f>Cheatsheet!AA7</f>
        <v>A.J. Green</v>
      </c>
      <c r="E176" s="33" t="str">
        <f>Cheatsheet!AB7</f>
        <v>CIN</v>
      </c>
      <c r="F176" s="33">
        <f>Cheatsheet!AC7</f>
        <v>4</v>
      </c>
      <c r="G176" s="70">
        <f>Cheatsheet!AD7</f>
        <v>241.3</v>
      </c>
      <c r="H176" s="70">
        <f>Cheatsheet!AE7</f>
        <v>40.260606060606108</v>
      </c>
      <c r="I176" s="33" t="s">
        <v>3</v>
      </c>
      <c r="J176" s="33"/>
      <c r="K176" s="181"/>
      <c r="L176" s="181"/>
      <c r="M176" s="33"/>
      <c r="N176" s="33"/>
      <c r="O176" s="33"/>
      <c r="P176" s="33"/>
      <c r="Q176" s="33"/>
      <c r="R176" s="181"/>
      <c r="S176" s="33"/>
      <c r="T176" s="181"/>
      <c r="U176" s="181"/>
      <c r="V176" s="33"/>
      <c r="W176" s="33"/>
      <c r="X176" s="33"/>
      <c r="Y176" s="33"/>
      <c r="Z176" s="33"/>
      <c r="AA176" s="181"/>
      <c r="AB176" s="33"/>
      <c r="AC176" s="181"/>
      <c r="AD176" s="181"/>
      <c r="AE176" s="33"/>
      <c r="AF176" s="33"/>
      <c r="AG176" s="33"/>
      <c r="AH176" s="33"/>
      <c r="AI176" s="33"/>
      <c r="AJ176" s="181"/>
      <c r="AK176" s="33"/>
    </row>
    <row r="177" spans="1:37" ht="12.75" customHeight="1">
      <c r="A177" s="33">
        <f>IF(ISERROR(VLOOKUP(RANK(H177,$H$2:$H$331),$A$2:A176,1,0)),RANK(H177,$H$2:$H$331),IF(ISERROR(VLOOKUP((RANK(H177,$H$2:$H$331)+1),$A$2:A176,1,0)),(RANK(H177,$H$2:$H$331)+1),(RANK(H177,$H$2:$H$331)+2)))</f>
        <v>14</v>
      </c>
      <c r="B177" s="33">
        <f>Cheatsheet!Y8</f>
        <v>6</v>
      </c>
      <c r="C177" s="33" t="str">
        <f>Cheatsheet!Z8</f>
        <v/>
      </c>
      <c r="D177" s="33" t="str">
        <f>Cheatsheet!AA8</f>
        <v>Antonio Brown</v>
      </c>
      <c r="E177" s="33" t="str">
        <f>Cheatsheet!AB8</f>
        <v>PIT</v>
      </c>
      <c r="F177" s="33">
        <f>Cheatsheet!AC8</f>
        <v>12</v>
      </c>
      <c r="G177" s="70">
        <f>Cheatsheet!AD8</f>
        <v>238.3</v>
      </c>
      <c r="H177" s="70">
        <f>Cheatsheet!AE8</f>
        <v>37.260606060606108</v>
      </c>
      <c r="I177" s="33" t="s">
        <v>3</v>
      </c>
      <c r="J177" s="33"/>
      <c r="K177" s="181"/>
      <c r="L177" s="181"/>
      <c r="M177" s="33"/>
      <c r="N177" s="33"/>
      <c r="O177" s="33"/>
      <c r="P177" s="33"/>
      <c r="Q177" s="33"/>
      <c r="R177" s="181"/>
      <c r="S177" s="33"/>
      <c r="T177" s="181"/>
      <c r="U177" s="181"/>
      <c r="V177" s="33"/>
      <c r="W177" s="33"/>
      <c r="X177" s="33"/>
      <c r="Y177" s="33"/>
      <c r="Z177" s="33"/>
      <c r="AA177" s="181"/>
      <c r="AB177" s="33"/>
      <c r="AC177" s="181"/>
      <c r="AD177" s="181"/>
      <c r="AE177" s="33"/>
      <c r="AF177" s="33"/>
      <c r="AG177" s="33"/>
      <c r="AH177" s="33"/>
      <c r="AI177" s="33"/>
      <c r="AJ177" s="181"/>
      <c r="AK177" s="33"/>
    </row>
    <row r="178" spans="1:37" ht="12.75" customHeight="1">
      <c r="A178" s="33">
        <f>IF(ISERROR(VLOOKUP(RANK(H178,$H$2:$H$331),$A$2:A177,1,0)),RANK(H178,$H$2:$H$331),IF(ISERROR(VLOOKUP((RANK(H178,$H$2:$H$331)+1),$A$2:A177,1,0)),(RANK(H178,$H$2:$H$331)+1),(RANK(H178,$H$2:$H$331)+2)))</f>
        <v>15</v>
      </c>
      <c r="B178" s="33">
        <f>Cheatsheet!Y9</f>
        <v>7</v>
      </c>
      <c r="C178" s="33" t="str">
        <f>Cheatsheet!Z9</f>
        <v/>
      </c>
      <c r="D178" s="33" t="str">
        <f>Cheatsheet!AA9</f>
        <v>Brandon Marshall</v>
      </c>
      <c r="E178" s="33" t="str">
        <f>Cheatsheet!AB9</f>
        <v>CHI</v>
      </c>
      <c r="F178" s="33">
        <f>Cheatsheet!AC9</f>
        <v>9</v>
      </c>
      <c r="G178" s="70">
        <f>Cheatsheet!AD9</f>
        <v>237.8</v>
      </c>
      <c r="H178" s="70">
        <f>Cheatsheet!AE9</f>
        <v>36.760606060606108</v>
      </c>
      <c r="I178" s="33" t="s">
        <v>3</v>
      </c>
      <c r="J178" s="33"/>
      <c r="K178" s="181"/>
      <c r="L178" s="181"/>
      <c r="M178" s="33"/>
      <c r="N178" s="33"/>
      <c r="O178" s="33"/>
      <c r="P178" s="33"/>
      <c r="Q178" s="33"/>
      <c r="R178" s="181"/>
      <c r="S178" s="33"/>
      <c r="T178" s="181"/>
      <c r="U178" s="181"/>
      <c r="V178" s="33"/>
      <c r="W178" s="33"/>
      <c r="X178" s="33"/>
      <c r="Y178" s="33"/>
      <c r="Z178" s="33"/>
      <c r="AA178" s="181"/>
      <c r="AB178" s="33"/>
      <c r="AC178" s="181"/>
      <c r="AD178" s="181"/>
      <c r="AE178" s="33"/>
      <c r="AF178" s="33"/>
      <c r="AG178" s="33"/>
      <c r="AH178" s="33"/>
      <c r="AI178" s="33"/>
      <c r="AJ178" s="181"/>
      <c r="AK178" s="33"/>
    </row>
    <row r="179" spans="1:37" ht="12.75" customHeight="1">
      <c r="A179" s="33">
        <f>IF(ISERROR(VLOOKUP(RANK(H179,$H$2:$H$331),$A$2:A178,1,0)),RANK(H179,$H$2:$H$331),IF(ISERROR(VLOOKUP((RANK(H179,$H$2:$H$331)+1),$A$2:A178,1,0)),(RANK(H179,$H$2:$H$331)+1),(RANK(H179,$H$2:$H$331)+2)))</f>
        <v>23</v>
      </c>
      <c r="B179" s="33">
        <f>Cheatsheet!Y10</f>
        <v>8</v>
      </c>
      <c r="C179" s="33" t="str">
        <f>Cheatsheet!Z10</f>
        <v/>
      </c>
      <c r="D179" s="33" t="str">
        <f>Cheatsheet!AA10</f>
        <v>Jordy Nelson</v>
      </c>
      <c r="E179" s="33" t="str">
        <f>Cheatsheet!AB10</f>
        <v>GB</v>
      </c>
      <c r="F179" s="33">
        <f>Cheatsheet!AC10</f>
        <v>9</v>
      </c>
      <c r="G179" s="70">
        <f>Cheatsheet!AD10</f>
        <v>223.6</v>
      </c>
      <c r="H179" s="70">
        <f>Cheatsheet!AE10</f>
        <v>22.560606060606091</v>
      </c>
      <c r="I179" s="33" t="s">
        <v>3</v>
      </c>
      <c r="J179" s="33"/>
      <c r="K179" s="181"/>
      <c r="L179" s="181"/>
      <c r="M179" s="33"/>
      <c r="N179" s="33"/>
      <c r="O179" s="33"/>
      <c r="P179" s="33"/>
      <c r="Q179" s="33"/>
      <c r="R179" s="181"/>
      <c r="S179" s="33"/>
      <c r="T179" s="181"/>
      <c r="U179" s="181"/>
      <c r="V179" s="33"/>
      <c r="W179" s="33"/>
      <c r="X179" s="33"/>
      <c r="Y179" s="33"/>
      <c r="Z179" s="33"/>
      <c r="AA179" s="181"/>
      <c r="AB179" s="33"/>
      <c r="AC179" s="181"/>
      <c r="AD179" s="181"/>
      <c r="AE179" s="33"/>
      <c r="AF179" s="33"/>
      <c r="AG179" s="33"/>
      <c r="AH179" s="33"/>
      <c r="AI179" s="33"/>
      <c r="AJ179" s="181"/>
      <c r="AK179" s="33"/>
    </row>
    <row r="180" spans="1:37" ht="12.75" customHeight="1">
      <c r="A180" s="33">
        <f>IF(ISERROR(VLOOKUP(RANK(H180,$H$2:$H$331),$A$2:A179,1,0)),RANK(H180,$H$2:$H$331),IF(ISERROR(VLOOKUP((RANK(H180,$H$2:$H$331)+1),$A$2:A179,1,0)),(RANK(H180,$H$2:$H$331)+1),(RANK(H180,$H$2:$H$331)+2)))</f>
        <v>25</v>
      </c>
      <c r="B180" s="33">
        <f>Cheatsheet!Y11</f>
        <v>9</v>
      </c>
      <c r="C180" s="33" t="str">
        <f>Cheatsheet!Z11</f>
        <v/>
      </c>
      <c r="D180" s="33" t="str">
        <f>Cheatsheet!AA11</f>
        <v>Alshon Jeffery</v>
      </c>
      <c r="E180" s="33" t="str">
        <f>Cheatsheet!AB11</f>
        <v>CHI</v>
      </c>
      <c r="F180" s="33">
        <f>Cheatsheet!AC11</f>
        <v>9</v>
      </c>
      <c r="G180" s="70">
        <f>Cheatsheet!AD11</f>
        <v>222</v>
      </c>
      <c r="H180" s="70">
        <f>Cheatsheet!AE11</f>
        <v>20.960606060606096</v>
      </c>
      <c r="I180" s="33" t="s">
        <v>3</v>
      </c>
      <c r="J180" s="33"/>
      <c r="K180" s="181"/>
      <c r="L180" s="181"/>
      <c r="M180" s="33"/>
      <c r="N180" s="33"/>
      <c r="O180" s="33"/>
      <c r="P180" s="33"/>
      <c r="Q180" s="33"/>
      <c r="R180" s="181"/>
      <c r="S180" s="33"/>
      <c r="T180" s="181"/>
      <c r="U180" s="181"/>
      <c r="V180" s="33"/>
      <c r="W180" s="33"/>
      <c r="X180" s="33"/>
      <c r="Y180" s="33"/>
      <c r="Z180" s="33"/>
      <c r="AA180" s="181"/>
      <c r="AB180" s="33"/>
      <c r="AC180" s="181"/>
      <c r="AD180" s="181"/>
      <c r="AE180" s="33"/>
      <c r="AF180" s="33"/>
      <c r="AG180" s="33"/>
      <c r="AH180" s="33"/>
      <c r="AI180" s="33"/>
      <c r="AJ180" s="181"/>
      <c r="AK180" s="33"/>
    </row>
    <row r="181" spans="1:37" ht="12.75" customHeight="1">
      <c r="A181" s="33">
        <f>IF(ISERROR(VLOOKUP(RANK(H181,$H$2:$H$331),$A$2:A180,1,0)),RANK(H181,$H$2:$H$331),IF(ISERROR(VLOOKUP((RANK(H181,$H$2:$H$331)+1),$A$2:A180,1,0)),(RANK(H181,$H$2:$H$331)+1),(RANK(H181,$H$2:$H$331)+2)))</f>
        <v>31</v>
      </c>
      <c r="B181" s="33">
        <f>Cheatsheet!Y12</f>
        <v>10</v>
      </c>
      <c r="C181" s="33" t="str">
        <f>Cheatsheet!Z12</f>
        <v/>
      </c>
      <c r="D181" s="33" t="str">
        <f>Cheatsheet!AA12</f>
        <v>Randall Cobb</v>
      </c>
      <c r="E181" s="33" t="str">
        <f>Cheatsheet!AB12</f>
        <v>GB</v>
      </c>
      <c r="F181" s="33">
        <f>Cheatsheet!AC12</f>
        <v>9</v>
      </c>
      <c r="G181" s="70">
        <f>Cheatsheet!AD12</f>
        <v>213.4</v>
      </c>
      <c r="H181" s="70">
        <f>Cheatsheet!AE12</f>
        <v>12.360606060606102</v>
      </c>
      <c r="I181" s="33" t="s">
        <v>3</v>
      </c>
      <c r="J181" s="33"/>
      <c r="K181" s="181"/>
      <c r="L181" s="181"/>
      <c r="M181" s="33"/>
      <c r="N181" s="33"/>
      <c r="O181" s="33"/>
      <c r="P181" s="33"/>
      <c r="Q181" s="33"/>
      <c r="R181" s="181"/>
      <c r="S181" s="33"/>
      <c r="T181" s="181"/>
      <c r="U181" s="181"/>
      <c r="V181" s="33"/>
      <c r="W181" s="33"/>
      <c r="X181" s="33"/>
      <c r="Y181" s="33"/>
      <c r="Z181" s="33"/>
      <c r="AA181" s="181"/>
      <c r="AB181" s="33"/>
      <c r="AC181" s="181"/>
      <c r="AD181" s="181"/>
      <c r="AE181" s="33"/>
      <c r="AF181" s="33"/>
      <c r="AG181" s="33"/>
      <c r="AH181" s="33"/>
      <c r="AI181" s="33"/>
      <c r="AJ181" s="181"/>
      <c r="AK181" s="33"/>
    </row>
    <row r="182" spans="1:37" ht="12.75" customHeight="1">
      <c r="A182" s="33">
        <f>IF(ISERROR(VLOOKUP(RANK(H182,$H$2:$H$331),$A$2:A181,1,0)),RANK(H182,$H$2:$H$331),IF(ISERROR(VLOOKUP((RANK(H182,$H$2:$H$331)+1),$A$2:A181,1,0)),(RANK(H182,$H$2:$H$331)+1),(RANK(H182,$H$2:$H$331)+2)))</f>
        <v>36</v>
      </c>
      <c r="B182" s="33">
        <f>Cheatsheet!Y13</f>
        <v>11</v>
      </c>
      <c r="C182" s="33" t="str">
        <f>Cheatsheet!Z13</f>
        <v/>
      </c>
      <c r="D182" s="33" t="str">
        <f>Cheatsheet!AA13</f>
        <v>Andre Johnson</v>
      </c>
      <c r="E182" s="33" t="str">
        <f>Cheatsheet!AB13</f>
        <v>HOU</v>
      </c>
      <c r="F182" s="33">
        <f>Cheatsheet!AC13</f>
        <v>10</v>
      </c>
      <c r="G182" s="70">
        <f>Cheatsheet!AD13</f>
        <v>208.2</v>
      </c>
      <c r="H182" s="70">
        <f>Cheatsheet!AE13</f>
        <v>7.1606060606060851</v>
      </c>
      <c r="I182" s="33" t="s">
        <v>3</v>
      </c>
      <c r="J182" s="33"/>
      <c r="K182" s="181"/>
      <c r="L182" s="181"/>
      <c r="M182" s="33"/>
      <c r="N182" s="33"/>
      <c r="O182" s="33"/>
      <c r="P182" s="33"/>
      <c r="Q182" s="33"/>
      <c r="R182" s="181"/>
      <c r="S182" s="33"/>
      <c r="T182" s="181"/>
      <c r="U182" s="181"/>
      <c r="V182" s="33"/>
      <c r="W182" s="33"/>
      <c r="X182" s="33"/>
      <c r="Y182" s="33"/>
      <c r="Z182" s="33"/>
      <c r="AA182" s="181"/>
      <c r="AB182" s="33"/>
      <c r="AC182" s="181"/>
      <c r="AD182" s="181"/>
      <c r="AE182" s="33"/>
      <c r="AF182" s="33"/>
      <c r="AG182" s="33"/>
      <c r="AH182" s="33"/>
      <c r="AI182" s="33"/>
      <c r="AJ182" s="181"/>
      <c r="AK182" s="33"/>
    </row>
    <row r="183" spans="1:37" ht="12.75" customHeight="1">
      <c r="A183" s="33">
        <f>IF(ISERROR(VLOOKUP(RANK(H183,$H$2:$H$331),$A$2:A182,1,0)),RANK(H183,$H$2:$H$331),IF(ISERROR(VLOOKUP((RANK(H183,$H$2:$H$331)+1),$A$2:A182,1,0)),(RANK(H183,$H$2:$H$331)+1),(RANK(H183,$H$2:$H$331)+2)))</f>
        <v>49</v>
      </c>
      <c r="B183" s="33">
        <f>Cheatsheet!Y14</f>
        <v>12</v>
      </c>
      <c r="C183" s="33" t="str">
        <f>Cheatsheet!Z14</f>
        <v/>
      </c>
      <c r="D183" s="33" t="str">
        <f>Cheatsheet!AA14</f>
        <v>Vincent Jackson</v>
      </c>
      <c r="E183" s="33" t="str">
        <f>Cheatsheet!AB14</f>
        <v>TB</v>
      </c>
      <c r="F183" s="33">
        <f>Cheatsheet!AC14</f>
        <v>7</v>
      </c>
      <c r="G183" s="70">
        <f>Cheatsheet!AD14</f>
        <v>202.5</v>
      </c>
      <c r="H183" s="70">
        <f>Cheatsheet!AE14</f>
        <v>1.4606060606060964</v>
      </c>
      <c r="I183" s="33" t="s">
        <v>3</v>
      </c>
      <c r="J183" s="33"/>
      <c r="K183" s="181"/>
      <c r="L183" s="181"/>
      <c r="M183" s="33"/>
      <c r="N183" s="33"/>
      <c r="O183" s="33"/>
      <c r="P183" s="33"/>
      <c r="Q183" s="33"/>
      <c r="R183" s="181"/>
      <c r="S183" s="33"/>
      <c r="T183" s="181"/>
      <c r="U183" s="181"/>
      <c r="V183" s="33"/>
      <c r="W183" s="33"/>
      <c r="X183" s="33"/>
      <c r="Y183" s="33"/>
      <c r="Z183" s="33"/>
      <c r="AA183" s="181"/>
      <c r="AB183" s="33"/>
      <c r="AC183" s="181"/>
      <c r="AD183" s="181"/>
      <c r="AE183" s="33"/>
      <c r="AF183" s="33"/>
      <c r="AG183" s="33"/>
      <c r="AH183" s="33"/>
      <c r="AI183" s="33"/>
      <c r="AJ183" s="181"/>
      <c r="AK183" s="33"/>
    </row>
    <row r="184" spans="1:37" ht="12.75" customHeight="1">
      <c r="A184" s="33">
        <f>IF(ISERROR(VLOOKUP(RANK(H184,$H$2:$H$331),$A$2:A183,1,0)),RANK(H184,$H$2:$H$331),IF(ISERROR(VLOOKUP((RANK(H184,$H$2:$H$331)+1),$A$2:A183,1,0)),(RANK(H184,$H$2:$H$331)+1),(RANK(H184,$H$2:$H$331)+2)))</f>
        <v>58</v>
      </c>
      <c r="B184" s="33">
        <f>Cheatsheet!Y15</f>
        <v>13</v>
      </c>
      <c r="C184" s="33" t="str">
        <f>Cheatsheet!Z15</f>
        <v/>
      </c>
      <c r="D184" s="33" t="str">
        <f>Cheatsheet!AA15</f>
        <v>Larry Fitzgerald</v>
      </c>
      <c r="E184" s="33" t="str">
        <f>Cheatsheet!AB15</f>
        <v>ARI</v>
      </c>
      <c r="F184" s="33">
        <f>Cheatsheet!AC15</f>
        <v>4</v>
      </c>
      <c r="G184" s="70">
        <f>Cheatsheet!AD15</f>
        <v>199.6</v>
      </c>
      <c r="H184" s="70">
        <f>Cheatsheet!AE15</f>
        <v>-1.4393939393939092</v>
      </c>
      <c r="I184" s="33" t="s">
        <v>3</v>
      </c>
      <c r="J184" s="33"/>
      <c r="K184" s="181"/>
      <c r="L184" s="181"/>
      <c r="M184" s="33"/>
      <c r="N184" s="33"/>
      <c r="O184" s="33"/>
      <c r="P184" s="33"/>
      <c r="Q184" s="33"/>
      <c r="R184" s="181"/>
      <c r="S184" s="33"/>
      <c r="T184" s="181"/>
      <c r="U184" s="181"/>
      <c r="V184" s="33"/>
      <c r="W184" s="33"/>
      <c r="X184" s="33"/>
      <c r="Y184" s="33"/>
      <c r="Z184" s="33"/>
      <c r="AA184" s="181"/>
      <c r="AB184" s="33"/>
      <c r="AC184" s="181"/>
      <c r="AD184" s="181"/>
      <c r="AE184" s="33"/>
      <c r="AF184" s="33"/>
      <c r="AG184" s="33"/>
      <c r="AH184" s="33"/>
      <c r="AI184" s="33"/>
      <c r="AJ184" s="181"/>
      <c r="AK184" s="33"/>
    </row>
    <row r="185" spans="1:37" ht="12.75" customHeight="1">
      <c r="A185" s="33">
        <f>IF(ISERROR(VLOOKUP(RANK(H185,$H$2:$H$331),$A$2:A184,1,0)),RANK(H185,$H$2:$H$331),IF(ISERROR(VLOOKUP((RANK(H185,$H$2:$H$331)+1),$A$2:A184,1,0)),(RANK(H185,$H$2:$H$331)+1),(RANK(H185,$H$2:$H$331)+2)))</f>
        <v>62</v>
      </c>
      <c r="B185" s="33">
        <f>Cheatsheet!Y16</f>
        <v>14</v>
      </c>
      <c r="C185" s="33" t="str">
        <f>Cheatsheet!Z16</f>
        <v/>
      </c>
      <c r="D185" s="33" t="str">
        <f>Cheatsheet!AA16</f>
        <v>Keenan Allen</v>
      </c>
      <c r="E185" s="33" t="str">
        <f>Cheatsheet!AB16</f>
        <v>SD</v>
      </c>
      <c r="F185" s="33">
        <f>Cheatsheet!AC16</f>
        <v>10</v>
      </c>
      <c r="G185" s="70">
        <f>Cheatsheet!AD16</f>
        <v>197</v>
      </c>
      <c r="H185" s="70">
        <f>Cheatsheet!AE16</f>
        <v>-4.0393939393939036</v>
      </c>
      <c r="I185" s="33" t="s">
        <v>3</v>
      </c>
      <c r="J185" s="33"/>
      <c r="K185" s="181"/>
      <c r="L185" s="181"/>
      <c r="M185" s="33"/>
      <c r="N185" s="33"/>
      <c r="O185" s="33"/>
      <c r="P185" s="33"/>
      <c r="Q185" s="33"/>
      <c r="R185" s="181"/>
      <c r="S185" s="33"/>
      <c r="T185" s="181"/>
      <c r="U185" s="181"/>
      <c r="V185" s="33"/>
      <c r="W185" s="33"/>
      <c r="X185" s="33"/>
      <c r="Y185" s="33"/>
      <c r="Z185" s="33"/>
      <c r="AA185" s="181"/>
      <c r="AB185" s="33"/>
      <c r="AC185" s="181"/>
      <c r="AD185" s="181"/>
      <c r="AE185" s="33"/>
      <c r="AF185" s="33"/>
      <c r="AG185" s="33"/>
      <c r="AH185" s="33"/>
      <c r="AI185" s="33"/>
      <c r="AJ185" s="181"/>
      <c r="AK185" s="33"/>
    </row>
    <row r="186" spans="1:37" ht="12.75" customHeight="1">
      <c r="A186" s="33">
        <f>IF(ISERROR(VLOOKUP(RANK(H186,$H$2:$H$331),$A$2:A185,1,0)),RANK(H186,$H$2:$H$331),IF(ISERROR(VLOOKUP((RANK(H186,$H$2:$H$331)+1),$A$2:A185,1,0)),(RANK(H186,$H$2:$H$331)+1),(RANK(H186,$H$2:$H$331)+2)))</f>
        <v>63</v>
      </c>
      <c r="B186" s="33">
        <f>Cheatsheet!Y17</f>
        <v>15</v>
      </c>
      <c r="C186" s="33" t="str">
        <f>Cheatsheet!Z17</f>
        <v/>
      </c>
      <c r="D186" s="33" t="str">
        <f>Cheatsheet!AA17</f>
        <v>Pierre Garcon</v>
      </c>
      <c r="E186" s="33" t="str">
        <f>Cheatsheet!AB17</f>
        <v>WSH</v>
      </c>
      <c r="F186" s="33">
        <f>Cheatsheet!AC17</f>
        <v>10</v>
      </c>
      <c r="G186" s="70">
        <f>Cheatsheet!AD17</f>
        <v>196.8</v>
      </c>
      <c r="H186" s="70">
        <f>Cheatsheet!AE17</f>
        <v>-4.2393939393938922</v>
      </c>
      <c r="I186" s="33" t="s">
        <v>3</v>
      </c>
      <c r="J186" s="33"/>
      <c r="K186" s="181"/>
      <c r="L186" s="181"/>
      <c r="M186" s="33"/>
      <c r="N186" s="33"/>
      <c r="O186" s="33"/>
      <c r="P186" s="33"/>
      <c r="Q186" s="33"/>
      <c r="R186" s="181"/>
      <c r="S186" s="33"/>
      <c r="T186" s="181"/>
      <c r="U186" s="181"/>
      <c r="V186" s="33"/>
      <c r="W186" s="33"/>
      <c r="X186" s="33"/>
      <c r="Y186" s="33"/>
      <c r="Z186" s="33"/>
      <c r="AA186" s="181"/>
      <c r="AB186" s="33"/>
      <c r="AC186" s="181"/>
      <c r="AD186" s="181"/>
      <c r="AE186" s="33"/>
      <c r="AF186" s="33"/>
      <c r="AG186" s="33"/>
      <c r="AH186" s="33"/>
      <c r="AI186" s="33"/>
      <c r="AJ186" s="181"/>
      <c r="AK186" s="33"/>
    </row>
    <row r="187" spans="1:37" ht="12.75" customHeight="1">
      <c r="A187" s="33">
        <f>IF(ISERROR(VLOOKUP(RANK(H187,$H$2:$H$331),$A$2:A186,1,0)),RANK(H187,$H$2:$H$331),IF(ISERROR(VLOOKUP((RANK(H187,$H$2:$H$331)+1),$A$2:A186,1,0)),(RANK(H187,$H$2:$H$331)+1),(RANK(H187,$H$2:$H$331)+2)))</f>
        <v>64</v>
      </c>
      <c r="B187" s="33">
        <f>Cheatsheet!Y18</f>
        <v>16</v>
      </c>
      <c r="C187" s="33" t="str">
        <f>Cheatsheet!Z18</f>
        <v/>
      </c>
      <c r="D187" s="33" t="str">
        <f>Cheatsheet!AA18</f>
        <v>Victor Cruz</v>
      </c>
      <c r="E187" s="33" t="str">
        <f>Cheatsheet!AB18</f>
        <v>NYG</v>
      </c>
      <c r="F187" s="33">
        <f>Cheatsheet!AC18</f>
        <v>8</v>
      </c>
      <c r="G187" s="70">
        <f>Cheatsheet!AD18</f>
        <v>195.8</v>
      </c>
      <c r="H187" s="70">
        <f>Cheatsheet!AE18</f>
        <v>-5.2393939393938922</v>
      </c>
      <c r="I187" s="33" t="s">
        <v>3</v>
      </c>
      <c r="J187" s="33"/>
      <c r="K187" s="181"/>
      <c r="L187" s="181"/>
      <c r="M187" s="33"/>
      <c r="N187" s="33"/>
      <c r="O187" s="33"/>
      <c r="P187" s="33"/>
      <c r="Q187" s="33"/>
      <c r="R187" s="181"/>
      <c r="S187" s="33"/>
      <c r="T187" s="181"/>
      <c r="U187" s="181"/>
      <c r="V187" s="33"/>
      <c r="W187" s="33"/>
      <c r="X187" s="33"/>
      <c r="Y187" s="33"/>
      <c r="Z187" s="33"/>
      <c r="AA187" s="181"/>
      <c r="AB187" s="33"/>
      <c r="AC187" s="181"/>
      <c r="AD187" s="181"/>
      <c r="AE187" s="33"/>
      <c r="AF187" s="33"/>
      <c r="AG187" s="33"/>
      <c r="AH187" s="33"/>
      <c r="AI187" s="33"/>
      <c r="AJ187" s="181"/>
      <c r="AK187" s="33"/>
    </row>
    <row r="188" spans="1:37" ht="12.75" customHeight="1">
      <c r="A188" s="33">
        <f>IF(ISERROR(VLOOKUP(RANK(H188,$H$2:$H$331),$A$2:A187,1,0)),RANK(H188,$H$2:$H$331),IF(ISERROR(VLOOKUP((RANK(H188,$H$2:$H$331)+1),$A$2:A187,1,0)),(RANK(H188,$H$2:$H$331)+1),(RANK(H188,$H$2:$H$331)+2)))</f>
        <v>65</v>
      </c>
      <c r="B188" s="33">
        <f>Cheatsheet!Y19</f>
        <v>17</v>
      </c>
      <c r="C188" s="33" t="str">
        <f>Cheatsheet!Z19</f>
        <v/>
      </c>
      <c r="D188" s="33" t="str">
        <f>Cheatsheet!AA19</f>
        <v>Michael Crabtree</v>
      </c>
      <c r="E188" s="33" t="str">
        <f>Cheatsheet!AB19</f>
        <v>SF</v>
      </c>
      <c r="F188" s="33">
        <f>Cheatsheet!AC19</f>
        <v>8</v>
      </c>
      <c r="G188" s="70">
        <f>Cheatsheet!AD19</f>
        <v>195.7</v>
      </c>
      <c r="H188" s="70">
        <f>Cheatsheet!AE19</f>
        <v>-5.3393939393939149</v>
      </c>
      <c r="I188" s="33" t="s">
        <v>3</v>
      </c>
      <c r="J188" s="33"/>
      <c r="K188" s="181"/>
      <c r="L188" s="181"/>
      <c r="M188" s="33"/>
      <c r="N188" s="33"/>
      <c r="O188" s="33"/>
      <c r="P188" s="33"/>
      <c r="Q188" s="33"/>
      <c r="R188" s="181"/>
      <c r="S188" s="33"/>
      <c r="T188" s="181"/>
      <c r="U188" s="181"/>
      <c r="V188" s="33"/>
      <c r="W188" s="33"/>
      <c r="X188" s="33"/>
      <c r="Y188" s="33"/>
      <c r="Z188" s="33"/>
      <c r="AA188" s="181"/>
      <c r="AB188" s="33"/>
      <c r="AC188" s="181"/>
      <c r="AD188" s="181"/>
      <c r="AE188" s="33"/>
      <c r="AF188" s="33"/>
      <c r="AG188" s="33"/>
      <c r="AH188" s="33"/>
      <c r="AI188" s="33"/>
      <c r="AJ188" s="181"/>
      <c r="AK188" s="33"/>
    </row>
    <row r="189" spans="1:37" ht="12.75" customHeight="1">
      <c r="A189" s="33">
        <f>IF(ISERROR(VLOOKUP(RANK(H189,$H$2:$H$331),$A$2:A188,1,0)),RANK(H189,$H$2:$H$331),IF(ISERROR(VLOOKUP((RANK(H189,$H$2:$H$331)+1),$A$2:A188,1,0)),(RANK(H189,$H$2:$H$331)+1),(RANK(H189,$H$2:$H$331)+2)))</f>
        <v>66</v>
      </c>
      <c r="B189" s="33">
        <f>Cheatsheet!Y20</f>
        <v>18</v>
      </c>
      <c r="C189" s="33" t="str">
        <f>Cheatsheet!Z20</f>
        <v/>
      </c>
      <c r="D189" s="33" t="str">
        <f>Cheatsheet!AA20</f>
        <v>Roddy White</v>
      </c>
      <c r="E189" s="33" t="str">
        <f>Cheatsheet!AB20</f>
        <v>ATL</v>
      </c>
      <c r="F189" s="33">
        <f>Cheatsheet!AC20</f>
        <v>9</v>
      </c>
      <c r="G189" s="70">
        <f>Cheatsheet!AD20</f>
        <v>195.2</v>
      </c>
      <c r="H189" s="70">
        <f>Cheatsheet!AE20</f>
        <v>-5.8393939393939149</v>
      </c>
      <c r="I189" s="33" t="s">
        <v>3</v>
      </c>
      <c r="J189" s="33"/>
      <c r="K189" s="181"/>
      <c r="L189" s="181"/>
      <c r="M189" s="33"/>
      <c r="N189" s="33"/>
      <c r="O189" s="33"/>
      <c r="P189" s="33"/>
      <c r="Q189" s="33"/>
      <c r="R189" s="181"/>
      <c r="S189" s="33"/>
      <c r="T189" s="181"/>
      <c r="U189" s="181"/>
      <c r="V189" s="33"/>
      <c r="W189" s="33"/>
      <c r="X189" s="33"/>
      <c r="Y189" s="33"/>
      <c r="Z189" s="33"/>
      <c r="AA189" s="181"/>
      <c r="AB189" s="33"/>
      <c r="AC189" s="181"/>
      <c r="AD189" s="181"/>
      <c r="AE189" s="33"/>
      <c r="AF189" s="33"/>
      <c r="AG189" s="33"/>
      <c r="AH189" s="33"/>
      <c r="AI189" s="33"/>
      <c r="AJ189" s="181"/>
      <c r="AK189" s="33"/>
    </row>
    <row r="190" spans="1:37" ht="12.75" customHeight="1">
      <c r="A190" s="33">
        <f>IF(ISERROR(VLOOKUP(RANK(H190,$H$2:$H$331),$A$2:A189,1,0)),RANK(H190,$H$2:$H$331),IF(ISERROR(VLOOKUP((RANK(H190,$H$2:$H$331)+1),$A$2:A189,1,0)),(RANK(H190,$H$2:$H$331)+1),(RANK(H190,$H$2:$H$331)+2)))</f>
        <v>80</v>
      </c>
      <c r="B190" s="33">
        <f>Cheatsheet!Y21</f>
        <v>19</v>
      </c>
      <c r="C190" s="33" t="str">
        <f>Cheatsheet!Z21</f>
        <v/>
      </c>
      <c r="D190" s="33" t="str">
        <f>Cheatsheet!AA21</f>
        <v>Michael Floyd</v>
      </c>
      <c r="E190" s="33" t="str">
        <f>Cheatsheet!AB21</f>
        <v>ARI</v>
      </c>
      <c r="F190" s="33">
        <f>Cheatsheet!AC21</f>
        <v>4</v>
      </c>
      <c r="G190" s="70">
        <f>Cheatsheet!AD21</f>
        <v>187.7</v>
      </c>
      <c r="H190" s="70">
        <f>Cheatsheet!AE21</f>
        <v>-13.339393939393915</v>
      </c>
      <c r="I190" s="33" t="s">
        <v>3</v>
      </c>
      <c r="J190" s="33"/>
      <c r="K190" s="181"/>
      <c r="L190" s="181"/>
      <c r="M190" s="33"/>
      <c r="N190" s="33"/>
      <c r="O190" s="33"/>
      <c r="P190" s="33"/>
      <c r="Q190" s="33"/>
      <c r="R190" s="181"/>
      <c r="S190" s="33"/>
      <c r="T190" s="181"/>
      <c r="U190" s="181"/>
      <c r="V190" s="33"/>
      <c r="W190" s="33"/>
      <c r="X190" s="33"/>
      <c r="Y190" s="33"/>
      <c r="Z190" s="33"/>
      <c r="AA190" s="181"/>
      <c r="AB190" s="33"/>
      <c r="AC190" s="181"/>
      <c r="AD190" s="181"/>
      <c r="AE190" s="33"/>
      <c r="AF190" s="33"/>
      <c r="AG190" s="33"/>
      <c r="AH190" s="33"/>
      <c r="AI190" s="33"/>
      <c r="AJ190" s="181"/>
      <c r="AK190" s="33"/>
    </row>
    <row r="191" spans="1:37" ht="12.75" customHeight="1">
      <c r="A191" s="33">
        <f>IF(ISERROR(VLOOKUP(RANK(H191,$H$2:$H$331),$A$2:A190,1,0)),RANK(H191,$H$2:$H$331),IF(ISERROR(VLOOKUP((RANK(H191,$H$2:$H$331)+1),$A$2:A190,1,0)),(RANK(H191,$H$2:$H$331)+1),(RANK(H191,$H$2:$H$331)+2)))</f>
        <v>87</v>
      </c>
      <c r="B191" s="33">
        <f>Cheatsheet!Y22</f>
        <v>20</v>
      </c>
      <c r="C191" s="33" t="str">
        <f>Cheatsheet!Z22</f>
        <v/>
      </c>
      <c r="D191" s="33" t="str">
        <f>Cheatsheet!AA22</f>
        <v>Wes Welker</v>
      </c>
      <c r="E191" s="33" t="str">
        <f>Cheatsheet!AB22</f>
        <v>DEN</v>
      </c>
      <c r="F191" s="33">
        <f>Cheatsheet!AC22</f>
        <v>4</v>
      </c>
      <c r="G191" s="70">
        <f>Cheatsheet!AD22</f>
        <v>184.6</v>
      </c>
      <c r="H191" s="70">
        <f>Cheatsheet!AE22</f>
        <v>-16.439393939393909</v>
      </c>
      <c r="I191" s="33" t="s">
        <v>3</v>
      </c>
      <c r="J191" s="33"/>
      <c r="K191" s="181"/>
      <c r="L191" s="181"/>
      <c r="M191" s="33"/>
      <c r="N191" s="33"/>
      <c r="O191" s="33"/>
      <c r="P191" s="33"/>
      <c r="Q191" s="33"/>
      <c r="R191" s="181"/>
      <c r="S191" s="33"/>
      <c r="T191" s="181"/>
      <c r="U191" s="181"/>
      <c r="V191" s="33"/>
      <c r="W191" s="33"/>
      <c r="X191" s="33"/>
      <c r="Y191" s="33"/>
      <c r="Z191" s="33"/>
      <c r="AA191" s="181"/>
      <c r="AB191" s="33"/>
      <c r="AC191" s="181"/>
      <c r="AD191" s="181"/>
      <c r="AE191" s="33"/>
      <c r="AF191" s="33"/>
      <c r="AG191" s="33"/>
      <c r="AH191" s="33"/>
      <c r="AI191" s="33"/>
      <c r="AJ191" s="181"/>
      <c r="AK191" s="33"/>
    </row>
    <row r="192" spans="1:37" ht="12.75" customHeight="1">
      <c r="A192" s="33">
        <f>IF(ISERROR(VLOOKUP(RANK(H192,$H$2:$H$331),$A$2:A191,1,0)),RANK(H192,$H$2:$H$331),IF(ISERROR(VLOOKUP((RANK(H192,$H$2:$H$331)+1),$A$2:A191,1,0)),(RANK(H192,$H$2:$H$331)+1),(RANK(H192,$H$2:$H$331)+2)))</f>
        <v>94</v>
      </c>
      <c r="B192" s="33">
        <f>Cheatsheet!Y23</f>
        <v>21</v>
      </c>
      <c r="C192" s="33" t="str">
        <f>Cheatsheet!Z23</f>
        <v/>
      </c>
      <c r="D192" s="33" t="str">
        <f>Cheatsheet!AA23</f>
        <v>Julian Edelman</v>
      </c>
      <c r="E192" s="33" t="str">
        <f>Cheatsheet!AB23</f>
        <v>NE</v>
      </c>
      <c r="F192" s="33">
        <f>Cheatsheet!AC23</f>
        <v>10</v>
      </c>
      <c r="G192" s="70">
        <f>Cheatsheet!AD23</f>
        <v>181.4</v>
      </c>
      <c r="H192" s="70">
        <f>Cheatsheet!AE23</f>
        <v>-19.639393939393898</v>
      </c>
      <c r="I192" s="33" t="s">
        <v>3</v>
      </c>
      <c r="J192" s="33"/>
      <c r="K192" s="181"/>
      <c r="L192" s="181"/>
      <c r="M192" s="33"/>
      <c r="N192" s="33"/>
      <c r="O192" s="33"/>
      <c r="P192" s="33"/>
      <c r="Q192" s="33"/>
      <c r="R192" s="181"/>
      <c r="S192" s="33"/>
      <c r="T192" s="181"/>
      <c r="U192" s="181"/>
      <c r="V192" s="33"/>
      <c r="W192" s="33"/>
      <c r="X192" s="33"/>
      <c r="Y192" s="33"/>
      <c r="Z192" s="33"/>
      <c r="AA192" s="181"/>
      <c r="AB192" s="33"/>
      <c r="AC192" s="181"/>
      <c r="AD192" s="181"/>
      <c r="AE192" s="33"/>
      <c r="AF192" s="33"/>
      <c r="AG192" s="33"/>
      <c r="AH192" s="33"/>
      <c r="AI192" s="33"/>
      <c r="AJ192" s="181"/>
      <c r="AK192" s="33"/>
    </row>
    <row r="193" spans="1:37" ht="12.75" customHeight="1">
      <c r="A193" s="33">
        <f>IF(ISERROR(VLOOKUP(RANK(H193,$H$2:$H$331),$A$2:A192,1,0)),RANK(H193,$H$2:$H$331),IF(ISERROR(VLOOKUP((RANK(H193,$H$2:$H$331)+1),$A$2:A192,1,0)),(RANK(H193,$H$2:$H$331)+1),(RANK(H193,$H$2:$H$331)+2)))</f>
        <v>95</v>
      </c>
      <c r="B193" s="33">
        <f>Cheatsheet!Y24</f>
        <v>22</v>
      </c>
      <c r="C193" s="33" t="str">
        <f>Cheatsheet!Z24</f>
        <v/>
      </c>
      <c r="D193" s="33" t="str">
        <f>Cheatsheet!AA24</f>
        <v>Percy Harvin</v>
      </c>
      <c r="E193" s="33" t="str">
        <f>Cheatsheet!AB24</f>
        <v>SEA</v>
      </c>
      <c r="F193" s="33">
        <f>Cheatsheet!AC24</f>
        <v>4</v>
      </c>
      <c r="G193" s="70">
        <f>Cheatsheet!AD24</f>
        <v>181.3</v>
      </c>
      <c r="H193" s="70">
        <f>Cheatsheet!AE24</f>
        <v>-19.739393939393892</v>
      </c>
      <c r="I193" s="33" t="s">
        <v>3</v>
      </c>
      <c r="J193" s="33"/>
      <c r="K193" s="181"/>
      <c r="L193" s="181"/>
      <c r="M193" s="33"/>
      <c r="N193" s="33"/>
      <c r="O193" s="33"/>
      <c r="P193" s="33"/>
      <c r="Q193" s="33"/>
      <c r="R193" s="181"/>
      <c r="S193" s="33"/>
      <c r="T193" s="181"/>
      <c r="U193" s="181"/>
      <c r="V193" s="33"/>
      <c r="W193" s="33"/>
      <c r="X193" s="33"/>
      <c r="Y193" s="33"/>
      <c r="Z193" s="33"/>
      <c r="AA193" s="181"/>
      <c r="AB193" s="33"/>
      <c r="AC193" s="181"/>
      <c r="AD193" s="181"/>
      <c r="AE193" s="33"/>
      <c r="AF193" s="33"/>
      <c r="AG193" s="33"/>
      <c r="AH193" s="33"/>
      <c r="AI193" s="33"/>
      <c r="AJ193" s="181"/>
      <c r="AK193" s="33"/>
    </row>
    <row r="194" spans="1:37" ht="12.75" customHeight="1">
      <c r="A194" s="33">
        <f>IF(ISERROR(VLOOKUP(RANK(H194,$H$2:$H$331),$A$2:A193,1,0)),RANK(H194,$H$2:$H$331),IF(ISERROR(VLOOKUP((RANK(H194,$H$2:$H$331)+1),$A$2:A193,1,0)),(RANK(H194,$H$2:$H$331)+1),(RANK(H194,$H$2:$H$331)+2)))</f>
        <v>97</v>
      </c>
      <c r="B194" s="33">
        <f>Cheatsheet!Y25</f>
        <v>23</v>
      </c>
      <c r="C194" s="33" t="str">
        <f>Cheatsheet!Z25</f>
        <v/>
      </c>
      <c r="D194" s="33" t="str">
        <f>Cheatsheet!AA25</f>
        <v>Cordarrelle Patterson</v>
      </c>
      <c r="E194" s="33" t="str">
        <f>Cheatsheet!AB25</f>
        <v>MIN</v>
      </c>
      <c r="F194" s="33">
        <f>Cheatsheet!AC25</f>
        <v>10</v>
      </c>
      <c r="G194" s="70">
        <f>Cheatsheet!AD25</f>
        <v>180.9</v>
      </c>
      <c r="H194" s="70">
        <f>Cheatsheet!AE25</f>
        <v>-20.139393939393898</v>
      </c>
      <c r="I194" s="33" t="s">
        <v>3</v>
      </c>
      <c r="J194" s="33"/>
      <c r="K194" s="181"/>
      <c r="L194" s="181"/>
      <c r="M194" s="33"/>
      <c r="N194" s="33"/>
      <c r="O194" s="33"/>
      <c r="P194" s="33"/>
      <c r="Q194" s="33"/>
      <c r="R194" s="181"/>
      <c r="S194" s="33"/>
      <c r="T194" s="181"/>
      <c r="U194" s="181"/>
      <c r="V194" s="33"/>
      <c r="W194" s="33"/>
      <c r="X194" s="33"/>
      <c r="Y194" s="33"/>
      <c r="Z194" s="33"/>
      <c r="AA194" s="181"/>
      <c r="AB194" s="33"/>
      <c r="AC194" s="181"/>
      <c r="AD194" s="181"/>
      <c r="AE194" s="33"/>
      <c r="AF194" s="33"/>
      <c r="AG194" s="33"/>
      <c r="AH194" s="33"/>
      <c r="AI194" s="33"/>
      <c r="AJ194" s="181"/>
      <c r="AK194" s="33"/>
    </row>
    <row r="195" spans="1:37" ht="12.75" customHeight="1">
      <c r="A195" s="33">
        <f>IF(ISERROR(VLOOKUP(RANK(H195,$H$2:$H$331),$A$2:A194,1,0)),RANK(H195,$H$2:$H$331),IF(ISERROR(VLOOKUP((RANK(H195,$H$2:$H$331)+1),$A$2:A194,1,0)),(RANK(H195,$H$2:$H$331)+1),(RANK(H195,$H$2:$H$331)+2)))</f>
        <v>105</v>
      </c>
      <c r="B195" s="33">
        <f>Cheatsheet!Y26</f>
        <v>24</v>
      </c>
      <c r="C195" s="33" t="str">
        <f>Cheatsheet!Z26</f>
        <v/>
      </c>
      <c r="D195" s="33" t="str">
        <f>Cheatsheet!AA26</f>
        <v>Torrey Smith</v>
      </c>
      <c r="E195" s="33" t="str">
        <f>Cheatsheet!AB26</f>
        <v>BAL</v>
      </c>
      <c r="F195" s="33">
        <f>Cheatsheet!AC26</f>
        <v>11</v>
      </c>
      <c r="G195" s="70">
        <f>Cheatsheet!AD26</f>
        <v>176.4</v>
      </c>
      <c r="H195" s="70">
        <f>Cheatsheet!AE26</f>
        <v>-24.639393939393898</v>
      </c>
      <c r="I195" s="33" t="s">
        <v>3</v>
      </c>
      <c r="J195" s="33"/>
      <c r="K195" s="181"/>
      <c r="L195" s="181"/>
      <c r="M195" s="33"/>
      <c r="N195" s="33"/>
      <c r="O195" s="33"/>
      <c r="P195" s="33"/>
      <c r="Q195" s="33"/>
      <c r="R195" s="181"/>
      <c r="S195" s="33"/>
      <c r="T195" s="181"/>
      <c r="U195" s="181"/>
      <c r="V195" s="33"/>
      <c r="W195" s="33"/>
      <c r="X195" s="33"/>
      <c r="Y195" s="33"/>
      <c r="Z195" s="33"/>
      <c r="AA195" s="181"/>
      <c r="AB195" s="33"/>
      <c r="AC195" s="181"/>
      <c r="AD195" s="181"/>
      <c r="AE195" s="33"/>
      <c r="AF195" s="33"/>
      <c r="AG195" s="33"/>
      <c r="AH195" s="33"/>
      <c r="AI195" s="33"/>
      <c r="AJ195" s="181"/>
      <c r="AK195" s="33"/>
    </row>
    <row r="196" spans="1:37" ht="12.75" customHeight="1">
      <c r="A196" s="33">
        <f>IF(ISERROR(VLOOKUP(RANK(H196,$H$2:$H$331),$A$2:A195,1,0)),RANK(H196,$H$2:$H$331),IF(ISERROR(VLOOKUP((RANK(H196,$H$2:$H$331)+1),$A$2:A195,1,0)),(RANK(H196,$H$2:$H$331)+1),(RANK(H196,$H$2:$H$331)+2)))</f>
        <v>108</v>
      </c>
      <c r="B196" s="33">
        <f>Cheatsheet!Y27</f>
        <v>25</v>
      </c>
      <c r="C196" s="33" t="str">
        <f>Cheatsheet!Z27</f>
        <v/>
      </c>
      <c r="D196" s="33" t="str">
        <f>Cheatsheet!AA27</f>
        <v>Jeremy Maclin</v>
      </c>
      <c r="E196" s="33" t="str">
        <f>Cheatsheet!AB27</f>
        <v>PHI</v>
      </c>
      <c r="F196" s="33">
        <f>Cheatsheet!AC27</f>
        <v>7</v>
      </c>
      <c r="G196" s="70">
        <f>Cheatsheet!AD27</f>
        <v>175.3</v>
      </c>
      <c r="H196" s="70">
        <f>Cheatsheet!AE27</f>
        <v>-25.739393939393892</v>
      </c>
      <c r="I196" s="33" t="s">
        <v>3</v>
      </c>
      <c r="J196" s="33"/>
      <c r="K196" s="181"/>
      <c r="L196" s="181"/>
      <c r="M196" s="33"/>
      <c r="N196" s="33"/>
      <c r="O196" s="33"/>
      <c r="P196" s="33"/>
      <c r="Q196" s="33"/>
      <c r="R196" s="181"/>
      <c r="S196" s="33"/>
      <c r="T196" s="181"/>
      <c r="U196" s="181"/>
      <c r="V196" s="33"/>
      <c r="W196" s="33"/>
      <c r="X196" s="33"/>
      <c r="Y196" s="33"/>
      <c r="Z196" s="33"/>
      <c r="AA196" s="181"/>
      <c r="AB196" s="33"/>
      <c r="AC196" s="181"/>
      <c r="AD196" s="181"/>
      <c r="AE196" s="33"/>
      <c r="AF196" s="33"/>
      <c r="AG196" s="33"/>
      <c r="AH196" s="33"/>
      <c r="AI196" s="33"/>
      <c r="AJ196" s="181"/>
      <c r="AK196" s="33"/>
    </row>
    <row r="197" spans="1:37" ht="12.75" customHeight="1">
      <c r="A197" s="33">
        <f>IF(ISERROR(VLOOKUP(RANK(H197,$H$2:$H$331),$A$2:A196,1,0)),RANK(H197,$H$2:$H$331),IF(ISERROR(VLOOKUP((RANK(H197,$H$2:$H$331)+1),$A$2:A196,1,0)),(RANK(H197,$H$2:$H$331)+1),(RANK(H197,$H$2:$H$331)+2)))</f>
        <v>112</v>
      </c>
      <c r="B197" s="33">
        <f>Cheatsheet!Y28</f>
        <v>26</v>
      </c>
      <c r="C197" s="33" t="str">
        <f>Cheatsheet!Z28</f>
        <v/>
      </c>
      <c r="D197" s="33" t="str">
        <f>Cheatsheet!AA28</f>
        <v>T.Y. Hilton</v>
      </c>
      <c r="E197" s="33" t="str">
        <f>Cheatsheet!AB28</f>
        <v>IND</v>
      </c>
      <c r="F197" s="33">
        <f>Cheatsheet!AC28</f>
        <v>10</v>
      </c>
      <c r="G197" s="70">
        <f>Cheatsheet!AD28</f>
        <v>174.5</v>
      </c>
      <c r="H197" s="70">
        <f>Cheatsheet!AE28</f>
        <v>-26.539393939393904</v>
      </c>
      <c r="I197" s="33" t="s">
        <v>3</v>
      </c>
      <c r="J197" s="33"/>
      <c r="K197" s="181"/>
      <c r="L197" s="181"/>
      <c r="M197" s="33"/>
      <c r="N197" s="33"/>
      <c r="O197" s="33"/>
      <c r="P197" s="33"/>
      <c r="Q197" s="33"/>
      <c r="R197" s="181"/>
      <c r="S197" s="33"/>
      <c r="T197" s="181"/>
      <c r="U197" s="181"/>
      <c r="V197" s="33"/>
      <c r="W197" s="33"/>
      <c r="X197" s="33"/>
      <c r="Y197" s="33"/>
      <c r="Z197" s="33"/>
      <c r="AA197" s="181"/>
      <c r="AB197" s="33"/>
      <c r="AC197" s="181"/>
      <c r="AD197" s="181"/>
      <c r="AE197" s="33"/>
      <c r="AF197" s="33"/>
      <c r="AG197" s="33"/>
      <c r="AH197" s="33"/>
      <c r="AI197" s="33"/>
      <c r="AJ197" s="181"/>
      <c r="AK197" s="33"/>
    </row>
    <row r="198" spans="1:37" ht="12.75" customHeight="1">
      <c r="A198" s="33">
        <f>IF(ISERROR(VLOOKUP(RANK(H198,$H$2:$H$331),$A$2:A197,1,0)),RANK(H198,$H$2:$H$331),IF(ISERROR(VLOOKUP((RANK(H198,$H$2:$H$331)+1),$A$2:A197,1,0)),(RANK(H198,$H$2:$H$331)+1),(RANK(H198,$H$2:$H$331)+2)))</f>
        <v>114</v>
      </c>
      <c r="B198" s="33">
        <f>Cheatsheet!Y29</f>
        <v>27</v>
      </c>
      <c r="C198" s="33" t="str">
        <f>Cheatsheet!Z29</f>
        <v/>
      </c>
      <c r="D198" s="33" t="str">
        <f>Cheatsheet!AA29</f>
        <v>Kendall Wright</v>
      </c>
      <c r="E198" s="33" t="str">
        <f>Cheatsheet!AB29</f>
        <v>TEN</v>
      </c>
      <c r="F198" s="33">
        <f>Cheatsheet!AC29</f>
        <v>9</v>
      </c>
      <c r="G198" s="70">
        <f>Cheatsheet!AD29</f>
        <v>173.7</v>
      </c>
      <c r="H198" s="70">
        <f>Cheatsheet!AE29</f>
        <v>-27.339393939393915</v>
      </c>
      <c r="I198" s="33" t="s">
        <v>3</v>
      </c>
      <c r="J198" s="33"/>
      <c r="K198" s="181"/>
      <c r="L198" s="181"/>
      <c r="M198" s="33"/>
      <c r="N198" s="33"/>
      <c r="O198" s="33"/>
      <c r="P198" s="33"/>
      <c r="Q198" s="33"/>
      <c r="R198" s="181"/>
      <c r="S198" s="33"/>
      <c r="T198" s="181"/>
      <c r="U198" s="181"/>
      <c r="V198" s="33"/>
      <c r="W198" s="33"/>
      <c r="X198" s="33"/>
      <c r="Y198" s="33"/>
      <c r="Z198" s="33"/>
      <c r="AA198" s="181"/>
      <c r="AB198" s="33"/>
      <c r="AC198" s="181"/>
      <c r="AD198" s="181"/>
      <c r="AE198" s="33"/>
      <c r="AF198" s="33"/>
      <c r="AG198" s="33"/>
      <c r="AH198" s="33"/>
      <c r="AI198" s="33"/>
      <c r="AJ198" s="181"/>
      <c r="AK198" s="33"/>
    </row>
    <row r="199" spans="1:37" ht="12.75" customHeight="1">
      <c r="A199" s="33">
        <f>IF(ISERROR(VLOOKUP(RANK(H199,$H$2:$H$331),$A$2:A198,1,0)),RANK(H199,$H$2:$H$331),IF(ISERROR(VLOOKUP((RANK(H199,$H$2:$H$331)+1),$A$2:A198,1,0)),(RANK(H199,$H$2:$H$331)+1),(RANK(H199,$H$2:$H$331)+2)))</f>
        <v>115</v>
      </c>
      <c r="B199" s="33">
        <f>Cheatsheet!Y30</f>
        <v>28</v>
      </c>
      <c r="C199" s="33" t="str">
        <f>Cheatsheet!Z30</f>
        <v/>
      </c>
      <c r="D199" s="33" t="str">
        <f>Cheatsheet!AA30</f>
        <v>Marques Colston</v>
      </c>
      <c r="E199" s="33" t="str">
        <f>Cheatsheet!AB30</f>
        <v>NO</v>
      </c>
      <c r="F199" s="33">
        <f>Cheatsheet!AC30</f>
        <v>6</v>
      </c>
      <c r="G199" s="70">
        <f>Cheatsheet!AD30</f>
        <v>173.6</v>
      </c>
      <c r="H199" s="70">
        <f>Cheatsheet!AE30</f>
        <v>-27.439393939393909</v>
      </c>
      <c r="I199" s="33" t="s">
        <v>3</v>
      </c>
      <c r="J199" s="33"/>
      <c r="K199" s="181"/>
      <c r="L199" s="181"/>
      <c r="M199" s="33"/>
      <c r="N199" s="33"/>
      <c r="O199" s="33"/>
      <c r="P199" s="33"/>
      <c r="Q199" s="33"/>
      <c r="R199" s="181"/>
      <c r="S199" s="33"/>
      <c r="T199" s="181"/>
      <c r="U199" s="181"/>
      <c r="V199" s="33"/>
      <c r="W199" s="33"/>
      <c r="X199" s="33"/>
      <c r="Y199" s="33"/>
      <c r="Z199" s="33"/>
      <c r="AA199" s="181"/>
      <c r="AB199" s="33"/>
      <c r="AC199" s="181"/>
      <c r="AD199" s="181"/>
      <c r="AE199" s="33"/>
      <c r="AF199" s="33"/>
      <c r="AG199" s="33"/>
      <c r="AH199" s="33"/>
      <c r="AI199" s="33"/>
      <c r="AJ199" s="181"/>
      <c r="AK199" s="33"/>
    </row>
    <row r="200" spans="1:37" ht="12.75" customHeight="1">
      <c r="A200" s="33">
        <f>IF(ISERROR(VLOOKUP(RANK(H200,$H$2:$H$331),$A$2:A199,1,0)),RANK(H200,$H$2:$H$331),IF(ISERROR(VLOOKUP((RANK(H200,$H$2:$H$331)+1),$A$2:A199,1,0)),(RANK(H200,$H$2:$H$331)+1),(RANK(H200,$H$2:$H$331)+2)))</f>
        <v>120</v>
      </c>
      <c r="B200" s="33">
        <f>Cheatsheet!Y31</f>
        <v>29</v>
      </c>
      <c r="C200" s="33" t="str">
        <f>Cheatsheet!Z31</f>
        <v/>
      </c>
      <c r="D200" s="33" t="str">
        <f>Cheatsheet!AA31</f>
        <v>Mike Wallace</v>
      </c>
      <c r="E200" s="33" t="str">
        <f>Cheatsheet!AB31</f>
        <v>MIA</v>
      </c>
      <c r="F200" s="33">
        <f>Cheatsheet!AC31</f>
        <v>5</v>
      </c>
      <c r="G200" s="70">
        <f>Cheatsheet!AD31</f>
        <v>172</v>
      </c>
      <c r="H200" s="70">
        <f>Cheatsheet!AE31</f>
        <v>-29.039393939393904</v>
      </c>
      <c r="I200" s="33" t="s">
        <v>3</v>
      </c>
      <c r="J200" s="33"/>
      <c r="K200" s="181"/>
      <c r="L200" s="181"/>
      <c r="M200" s="33"/>
      <c r="N200" s="33"/>
      <c r="O200" s="33"/>
      <c r="P200" s="33"/>
      <c r="Q200" s="33"/>
      <c r="R200" s="181"/>
      <c r="S200" s="33"/>
      <c r="T200" s="181"/>
      <c r="U200" s="181"/>
      <c r="V200" s="33"/>
      <c r="W200" s="33"/>
      <c r="X200" s="33"/>
      <c r="Y200" s="33"/>
      <c r="Z200" s="33"/>
      <c r="AA200" s="181"/>
      <c r="AB200" s="33"/>
      <c r="AC200" s="181"/>
      <c r="AD200" s="181"/>
      <c r="AE200" s="33"/>
      <c r="AF200" s="33"/>
      <c r="AG200" s="33"/>
      <c r="AH200" s="33"/>
      <c r="AI200" s="33"/>
      <c r="AJ200" s="181"/>
      <c r="AK200" s="33"/>
    </row>
    <row r="201" spans="1:37" ht="12.75" customHeight="1">
      <c r="A201" s="33">
        <f>IF(ISERROR(VLOOKUP(RANK(H201,$H$2:$H$331),$A$2:A200,1,0)),RANK(H201,$H$2:$H$331),IF(ISERROR(VLOOKUP((RANK(H201,$H$2:$H$331)+1),$A$2:A200,1,0)),(RANK(H201,$H$2:$H$331)+1),(RANK(H201,$H$2:$H$331)+2)))</f>
        <v>122</v>
      </c>
      <c r="B201" s="33">
        <f>Cheatsheet!Y32</f>
        <v>30</v>
      </c>
      <c r="C201" s="33" t="str">
        <f>Cheatsheet!Z32</f>
        <v/>
      </c>
      <c r="D201" s="33" t="str">
        <f>Cheatsheet!AA32</f>
        <v>DeSean Jackson</v>
      </c>
      <c r="E201" s="33" t="str">
        <f>Cheatsheet!AB32</f>
        <v>WSH</v>
      </c>
      <c r="F201" s="33">
        <f>Cheatsheet!AC32</f>
        <v>10</v>
      </c>
      <c r="G201" s="70">
        <f>Cheatsheet!AD32</f>
        <v>171.2</v>
      </c>
      <c r="H201" s="70">
        <f>Cheatsheet!AE32</f>
        <v>-29.839393939393915</v>
      </c>
      <c r="I201" s="33" t="s">
        <v>3</v>
      </c>
      <c r="J201" s="33"/>
      <c r="K201" s="181"/>
      <c r="L201" s="181"/>
      <c r="M201" s="33"/>
      <c r="N201" s="33"/>
      <c r="O201" s="33"/>
      <c r="P201" s="33"/>
      <c r="Q201" s="33"/>
      <c r="R201" s="181"/>
      <c r="S201" s="33"/>
      <c r="T201" s="181"/>
      <c r="U201" s="181"/>
      <c r="V201" s="33"/>
      <c r="W201" s="33"/>
      <c r="X201" s="33"/>
      <c r="Y201" s="33"/>
      <c r="Z201" s="33"/>
      <c r="AA201" s="181"/>
      <c r="AB201" s="33"/>
      <c r="AC201" s="181"/>
      <c r="AD201" s="181"/>
      <c r="AE201" s="33"/>
      <c r="AF201" s="33"/>
      <c r="AG201" s="33"/>
      <c r="AH201" s="33"/>
      <c r="AI201" s="33"/>
      <c r="AJ201" s="181"/>
      <c r="AK201" s="33"/>
    </row>
    <row r="202" spans="1:37" ht="12.75" customHeight="1">
      <c r="A202" s="33">
        <f>IF(ISERROR(VLOOKUP(RANK(H202,$H$2:$H$331),$A$2:A201,1,0)),RANK(H202,$H$2:$H$331),IF(ISERROR(VLOOKUP((RANK(H202,$H$2:$H$331)+1),$A$2:A201,1,0)),(RANK(H202,$H$2:$H$331)+1),(RANK(H202,$H$2:$H$331)+2)))</f>
        <v>131</v>
      </c>
      <c r="B202" s="33">
        <f>Cheatsheet!Y33</f>
        <v>31</v>
      </c>
      <c r="C202" s="33" t="str">
        <f>Cheatsheet!Z33</f>
        <v/>
      </c>
      <c r="D202" s="33" t="str">
        <f>Cheatsheet!AA33</f>
        <v>Emmanuel Sanders</v>
      </c>
      <c r="E202" s="33" t="str">
        <f>Cheatsheet!AB33</f>
        <v>DEN</v>
      </c>
      <c r="F202" s="33">
        <f>Cheatsheet!AC33</f>
        <v>4</v>
      </c>
      <c r="G202" s="70">
        <f>Cheatsheet!AD33</f>
        <v>167</v>
      </c>
      <c r="H202" s="70">
        <f>Cheatsheet!AE33</f>
        <v>-34.039393939393904</v>
      </c>
      <c r="I202" s="33" t="s">
        <v>3</v>
      </c>
      <c r="J202" s="33"/>
      <c r="K202" s="181"/>
      <c r="L202" s="181"/>
      <c r="M202" s="33"/>
      <c r="N202" s="33"/>
      <c r="O202" s="33"/>
      <c r="P202" s="33"/>
      <c r="Q202" s="33"/>
      <c r="R202" s="181"/>
      <c r="S202" s="33"/>
      <c r="T202" s="181"/>
      <c r="U202" s="181"/>
      <c r="V202" s="33"/>
      <c r="W202" s="33"/>
      <c r="X202" s="33"/>
      <c r="Y202" s="33"/>
      <c r="Z202" s="33"/>
      <c r="AA202" s="181"/>
      <c r="AB202" s="33"/>
      <c r="AC202" s="181"/>
      <c r="AD202" s="181"/>
      <c r="AE202" s="33"/>
      <c r="AF202" s="33"/>
      <c r="AG202" s="33"/>
      <c r="AH202" s="33"/>
      <c r="AI202" s="33"/>
      <c r="AJ202" s="181"/>
      <c r="AK202" s="33"/>
    </row>
    <row r="203" spans="1:37" ht="12.75" customHeight="1">
      <c r="A203" s="33">
        <f>IF(ISERROR(VLOOKUP(RANK(H203,$H$2:$H$331),$A$2:A202,1,0)),RANK(H203,$H$2:$H$331),IF(ISERROR(VLOOKUP((RANK(H203,$H$2:$H$331)+1),$A$2:A202,1,0)),(RANK(H203,$H$2:$H$331)+1),(RANK(H203,$H$2:$H$331)+2)))</f>
        <v>132</v>
      </c>
      <c r="B203" s="33">
        <f>Cheatsheet!Y34</f>
        <v>32</v>
      </c>
      <c r="C203" s="33" t="str">
        <f>Cheatsheet!Z34</f>
        <v/>
      </c>
      <c r="D203" s="33" t="str">
        <f>Cheatsheet!AA34</f>
        <v>Golden Tate</v>
      </c>
      <c r="E203" s="33" t="str">
        <f>Cheatsheet!AB34</f>
        <v>DET</v>
      </c>
      <c r="F203" s="33">
        <f>Cheatsheet!AC34</f>
        <v>9</v>
      </c>
      <c r="G203" s="70">
        <f>Cheatsheet!AD34</f>
        <v>163.6</v>
      </c>
      <c r="H203" s="70">
        <f>Cheatsheet!AE34</f>
        <v>-37.439393939393909</v>
      </c>
      <c r="I203" s="33" t="s">
        <v>3</v>
      </c>
      <c r="J203" s="33"/>
      <c r="K203" s="181"/>
      <c r="L203" s="181"/>
      <c r="M203" s="33"/>
      <c r="N203" s="33"/>
      <c r="O203" s="33"/>
      <c r="P203" s="33"/>
      <c r="Q203" s="33"/>
      <c r="R203" s="181"/>
      <c r="S203" s="33"/>
      <c r="T203" s="181"/>
      <c r="U203" s="181"/>
      <c r="V203" s="33"/>
      <c r="W203" s="33"/>
      <c r="X203" s="33"/>
      <c r="Y203" s="33"/>
      <c r="Z203" s="33"/>
      <c r="AA203" s="181"/>
      <c r="AB203" s="33"/>
      <c r="AC203" s="181"/>
      <c r="AD203" s="181"/>
      <c r="AE203" s="33"/>
      <c r="AF203" s="33"/>
      <c r="AG203" s="33"/>
      <c r="AH203" s="33"/>
      <c r="AI203" s="33"/>
      <c r="AJ203" s="181"/>
      <c r="AK203" s="33"/>
    </row>
    <row r="204" spans="1:37" ht="12.75" customHeight="1">
      <c r="A204" s="33">
        <f>IF(ISERROR(VLOOKUP(RANK(H204,$H$2:$H$331),$A$2:A203,1,0)),RANK(H204,$H$2:$H$331),IF(ISERROR(VLOOKUP((RANK(H204,$H$2:$H$331)+1),$A$2:A203,1,0)),(RANK(H204,$H$2:$H$331)+1),(RANK(H204,$H$2:$H$331)+2)))</f>
        <v>141</v>
      </c>
      <c r="B204" s="33">
        <f>Cheatsheet!Y35</f>
        <v>33</v>
      </c>
      <c r="C204" s="33" t="str">
        <f>Cheatsheet!Z35</f>
        <v/>
      </c>
      <c r="D204" s="33" t="str">
        <f>Cheatsheet!AA35</f>
        <v>Reggie Wayne</v>
      </c>
      <c r="E204" s="33" t="str">
        <f>Cheatsheet!AB35</f>
        <v>IND</v>
      </c>
      <c r="F204" s="33">
        <f>Cheatsheet!AC35</f>
        <v>10</v>
      </c>
      <c r="G204" s="70">
        <f>Cheatsheet!AD35</f>
        <v>160.19999999999999</v>
      </c>
      <c r="H204" s="70">
        <f>Cheatsheet!AE35</f>
        <v>-40.839393939393915</v>
      </c>
      <c r="I204" s="33" t="s">
        <v>3</v>
      </c>
      <c r="J204" s="33"/>
      <c r="K204" s="181"/>
      <c r="L204" s="181"/>
      <c r="M204" s="33"/>
      <c r="N204" s="33"/>
      <c r="O204" s="33"/>
      <c r="P204" s="33"/>
      <c r="Q204" s="33"/>
      <c r="R204" s="181"/>
      <c r="S204" s="33"/>
      <c r="T204" s="181"/>
      <c r="U204" s="181"/>
      <c r="V204" s="33"/>
      <c r="W204" s="33"/>
      <c r="X204" s="33"/>
      <c r="Y204" s="33"/>
      <c r="Z204" s="33"/>
      <c r="AA204" s="181"/>
      <c r="AB204" s="33"/>
      <c r="AC204" s="181"/>
      <c r="AD204" s="181"/>
      <c r="AE204" s="33"/>
      <c r="AF204" s="33"/>
      <c r="AG204" s="33"/>
      <c r="AH204" s="33"/>
      <c r="AI204" s="33"/>
      <c r="AJ204" s="181"/>
      <c r="AK204" s="33"/>
    </row>
    <row r="205" spans="1:37" ht="12.75" customHeight="1">
      <c r="A205" s="33">
        <f>IF(ISERROR(VLOOKUP(RANK(H205,$H$2:$H$331),$A$2:A204,1,0)),RANK(H205,$H$2:$H$331),IF(ISERROR(VLOOKUP((RANK(H205,$H$2:$H$331)+1),$A$2:A204,1,0)),(RANK(H205,$H$2:$H$331)+1),(RANK(H205,$H$2:$H$331)+2)))</f>
        <v>144</v>
      </c>
      <c r="B205" s="33">
        <f>Cheatsheet!Y36</f>
        <v>34</v>
      </c>
      <c r="C205" s="33" t="str">
        <f>Cheatsheet!Z36</f>
        <v/>
      </c>
      <c r="D205" s="33" t="str">
        <f>Cheatsheet!AA36</f>
        <v>Eric Decker</v>
      </c>
      <c r="E205" s="33" t="str">
        <f>Cheatsheet!AB36</f>
        <v>NYJ</v>
      </c>
      <c r="F205" s="33">
        <f>Cheatsheet!AC36</f>
        <v>11</v>
      </c>
      <c r="G205" s="70">
        <f>Cheatsheet!AD36</f>
        <v>158.69999999999999</v>
      </c>
      <c r="H205" s="70">
        <f>Cheatsheet!AE36</f>
        <v>-42.339393939393915</v>
      </c>
      <c r="I205" s="33" t="s">
        <v>3</v>
      </c>
      <c r="J205" s="33"/>
      <c r="K205" s="181"/>
      <c r="L205" s="181"/>
      <c r="M205" s="33"/>
      <c r="N205" s="33"/>
      <c r="O205" s="33"/>
      <c r="P205" s="33"/>
      <c r="Q205" s="33"/>
      <c r="R205" s="181"/>
      <c r="S205" s="33"/>
      <c r="T205" s="181"/>
      <c r="U205" s="181"/>
      <c r="V205" s="33"/>
      <c r="W205" s="33"/>
      <c r="X205" s="33"/>
      <c r="Y205" s="33"/>
      <c r="Z205" s="33"/>
      <c r="AA205" s="181"/>
      <c r="AB205" s="33"/>
      <c r="AC205" s="181"/>
      <c r="AD205" s="181"/>
      <c r="AE205" s="33"/>
      <c r="AF205" s="33"/>
      <c r="AG205" s="33"/>
      <c r="AH205" s="33"/>
      <c r="AI205" s="33"/>
      <c r="AJ205" s="181"/>
      <c r="AK205" s="33"/>
    </row>
    <row r="206" spans="1:37" ht="12.75" customHeight="1">
      <c r="A206" s="33">
        <f>IF(ISERROR(VLOOKUP(RANK(H206,$H$2:$H$331),$A$2:A205,1,0)),RANK(H206,$H$2:$H$331),IF(ISERROR(VLOOKUP((RANK(H206,$H$2:$H$331)+1),$A$2:A205,1,0)),(RANK(H206,$H$2:$H$331)+1),(RANK(H206,$H$2:$H$331)+2)))</f>
        <v>151</v>
      </c>
      <c r="B206" s="33">
        <f>Cheatsheet!Y37</f>
        <v>35</v>
      </c>
      <c r="C206" s="33" t="str">
        <f>Cheatsheet!Z37</f>
        <v/>
      </c>
      <c r="D206" s="33" t="str">
        <f>Cheatsheet!AA37</f>
        <v>Terrance Williams</v>
      </c>
      <c r="E206" s="33" t="str">
        <f>Cheatsheet!AB37</f>
        <v>DAL</v>
      </c>
      <c r="F206" s="33">
        <f>Cheatsheet!AC37</f>
        <v>11</v>
      </c>
      <c r="G206" s="70">
        <f>Cheatsheet!AD37</f>
        <v>153.80000000000001</v>
      </c>
      <c r="H206" s="70">
        <f>Cheatsheet!AE37</f>
        <v>-47.239393939393892</v>
      </c>
      <c r="I206" s="33" t="s">
        <v>3</v>
      </c>
      <c r="J206" s="33"/>
      <c r="K206" s="181"/>
      <c r="L206" s="181"/>
      <c r="M206" s="33"/>
      <c r="N206" s="33"/>
      <c r="O206" s="33"/>
      <c r="P206" s="33"/>
      <c r="Q206" s="33"/>
      <c r="R206" s="181"/>
      <c r="S206" s="33"/>
      <c r="T206" s="181"/>
      <c r="U206" s="181"/>
      <c r="V206" s="33"/>
      <c r="W206" s="33"/>
      <c r="X206" s="33"/>
      <c r="Y206" s="33"/>
      <c r="Z206" s="33"/>
      <c r="AA206" s="181"/>
      <c r="AB206" s="33"/>
      <c r="AC206" s="181"/>
      <c r="AD206" s="181"/>
      <c r="AE206" s="33"/>
      <c r="AF206" s="33"/>
      <c r="AG206" s="33"/>
      <c r="AH206" s="33"/>
      <c r="AI206" s="33"/>
      <c r="AJ206" s="181"/>
      <c r="AK206" s="33"/>
    </row>
    <row r="207" spans="1:37" ht="12.75" customHeight="1">
      <c r="A207" s="33">
        <f>IF(ISERROR(VLOOKUP(RANK(H207,$H$2:$H$331),$A$2:A206,1,0)),RANK(H207,$H$2:$H$331),IF(ISERROR(VLOOKUP((RANK(H207,$H$2:$H$331)+1),$A$2:A206,1,0)),(RANK(H207,$H$2:$H$331)+1),(RANK(H207,$H$2:$H$331)+2)))</f>
        <v>152</v>
      </c>
      <c r="B207" s="33">
        <f>Cheatsheet!Y38</f>
        <v>36</v>
      </c>
      <c r="C207" s="33" t="str">
        <f>Cheatsheet!Z38</f>
        <v/>
      </c>
      <c r="D207" s="33" t="str">
        <f>Cheatsheet!AA38</f>
        <v>Sammy Watkins</v>
      </c>
      <c r="E207" s="33" t="str">
        <f>Cheatsheet!AB38</f>
        <v>BUF</v>
      </c>
      <c r="F207" s="33">
        <f>Cheatsheet!AC38</f>
        <v>9</v>
      </c>
      <c r="G207" s="70">
        <f>Cheatsheet!AD38</f>
        <v>153.69999999999999</v>
      </c>
      <c r="H207" s="70">
        <f>Cheatsheet!AE38</f>
        <v>-47.339393939393915</v>
      </c>
      <c r="I207" s="33" t="s">
        <v>3</v>
      </c>
      <c r="J207" s="33"/>
      <c r="K207" s="181"/>
      <c r="L207" s="181"/>
      <c r="M207" s="33"/>
      <c r="N207" s="33"/>
      <c r="O207" s="33"/>
      <c r="P207" s="33"/>
      <c r="Q207" s="33"/>
      <c r="R207" s="181"/>
      <c r="S207" s="33"/>
      <c r="T207" s="181"/>
      <c r="U207" s="181"/>
      <c r="V207" s="33"/>
      <c r="W207" s="33"/>
      <c r="X207" s="33"/>
      <c r="Y207" s="33"/>
      <c r="Z207" s="33"/>
      <c r="AA207" s="181"/>
      <c r="AB207" s="33"/>
      <c r="AC207" s="181"/>
      <c r="AD207" s="181"/>
      <c r="AE207" s="33"/>
      <c r="AF207" s="33"/>
      <c r="AG207" s="33"/>
      <c r="AH207" s="33"/>
      <c r="AI207" s="33"/>
      <c r="AJ207" s="181"/>
      <c r="AK207" s="33"/>
    </row>
    <row r="208" spans="1:37" ht="12.75" customHeight="1">
      <c r="A208" s="33">
        <f>IF(ISERROR(VLOOKUP(RANK(H208,$H$2:$H$331),$A$2:A207,1,0)),RANK(H208,$H$2:$H$331),IF(ISERROR(VLOOKUP((RANK(H208,$H$2:$H$331)+1),$A$2:A207,1,0)),(RANK(H208,$H$2:$H$331)+1),(RANK(H208,$H$2:$H$331)+2)))</f>
        <v>164</v>
      </c>
      <c r="B208" s="33">
        <f>Cheatsheet!Y39</f>
        <v>37</v>
      </c>
      <c r="C208" s="33" t="str">
        <f>Cheatsheet!Z39</f>
        <v/>
      </c>
      <c r="D208" s="33" t="str">
        <f>Cheatsheet!AA39</f>
        <v>Cecil Shorts</v>
      </c>
      <c r="E208" s="33" t="str">
        <f>Cheatsheet!AB39</f>
        <v>JAC</v>
      </c>
      <c r="F208" s="33">
        <f>Cheatsheet!AC39</f>
        <v>11</v>
      </c>
      <c r="G208" s="70">
        <f>Cheatsheet!AD39</f>
        <v>144.4</v>
      </c>
      <c r="H208" s="70">
        <f>Cheatsheet!AE39</f>
        <v>-56.639393939393898</v>
      </c>
      <c r="I208" s="33" t="s">
        <v>3</v>
      </c>
      <c r="J208" s="33"/>
      <c r="K208" s="181"/>
      <c r="L208" s="181"/>
      <c r="M208" s="33"/>
      <c r="N208" s="33"/>
      <c r="O208" s="33"/>
      <c r="P208" s="33"/>
      <c r="Q208" s="33"/>
      <c r="R208" s="181"/>
      <c r="S208" s="33"/>
      <c r="T208" s="181"/>
      <c r="U208" s="181"/>
      <c r="V208" s="33"/>
      <c r="W208" s="33"/>
      <c r="X208" s="33"/>
      <c r="Y208" s="33"/>
      <c r="Z208" s="33"/>
      <c r="AA208" s="181"/>
      <c r="AB208" s="33"/>
      <c r="AC208" s="181"/>
      <c r="AD208" s="181"/>
      <c r="AE208" s="33"/>
      <c r="AF208" s="33"/>
      <c r="AG208" s="33"/>
      <c r="AH208" s="33"/>
      <c r="AI208" s="33"/>
      <c r="AJ208" s="181"/>
      <c r="AK208" s="33"/>
    </row>
    <row r="209" spans="1:37" ht="12.75" customHeight="1">
      <c r="A209" s="33">
        <f>IF(ISERROR(VLOOKUP(RANK(H209,$H$2:$H$331),$A$2:A208,1,0)),RANK(H209,$H$2:$H$331),IF(ISERROR(VLOOKUP((RANK(H209,$H$2:$H$331)+1),$A$2:A208,1,0)),(RANK(H209,$H$2:$H$331)+1),(RANK(H209,$H$2:$H$331)+2)))</f>
        <v>165</v>
      </c>
      <c r="B209" s="33">
        <f>Cheatsheet!Y40</f>
        <v>38</v>
      </c>
      <c r="C209" s="33" t="str">
        <f>Cheatsheet!Z40</f>
        <v/>
      </c>
      <c r="D209" s="33" t="str">
        <f>Cheatsheet!AA40</f>
        <v>Dwayne Bowe</v>
      </c>
      <c r="E209" s="33" t="str">
        <f>Cheatsheet!AB40</f>
        <v>KC</v>
      </c>
      <c r="F209" s="33">
        <f>Cheatsheet!AC40</f>
        <v>6</v>
      </c>
      <c r="G209" s="70">
        <f>Cheatsheet!AD40</f>
        <v>143.6</v>
      </c>
      <c r="H209" s="70">
        <f>Cheatsheet!AE40</f>
        <v>-57.439393939393909</v>
      </c>
      <c r="I209" s="33" t="s">
        <v>3</v>
      </c>
      <c r="J209" s="33"/>
      <c r="K209" s="181"/>
      <c r="L209" s="181"/>
      <c r="M209" s="33"/>
      <c r="N209" s="33"/>
      <c r="O209" s="33"/>
      <c r="P209" s="33"/>
      <c r="Q209" s="33"/>
      <c r="R209" s="181"/>
      <c r="S209" s="33"/>
      <c r="T209" s="181"/>
      <c r="U209" s="181"/>
      <c r="V209" s="33"/>
      <c r="W209" s="33"/>
      <c r="X209" s="33"/>
      <c r="Y209" s="33"/>
      <c r="Z209" s="33"/>
      <c r="AA209" s="181"/>
      <c r="AB209" s="33"/>
      <c r="AC209" s="181"/>
      <c r="AD209" s="181"/>
      <c r="AE209" s="33"/>
      <c r="AF209" s="33"/>
      <c r="AG209" s="33"/>
      <c r="AH209" s="33"/>
      <c r="AI209" s="33"/>
      <c r="AJ209" s="181"/>
      <c r="AK209" s="33"/>
    </row>
    <row r="210" spans="1:37" ht="12.75" customHeight="1">
      <c r="A210" s="33">
        <f>IF(ISERROR(VLOOKUP(RANK(H210,$H$2:$H$331),$A$2:A209,1,0)),RANK(H210,$H$2:$H$331),IF(ISERROR(VLOOKUP((RANK(H210,$H$2:$H$331)+1),$A$2:A209,1,0)),(RANK(H210,$H$2:$H$331)+1),(RANK(H210,$H$2:$H$331)+2)))</f>
        <v>168</v>
      </c>
      <c r="B210" s="33">
        <f>Cheatsheet!Y41</f>
        <v>39</v>
      </c>
      <c r="C210" s="33" t="str">
        <f>Cheatsheet!Z41</f>
        <v/>
      </c>
      <c r="D210" s="33" t="str">
        <f>Cheatsheet!AA41</f>
        <v>Anquan Boldin</v>
      </c>
      <c r="E210" s="33" t="str">
        <f>Cheatsheet!AB41</f>
        <v>SF</v>
      </c>
      <c r="F210" s="33">
        <f>Cheatsheet!AC41</f>
        <v>8</v>
      </c>
      <c r="G210" s="70">
        <f>Cheatsheet!AD41</f>
        <v>141.6</v>
      </c>
      <c r="H210" s="70">
        <f>Cheatsheet!AE41</f>
        <v>-59.439393939393909</v>
      </c>
      <c r="I210" s="33" t="s">
        <v>3</v>
      </c>
      <c r="J210" s="33"/>
      <c r="K210" s="181"/>
      <c r="L210" s="181"/>
      <c r="M210" s="33"/>
      <c r="N210" s="33"/>
      <c r="O210" s="33"/>
      <c r="P210" s="33"/>
      <c r="Q210" s="33"/>
      <c r="R210" s="181"/>
      <c r="S210" s="33"/>
      <c r="T210" s="181"/>
      <c r="U210" s="181"/>
      <c r="V210" s="33"/>
      <c r="W210" s="33"/>
      <c r="X210" s="33"/>
      <c r="Y210" s="33"/>
      <c r="Z210" s="33"/>
      <c r="AA210" s="181"/>
      <c r="AB210" s="33"/>
      <c r="AC210" s="181"/>
      <c r="AD210" s="181"/>
      <c r="AE210" s="33"/>
      <c r="AF210" s="33"/>
      <c r="AG210" s="33"/>
      <c r="AH210" s="33"/>
      <c r="AI210" s="33"/>
      <c r="AJ210" s="181"/>
      <c r="AK210" s="33"/>
    </row>
    <row r="211" spans="1:37" ht="12.75" customHeight="1">
      <c r="A211" s="33">
        <f>IF(ISERROR(VLOOKUP(RANK(H211,$H$2:$H$331),$A$2:A210,1,0)),RANK(H211,$H$2:$H$331),IF(ISERROR(VLOOKUP((RANK(H211,$H$2:$H$331)+1),$A$2:A210,1,0)),(RANK(H211,$H$2:$H$331)+1),(RANK(H211,$H$2:$H$331)+2)))</f>
        <v>169</v>
      </c>
      <c r="B211" s="33">
        <f>Cheatsheet!Y42</f>
        <v>40</v>
      </c>
      <c r="C211" s="33" t="str">
        <f>Cheatsheet!Z42</f>
        <v/>
      </c>
      <c r="D211" s="33" t="str">
        <f>Cheatsheet!AA42</f>
        <v>Brian Hartline</v>
      </c>
      <c r="E211" s="33" t="str">
        <f>Cheatsheet!AB42</f>
        <v>MIA</v>
      </c>
      <c r="F211" s="33">
        <f>Cheatsheet!AC42</f>
        <v>5</v>
      </c>
      <c r="G211" s="70">
        <f>Cheatsheet!AD42</f>
        <v>140.69999999999999</v>
      </c>
      <c r="H211" s="70">
        <f>Cheatsheet!AE42</f>
        <v>-60.339393939393915</v>
      </c>
      <c r="I211" s="33" t="s">
        <v>3</v>
      </c>
      <c r="J211" s="33"/>
      <c r="K211" s="181"/>
      <c r="L211" s="181"/>
      <c r="M211" s="33"/>
      <c r="N211" s="33"/>
      <c r="O211" s="33"/>
      <c r="P211" s="33"/>
      <c r="Q211" s="33"/>
      <c r="R211" s="181"/>
      <c r="S211" s="33"/>
      <c r="T211" s="181"/>
      <c r="U211" s="181"/>
      <c r="V211" s="33"/>
      <c r="W211" s="33"/>
      <c r="X211" s="33"/>
      <c r="Y211" s="33"/>
      <c r="Z211" s="33"/>
      <c r="AA211" s="181"/>
      <c r="AB211" s="33"/>
      <c r="AC211" s="181"/>
      <c r="AD211" s="181"/>
      <c r="AE211" s="33"/>
      <c r="AF211" s="33"/>
      <c r="AG211" s="33"/>
      <c r="AH211" s="33"/>
      <c r="AI211" s="33"/>
      <c r="AJ211" s="181"/>
      <c r="AK211" s="33"/>
    </row>
    <row r="212" spans="1:37" ht="12.75" customHeight="1">
      <c r="A212" s="33">
        <f>IF(ISERROR(VLOOKUP(RANK(H212,$H$2:$H$331),$A$2:A211,1,0)),RANK(H212,$H$2:$H$331),IF(ISERROR(VLOOKUP((RANK(H212,$H$2:$H$331)+1),$A$2:A211,1,0)),(RANK(H212,$H$2:$H$331)+1),(RANK(H212,$H$2:$H$331)+2)))</f>
        <v>171</v>
      </c>
      <c r="B212" s="33">
        <f>Cheatsheet!Y43</f>
        <v>41</v>
      </c>
      <c r="C212" s="33" t="str">
        <f>Cheatsheet!Z43</f>
        <v/>
      </c>
      <c r="D212" s="33" t="str">
        <f>Cheatsheet!AA43</f>
        <v>DeAndre Hopkins</v>
      </c>
      <c r="E212" s="33" t="str">
        <f>Cheatsheet!AB43</f>
        <v>HOU</v>
      </c>
      <c r="F212" s="33">
        <f>Cheatsheet!AC43</f>
        <v>10</v>
      </c>
      <c r="G212" s="70">
        <f>Cheatsheet!AD43</f>
        <v>139.4</v>
      </c>
      <c r="H212" s="70">
        <f>Cheatsheet!AE43</f>
        <v>-61.639393939393898</v>
      </c>
      <c r="I212" s="33" t="s">
        <v>3</v>
      </c>
      <c r="J212" s="33"/>
      <c r="K212" s="181"/>
      <c r="L212" s="181"/>
      <c r="M212" s="33"/>
      <c r="N212" s="33"/>
      <c r="O212" s="33"/>
      <c r="P212" s="33"/>
      <c r="Q212" s="33"/>
      <c r="R212" s="181"/>
      <c r="S212" s="33"/>
      <c r="T212" s="181"/>
      <c r="U212" s="181"/>
      <c r="V212" s="33"/>
      <c r="W212" s="33"/>
      <c r="X212" s="33"/>
      <c r="Y212" s="33"/>
      <c r="Z212" s="33"/>
      <c r="AA212" s="181"/>
      <c r="AB212" s="33"/>
      <c r="AC212" s="181"/>
      <c r="AD212" s="181"/>
      <c r="AE212" s="33"/>
      <c r="AF212" s="33"/>
      <c r="AG212" s="33"/>
      <c r="AH212" s="33"/>
      <c r="AI212" s="33"/>
      <c r="AJ212" s="181"/>
      <c r="AK212" s="33"/>
    </row>
    <row r="213" spans="1:37" ht="12.75" customHeight="1">
      <c r="A213" s="33">
        <f>IF(ISERROR(VLOOKUP(RANK(H213,$H$2:$H$331),$A$2:A212,1,0)),RANK(H213,$H$2:$H$331),IF(ISERROR(VLOOKUP((RANK(H213,$H$2:$H$331)+1),$A$2:A212,1,0)),(RANK(H213,$H$2:$H$331)+1),(RANK(H213,$H$2:$H$331)+2)))</f>
        <v>174</v>
      </c>
      <c r="B213" s="33">
        <f>Cheatsheet!Y44</f>
        <v>42</v>
      </c>
      <c r="C213" s="33" t="str">
        <f>Cheatsheet!Z44</f>
        <v/>
      </c>
      <c r="D213" s="33" t="str">
        <f>Cheatsheet!AA44</f>
        <v>Rueben Randle</v>
      </c>
      <c r="E213" s="33" t="str">
        <f>Cheatsheet!AB44</f>
        <v>NYG</v>
      </c>
      <c r="F213" s="33">
        <f>Cheatsheet!AC44</f>
        <v>8</v>
      </c>
      <c r="G213" s="70">
        <f>Cheatsheet!AD44</f>
        <v>137</v>
      </c>
      <c r="H213" s="70">
        <f>Cheatsheet!AE44</f>
        <v>-64.039393939393904</v>
      </c>
      <c r="I213" s="33" t="s">
        <v>3</v>
      </c>
      <c r="J213" s="33"/>
      <c r="K213" s="181"/>
      <c r="L213" s="181"/>
      <c r="M213" s="33"/>
      <c r="N213" s="33"/>
      <c r="O213" s="33"/>
      <c r="P213" s="33"/>
      <c r="Q213" s="33"/>
      <c r="R213" s="181"/>
      <c r="S213" s="33"/>
      <c r="T213" s="181"/>
      <c r="U213" s="181"/>
      <c r="V213" s="33"/>
      <c r="W213" s="33"/>
      <c r="X213" s="33"/>
      <c r="Y213" s="33"/>
      <c r="Z213" s="33"/>
      <c r="AA213" s="181"/>
      <c r="AB213" s="33"/>
      <c r="AC213" s="181"/>
      <c r="AD213" s="181"/>
      <c r="AE213" s="33"/>
      <c r="AF213" s="33"/>
      <c r="AG213" s="33"/>
      <c r="AH213" s="33"/>
      <c r="AI213" s="33"/>
      <c r="AJ213" s="181"/>
      <c r="AK213" s="33"/>
    </row>
    <row r="214" spans="1:37" ht="12.75" customHeight="1">
      <c r="A214" s="33">
        <f>IF(ISERROR(VLOOKUP(RANK(H214,$H$2:$H$331),$A$2:A213,1,0)),RANK(H214,$H$2:$H$331),IF(ISERROR(VLOOKUP((RANK(H214,$H$2:$H$331)+1),$A$2:A213,1,0)),(RANK(H214,$H$2:$H$331)+1),(RANK(H214,$H$2:$H$331)+2)))</f>
        <v>175</v>
      </c>
      <c r="B214" s="33">
        <f>Cheatsheet!Y45</f>
        <v>43</v>
      </c>
      <c r="C214" s="33" t="str">
        <f>Cheatsheet!Z45</f>
        <v/>
      </c>
      <c r="D214" s="33" t="str">
        <f>Cheatsheet!AA45</f>
        <v>Danny Amendola</v>
      </c>
      <c r="E214" s="33" t="str">
        <f>Cheatsheet!AB45</f>
        <v>NE</v>
      </c>
      <c r="F214" s="33">
        <f>Cheatsheet!AC45</f>
        <v>10</v>
      </c>
      <c r="G214" s="70">
        <f>Cheatsheet!AD45</f>
        <v>135.80000000000001</v>
      </c>
      <c r="H214" s="70">
        <f>Cheatsheet!AE45</f>
        <v>-65.239393939393892</v>
      </c>
      <c r="I214" s="33" t="s">
        <v>3</v>
      </c>
      <c r="J214" s="33"/>
      <c r="K214" s="181"/>
      <c r="L214" s="181"/>
      <c r="M214" s="33"/>
      <c r="N214" s="33"/>
      <c r="O214" s="33"/>
      <c r="P214" s="33"/>
      <c r="Q214" s="33"/>
      <c r="R214" s="181"/>
      <c r="S214" s="33"/>
      <c r="T214" s="181"/>
      <c r="U214" s="181"/>
      <c r="V214" s="33"/>
      <c r="W214" s="33"/>
      <c r="X214" s="33"/>
      <c r="Y214" s="33"/>
      <c r="Z214" s="33"/>
      <c r="AA214" s="181"/>
      <c r="AB214" s="33"/>
      <c r="AC214" s="181"/>
      <c r="AD214" s="181"/>
      <c r="AE214" s="33"/>
      <c r="AF214" s="33"/>
      <c r="AG214" s="33"/>
      <c r="AH214" s="33"/>
      <c r="AI214" s="33"/>
      <c r="AJ214" s="181"/>
      <c r="AK214" s="33"/>
    </row>
    <row r="215" spans="1:37" ht="12.75" customHeight="1">
      <c r="A215" s="33">
        <f>IF(ISERROR(VLOOKUP(RANK(H215,$H$2:$H$331),$A$2:A214,1,0)),RANK(H215,$H$2:$H$331),IF(ISERROR(VLOOKUP((RANK(H215,$H$2:$H$331)+1),$A$2:A214,1,0)),(RANK(H215,$H$2:$H$331)+1),(RANK(H215,$H$2:$H$331)+2)))</f>
        <v>178</v>
      </c>
      <c r="B215" s="33">
        <f>Cheatsheet!Y46</f>
        <v>44</v>
      </c>
      <c r="C215" s="33" t="str">
        <f>Cheatsheet!Z46</f>
        <v/>
      </c>
      <c r="D215" s="33" t="str">
        <f>Cheatsheet!AA46</f>
        <v>Kelvin Benjamin</v>
      </c>
      <c r="E215" s="33" t="str">
        <f>Cheatsheet!AB46</f>
        <v>CAR</v>
      </c>
      <c r="F215" s="33">
        <f>Cheatsheet!AC46</f>
        <v>12</v>
      </c>
      <c r="G215" s="70">
        <f>Cheatsheet!AD46</f>
        <v>134.5</v>
      </c>
      <c r="H215" s="70">
        <f>Cheatsheet!AE46</f>
        <v>-66.539393939393904</v>
      </c>
      <c r="I215" s="33" t="s">
        <v>3</v>
      </c>
      <c r="J215" s="33"/>
      <c r="K215" s="181"/>
      <c r="L215" s="181"/>
      <c r="M215" s="33"/>
      <c r="N215" s="33"/>
      <c r="O215" s="33"/>
      <c r="P215" s="33"/>
      <c r="Q215" s="33"/>
      <c r="R215" s="181"/>
      <c r="S215" s="33"/>
      <c r="T215" s="181"/>
      <c r="U215" s="181"/>
      <c r="V215" s="33"/>
      <c r="W215" s="33"/>
      <c r="X215" s="33"/>
      <c r="Y215" s="33"/>
      <c r="Z215" s="33"/>
      <c r="AA215" s="181"/>
      <c r="AB215" s="33"/>
      <c r="AC215" s="181"/>
      <c r="AD215" s="181"/>
      <c r="AE215" s="33"/>
      <c r="AF215" s="33"/>
      <c r="AG215" s="33"/>
      <c r="AH215" s="33"/>
      <c r="AI215" s="33"/>
      <c r="AJ215" s="181"/>
      <c r="AK215" s="33"/>
    </row>
    <row r="216" spans="1:37" ht="12.75" customHeight="1">
      <c r="A216" s="33">
        <f>IF(ISERROR(VLOOKUP(RANK(H216,$H$2:$H$331),$A$2:A215,1,0)),RANK(H216,$H$2:$H$331),IF(ISERROR(VLOOKUP((RANK(H216,$H$2:$H$331)+1),$A$2:A215,1,0)),(RANK(H216,$H$2:$H$331)+1),(RANK(H216,$H$2:$H$331)+2)))</f>
        <v>179</v>
      </c>
      <c r="B216" s="33">
        <f>Cheatsheet!Y47</f>
        <v>45</v>
      </c>
      <c r="C216" s="33" t="str">
        <f>Cheatsheet!Z47</f>
        <v/>
      </c>
      <c r="D216" s="33" t="str">
        <f>Cheatsheet!AA47</f>
        <v>Riley Cooper</v>
      </c>
      <c r="E216" s="33" t="str">
        <f>Cheatsheet!AB47</f>
        <v>PHI</v>
      </c>
      <c r="F216" s="33">
        <f>Cheatsheet!AC47</f>
        <v>7</v>
      </c>
      <c r="G216" s="70">
        <f>Cheatsheet!AD47</f>
        <v>133.6</v>
      </c>
      <c r="H216" s="70">
        <f>Cheatsheet!AE47</f>
        <v>-67.439393939393909</v>
      </c>
      <c r="I216" s="33" t="s">
        <v>3</v>
      </c>
      <c r="J216" s="33"/>
      <c r="K216" s="181"/>
      <c r="L216" s="181"/>
      <c r="M216" s="33"/>
      <c r="N216" s="33"/>
      <c r="O216" s="33"/>
      <c r="P216" s="33"/>
      <c r="Q216" s="33"/>
      <c r="R216" s="181"/>
      <c r="S216" s="33"/>
      <c r="T216" s="181"/>
      <c r="U216" s="181"/>
      <c r="V216" s="33"/>
      <c r="W216" s="33"/>
      <c r="X216" s="33"/>
      <c r="Y216" s="33"/>
      <c r="Z216" s="33"/>
      <c r="AA216" s="181"/>
      <c r="AB216" s="33"/>
      <c r="AC216" s="181"/>
      <c r="AD216" s="181"/>
      <c r="AE216" s="33"/>
      <c r="AF216" s="33"/>
      <c r="AG216" s="33"/>
      <c r="AH216" s="33"/>
      <c r="AI216" s="33"/>
      <c r="AJ216" s="181"/>
      <c r="AK216" s="33"/>
    </row>
    <row r="217" spans="1:37" ht="12.75" customHeight="1">
      <c r="A217" s="33">
        <f>IF(ISERROR(VLOOKUP(RANK(H217,$H$2:$H$331),$A$2:A216,1,0)),RANK(H217,$H$2:$H$331),IF(ISERROR(VLOOKUP((RANK(H217,$H$2:$H$331)+1),$A$2:A216,1,0)),(RANK(H217,$H$2:$H$331)+1),(RANK(H217,$H$2:$H$331)+2)))</f>
        <v>186</v>
      </c>
      <c r="B217" s="33">
        <f>Cheatsheet!Y48</f>
        <v>46</v>
      </c>
      <c r="C217" s="33" t="str">
        <f>Cheatsheet!Z48</f>
        <v/>
      </c>
      <c r="D217" s="33" t="str">
        <f>Cheatsheet!AA48</f>
        <v>Jarrett Boykin</v>
      </c>
      <c r="E217" s="33" t="str">
        <f>Cheatsheet!AB48</f>
        <v>GB</v>
      </c>
      <c r="F217" s="33">
        <f>Cheatsheet!AC48</f>
        <v>9</v>
      </c>
      <c r="G217" s="70">
        <f>Cheatsheet!AD48</f>
        <v>128.80000000000001</v>
      </c>
      <c r="H217" s="70">
        <f>Cheatsheet!AE48</f>
        <v>-72.239393939393892</v>
      </c>
      <c r="I217" s="33" t="s">
        <v>3</v>
      </c>
      <c r="J217" s="33"/>
      <c r="K217" s="181"/>
      <c r="L217" s="181"/>
      <c r="M217" s="33"/>
      <c r="N217" s="33"/>
      <c r="O217" s="33"/>
      <c r="P217" s="33"/>
      <c r="Q217" s="33"/>
      <c r="R217" s="181"/>
      <c r="S217" s="33"/>
      <c r="T217" s="181"/>
      <c r="U217" s="181"/>
      <c r="V217" s="33"/>
      <c r="W217" s="33"/>
      <c r="X217" s="33"/>
      <c r="Y217" s="33"/>
      <c r="Z217" s="33"/>
      <c r="AA217" s="181"/>
      <c r="AB217" s="33"/>
      <c r="AC217" s="181"/>
      <c r="AD217" s="181"/>
      <c r="AE217" s="33"/>
      <c r="AF217" s="33"/>
      <c r="AG217" s="33"/>
      <c r="AH217" s="33"/>
      <c r="AI217" s="33"/>
      <c r="AJ217" s="181"/>
      <c r="AK217" s="33"/>
    </row>
    <row r="218" spans="1:37" ht="12.75" customHeight="1">
      <c r="A218" s="33">
        <f>IF(ISERROR(VLOOKUP(RANK(H218,$H$2:$H$331),$A$2:A217,1,0)),RANK(H218,$H$2:$H$331),IF(ISERROR(VLOOKUP((RANK(H218,$H$2:$H$331)+1),$A$2:A217,1,0)),(RANK(H218,$H$2:$H$331)+1),(RANK(H218,$H$2:$H$331)+2)))</f>
        <v>189</v>
      </c>
      <c r="B218" s="33">
        <f>Cheatsheet!Y49</f>
        <v>47</v>
      </c>
      <c r="C218" s="33" t="str">
        <f>Cheatsheet!Z49</f>
        <v/>
      </c>
      <c r="D218" s="33" t="str">
        <f>Cheatsheet!AA49</f>
        <v>James Jones</v>
      </c>
      <c r="E218" s="33" t="str">
        <f>Cheatsheet!AB49</f>
        <v>OAK</v>
      </c>
      <c r="F218" s="33">
        <f>Cheatsheet!AC49</f>
        <v>5</v>
      </c>
      <c r="G218" s="70">
        <f>Cheatsheet!AD49</f>
        <v>126.2</v>
      </c>
      <c r="H218" s="70">
        <f>Cheatsheet!AE49</f>
        <v>-74.839393939393901</v>
      </c>
      <c r="I218" s="33" t="s">
        <v>3</v>
      </c>
      <c r="J218" s="33"/>
      <c r="K218" s="181"/>
      <c r="L218" s="181"/>
      <c r="M218" s="33"/>
      <c r="N218" s="33"/>
      <c r="O218" s="33"/>
      <c r="P218" s="33"/>
      <c r="Q218" s="33"/>
      <c r="R218" s="181"/>
      <c r="S218" s="33"/>
      <c r="T218" s="181"/>
      <c r="U218" s="181"/>
      <c r="V218" s="33"/>
      <c r="W218" s="33"/>
      <c r="X218" s="33"/>
      <c r="Y218" s="33"/>
      <c r="Z218" s="33"/>
      <c r="AA218" s="181"/>
      <c r="AB218" s="33"/>
      <c r="AC218" s="181"/>
      <c r="AD218" s="181"/>
      <c r="AE218" s="33"/>
      <c r="AF218" s="33"/>
      <c r="AG218" s="33"/>
      <c r="AH218" s="33"/>
      <c r="AI218" s="33"/>
      <c r="AJ218" s="181"/>
      <c r="AK218" s="33"/>
    </row>
    <row r="219" spans="1:37" ht="12.75" customHeight="1">
      <c r="A219" s="33">
        <f>IF(ISERROR(VLOOKUP(RANK(H219,$H$2:$H$331),$A$2:A218,1,0)),RANK(H219,$H$2:$H$331),IF(ISERROR(VLOOKUP((RANK(H219,$H$2:$H$331)+1),$A$2:A218,1,0)),(RANK(H219,$H$2:$H$331)+1),(RANK(H219,$H$2:$H$331)+2)))</f>
        <v>190</v>
      </c>
      <c r="B219" s="33">
        <f>Cheatsheet!Y50</f>
        <v>48</v>
      </c>
      <c r="C219" s="33" t="str">
        <f>Cheatsheet!Z50</f>
        <v/>
      </c>
      <c r="D219" s="33" t="str">
        <f>Cheatsheet!AA50</f>
        <v>Harry Douglas</v>
      </c>
      <c r="E219" s="33" t="str">
        <f>Cheatsheet!AB50</f>
        <v>ATL</v>
      </c>
      <c r="F219" s="33">
        <f>Cheatsheet!AC50</f>
        <v>9</v>
      </c>
      <c r="G219" s="70">
        <f>Cheatsheet!AD50</f>
        <v>126.1</v>
      </c>
      <c r="H219" s="70">
        <f>Cheatsheet!AE50</f>
        <v>-74.939393939393909</v>
      </c>
      <c r="I219" s="33" t="s">
        <v>3</v>
      </c>
      <c r="J219" s="33"/>
      <c r="K219" s="181"/>
      <c r="L219" s="181"/>
      <c r="M219" s="33"/>
      <c r="N219" s="33"/>
      <c r="O219" s="33"/>
      <c r="P219" s="33"/>
      <c r="Q219" s="33"/>
      <c r="R219" s="181"/>
      <c r="S219" s="33"/>
      <c r="T219" s="181"/>
      <c r="U219" s="181"/>
      <c r="V219" s="33"/>
      <c r="W219" s="33"/>
      <c r="X219" s="33"/>
      <c r="Y219" s="33"/>
      <c r="Z219" s="33"/>
      <c r="AA219" s="181"/>
      <c r="AB219" s="33"/>
      <c r="AC219" s="181"/>
      <c r="AD219" s="181"/>
      <c r="AE219" s="33"/>
      <c r="AF219" s="33"/>
      <c r="AG219" s="33"/>
      <c r="AH219" s="33"/>
      <c r="AI219" s="33"/>
      <c r="AJ219" s="181"/>
      <c r="AK219" s="33"/>
    </row>
    <row r="220" spans="1:37" ht="12.75" customHeight="1">
      <c r="A220" s="33">
        <f>IF(ISERROR(VLOOKUP(RANK(H220,$H$2:$H$331),$A$2:A219,1,0)),RANK(H220,$H$2:$H$331),IF(ISERROR(VLOOKUP((RANK(H220,$H$2:$H$331)+1),$A$2:A219,1,0)),(RANK(H220,$H$2:$H$331)+1),(RANK(H220,$H$2:$H$331)+2)))</f>
        <v>191</v>
      </c>
      <c r="B220" s="33">
        <f>Cheatsheet!Y51</f>
        <v>49</v>
      </c>
      <c r="C220" s="33" t="str">
        <f>Cheatsheet!Z51</f>
        <v/>
      </c>
      <c r="D220" s="33" t="str">
        <f>Cheatsheet!AA51</f>
        <v>Tavon Austin</v>
      </c>
      <c r="E220" s="33" t="str">
        <f>Cheatsheet!AB51</f>
        <v>STL</v>
      </c>
      <c r="F220" s="33">
        <f>Cheatsheet!AC51</f>
        <v>4</v>
      </c>
      <c r="G220" s="70">
        <f>Cheatsheet!AD51</f>
        <v>125.3</v>
      </c>
      <c r="H220" s="70">
        <f>Cheatsheet!AE51</f>
        <v>-75.739393939393906</v>
      </c>
      <c r="I220" s="33" t="s">
        <v>3</v>
      </c>
      <c r="J220" s="33"/>
      <c r="K220" s="181"/>
      <c r="L220" s="181"/>
      <c r="M220" s="33"/>
      <c r="N220" s="33"/>
      <c r="O220" s="33"/>
      <c r="P220" s="33"/>
      <c r="Q220" s="33"/>
      <c r="R220" s="181"/>
      <c r="S220" s="33"/>
      <c r="T220" s="181"/>
      <c r="U220" s="181"/>
      <c r="V220" s="33"/>
      <c r="W220" s="33"/>
      <c r="X220" s="33"/>
      <c r="Y220" s="33"/>
      <c r="Z220" s="33"/>
      <c r="AA220" s="181"/>
      <c r="AB220" s="33"/>
      <c r="AC220" s="181"/>
      <c r="AD220" s="181"/>
      <c r="AE220" s="33"/>
      <c r="AF220" s="33"/>
      <c r="AG220" s="33"/>
      <c r="AH220" s="33"/>
      <c r="AI220" s="33"/>
      <c r="AJ220" s="181"/>
      <c r="AK220" s="33"/>
    </row>
    <row r="221" spans="1:37" ht="12.75" customHeight="1">
      <c r="A221" s="33">
        <f>IF(ISERROR(VLOOKUP(RANK(H221,$H$2:$H$331),$A$2:A220,1,0)),RANK(H221,$H$2:$H$331),IF(ISERROR(VLOOKUP((RANK(H221,$H$2:$H$331)+1),$A$2:A220,1,0)),(RANK(H221,$H$2:$H$331)+1),(RANK(H221,$H$2:$H$331)+2)))</f>
        <v>193</v>
      </c>
      <c r="B221" s="33">
        <f>Cheatsheet!Y52</f>
        <v>50</v>
      </c>
      <c r="C221" s="33" t="str">
        <f>Cheatsheet!Z52</f>
        <v/>
      </c>
      <c r="D221" s="33" t="str">
        <f>Cheatsheet!AA52</f>
        <v>Kenny Stills</v>
      </c>
      <c r="E221" s="33" t="str">
        <f>Cheatsheet!AB52</f>
        <v>NO</v>
      </c>
      <c r="F221" s="33">
        <f>Cheatsheet!AC52</f>
        <v>6</v>
      </c>
      <c r="G221" s="70">
        <f>Cheatsheet!AD52</f>
        <v>120.8</v>
      </c>
      <c r="H221" s="70">
        <f>Cheatsheet!AE52</f>
        <v>-80.239393939393906</v>
      </c>
      <c r="I221" s="33" t="s">
        <v>3</v>
      </c>
      <c r="J221" s="33"/>
      <c r="K221" s="181"/>
      <c r="L221" s="181"/>
      <c r="M221" s="33"/>
      <c r="N221" s="33"/>
      <c r="O221" s="33"/>
      <c r="P221" s="33"/>
      <c r="Q221" s="33"/>
      <c r="R221" s="181"/>
      <c r="S221" s="33"/>
      <c r="T221" s="181"/>
      <c r="U221" s="181"/>
      <c r="V221" s="33"/>
      <c r="W221" s="33"/>
      <c r="X221" s="33"/>
      <c r="Y221" s="33"/>
      <c r="Z221" s="33"/>
      <c r="AA221" s="181"/>
      <c r="AB221" s="33"/>
      <c r="AC221" s="181"/>
      <c r="AD221" s="181"/>
      <c r="AE221" s="33"/>
      <c r="AF221" s="33"/>
      <c r="AG221" s="33"/>
      <c r="AH221" s="33"/>
      <c r="AI221" s="33"/>
      <c r="AJ221" s="181"/>
      <c r="AK221" s="33"/>
    </row>
    <row r="222" spans="1:37" ht="12.75" customHeight="1">
      <c r="A222" s="33">
        <f>IF(ISERROR(VLOOKUP(RANK(H222,$H$2:$H$331),$A$2:A221,1,0)),RANK(H222,$H$2:$H$331),IF(ISERROR(VLOOKUP((RANK(H222,$H$2:$H$331)+1),$A$2:A221,1,0)),(RANK(H222,$H$2:$H$331)+1),(RANK(H222,$H$2:$H$331)+2)))</f>
        <v>201</v>
      </c>
      <c r="B222" s="33">
        <f>Cheatsheet!Y53</f>
        <v>51</v>
      </c>
      <c r="C222" s="33" t="str">
        <f>Cheatsheet!Z53</f>
        <v/>
      </c>
      <c r="D222" s="33" t="str">
        <f>Cheatsheet!AA53</f>
        <v>Steve Smith</v>
      </c>
      <c r="E222" s="33" t="str">
        <f>Cheatsheet!AB53</f>
        <v>BAL</v>
      </c>
      <c r="F222" s="33">
        <f>Cheatsheet!AC53</f>
        <v>11</v>
      </c>
      <c r="G222" s="70">
        <f>Cheatsheet!AD53</f>
        <v>109.8</v>
      </c>
      <c r="H222" s="70">
        <f>Cheatsheet!AE53</f>
        <v>-91.239393939393906</v>
      </c>
      <c r="I222" s="33" t="s">
        <v>3</v>
      </c>
      <c r="J222" s="33"/>
      <c r="K222" s="181"/>
      <c r="L222" s="181"/>
      <c r="M222" s="33"/>
      <c r="N222" s="33"/>
      <c r="O222" s="33"/>
      <c r="P222" s="33"/>
      <c r="Q222" s="33"/>
      <c r="R222" s="181"/>
      <c r="S222" s="33"/>
      <c r="T222" s="181"/>
      <c r="U222" s="181"/>
      <c r="V222" s="33"/>
      <c r="W222" s="33"/>
      <c r="X222" s="33"/>
      <c r="Y222" s="33"/>
      <c r="Z222" s="33"/>
      <c r="AA222" s="181"/>
      <c r="AB222" s="33"/>
      <c r="AC222" s="181"/>
      <c r="AD222" s="181"/>
      <c r="AE222" s="33"/>
      <c r="AF222" s="33"/>
      <c r="AG222" s="33"/>
      <c r="AH222" s="33"/>
      <c r="AI222" s="33"/>
      <c r="AJ222" s="181"/>
      <c r="AK222" s="33"/>
    </row>
    <row r="223" spans="1:37" ht="12.75" customHeight="1">
      <c r="A223" s="33">
        <f>IF(ISERROR(VLOOKUP(RANK(H223,$H$2:$H$331),$A$2:A222,1,0)),RANK(H223,$H$2:$H$331),IF(ISERROR(VLOOKUP((RANK(H223,$H$2:$H$331)+1),$A$2:A222,1,0)),(RANK(H223,$H$2:$H$331)+1),(RANK(H223,$H$2:$H$331)+2)))</f>
        <v>205</v>
      </c>
      <c r="B223" s="33">
        <f>Cheatsheet!Y54</f>
        <v>52</v>
      </c>
      <c r="C223" s="33" t="str">
        <f>Cheatsheet!Z54</f>
        <v/>
      </c>
      <c r="D223" s="33" t="str">
        <f>Cheatsheet!AA54</f>
        <v>Mike Williams</v>
      </c>
      <c r="E223" s="33" t="str">
        <f>Cheatsheet!AB54</f>
        <v>BUF</v>
      </c>
      <c r="F223" s="33">
        <f>Cheatsheet!AC54</f>
        <v>9</v>
      </c>
      <c r="G223" s="70">
        <f>Cheatsheet!AD54</f>
        <v>108.1</v>
      </c>
      <c r="H223" s="70">
        <f>Cheatsheet!AE54</f>
        <v>-92.939393939393909</v>
      </c>
      <c r="I223" s="33" t="s">
        <v>3</v>
      </c>
      <c r="J223" s="33"/>
      <c r="K223" s="181"/>
      <c r="L223" s="181"/>
      <c r="M223" s="33"/>
      <c r="N223" s="33"/>
      <c r="O223" s="33"/>
      <c r="P223" s="33"/>
      <c r="Q223" s="33"/>
      <c r="R223" s="181"/>
      <c r="S223" s="33"/>
      <c r="T223" s="181"/>
      <c r="U223" s="181"/>
      <c r="V223" s="33"/>
      <c r="W223" s="33"/>
      <c r="X223" s="33"/>
      <c r="Y223" s="33"/>
      <c r="Z223" s="33"/>
      <c r="AA223" s="181"/>
      <c r="AB223" s="33"/>
      <c r="AC223" s="181"/>
      <c r="AD223" s="181"/>
      <c r="AE223" s="33"/>
      <c r="AF223" s="33"/>
      <c r="AG223" s="33"/>
      <c r="AH223" s="33"/>
      <c r="AI223" s="33"/>
      <c r="AJ223" s="181"/>
      <c r="AK223" s="33"/>
    </row>
    <row r="224" spans="1:37" ht="12.75" customHeight="1">
      <c r="A224" s="33">
        <f>IF(ISERROR(VLOOKUP(RANK(H224,$H$2:$H$331),$A$2:A223,1,0)),RANK(H224,$H$2:$H$331),IF(ISERROR(VLOOKUP((RANK(H224,$H$2:$H$331)+1),$A$2:A223,1,0)),(RANK(H224,$H$2:$H$331)+1),(RANK(H224,$H$2:$H$331)+2)))</f>
        <v>208</v>
      </c>
      <c r="B224" s="33">
        <f>Cheatsheet!Y55</f>
        <v>53</v>
      </c>
      <c r="C224" s="33" t="str">
        <f>Cheatsheet!Z55</f>
        <v/>
      </c>
      <c r="D224" s="33" t="str">
        <f>Cheatsheet!AA55</f>
        <v>Doug Baldwin</v>
      </c>
      <c r="E224" s="33" t="str">
        <f>Cheatsheet!AB55</f>
        <v>SEA</v>
      </c>
      <c r="F224" s="33">
        <f>Cheatsheet!AC55</f>
        <v>4</v>
      </c>
      <c r="G224" s="70">
        <f>Cheatsheet!AD55</f>
        <v>104.7</v>
      </c>
      <c r="H224" s="70">
        <f>Cheatsheet!AE55</f>
        <v>-96.339393939393901</v>
      </c>
      <c r="I224" s="33" t="s">
        <v>3</v>
      </c>
      <c r="J224" s="33"/>
      <c r="K224" s="181"/>
      <c r="L224" s="181"/>
      <c r="M224" s="33"/>
      <c r="N224" s="33"/>
      <c r="O224" s="33"/>
      <c r="P224" s="33"/>
      <c r="Q224" s="33"/>
      <c r="R224" s="181"/>
      <c r="S224" s="33"/>
      <c r="T224" s="181"/>
      <c r="U224" s="181"/>
      <c r="V224" s="33"/>
      <c r="W224" s="33"/>
      <c r="X224" s="33"/>
      <c r="Y224" s="33"/>
      <c r="Z224" s="33"/>
      <c r="AA224" s="181"/>
      <c r="AB224" s="33"/>
      <c r="AC224" s="181"/>
      <c r="AD224" s="181"/>
      <c r="AE224" s="33"/>
      <c r="AF224" s="33"/>
      <c r="AG224" s="33"/>
      <c r="AH224" s="33"/>
      <c r="AI224" s="33"/>
      <c r="AJ224" s="181"/>
      <c r="AK224" s="33"/>
    </row>
    <row r="225" spans="1:37" ht="12.75" customHeight="1">
      <c r="A225" s="33">
        <f>IF(ISERROR(VLOOKUP(RANK(H225,$H$2:$H$331),$A$2:A224,1,0)),RANK(H225,$H$2:$H$331),IF(ISERROR(VLOOKUP((RANK(H225,$H$2:$H$331)+1),$A$2:A224,1,0)),(RANK(H225,$H$2:$H$331)+1),(RANK(H225,$H$2:$H$331)+2)))</f>
        <v>210</v>
      </c>
      <c r="B225" s="33">
        <f>Cheatsheet!Y56</f>
        <v>54</v>
      </c>
      <c r="C225" s="33" t="str">
        <f>Cheatsheet!Z56</f>
        <v/>
      </c>
      <c r="D225" s="33" t="str">
        <f>Cheatsheet!AA56</f>
        <v>Nate Washington</v>
      </c>
      <c r="E225" s="33" t="str">
        <f>Cheatsheet!AB56</f>
        <v>TEN</v>
      </c>
      <c r="F225" s="33">
        <f>Cheatsheet!AC56</f>
        <v>9</v>
      </c>
      <c r="G225" s="70">
        <f>Cheatsheet!AD56</f>
        <v>102.7</v>
      </c>
      <c r="H225" s="70">
        <f>Cheatsheet!AE56</f>
        <v>-98.339393939393901</v>
      </c>
      <c r="I225" s="33" t="s">
        <v>3</v>
      </c>
      <c r="J225" s="33"/>
      <c r="K225" s="181"/>
      <c r="L225" s="181"/>
      <c r="M225" s="33"/>
      <c r="N225" s="33"/>
      <c r="O225" s="33"/>
      <c r="P225" s="33"/>
      <c r="Q225" s="33"/>
      <c r="R225" s="181"/>
      <c r="S225" s="33"/>
      <c r="T225" s="181"/>
      <c r="U225" s="181"/>
      <c r="V225" s="33"/>
      <c r="W225" s="33"/>
      <c r="X225" s="33"/>
      <c r="Y225" s="33"/>
      <c r="Z225" s="33"/>
      <c r="AA225" s="181"/>
      <c r="AB225" s="33"/>
      <c r="AC225" s="181"/>
      <c r="AD225" s="181"/>
      <c r="AE225" s="33"/>
      <c r="AF225" s="33"/>
      <c r="AG225" s="33"/>
      <c r="AH225" s="33"/>
      <c r="AI225" s="33"/>
      <c r="AJ225" s="181"/>
      <c r="AK225" s="33"/>
    </row>
    <row r="226" spans="1:37" ht="12.75" customHeight="1">
      <c r="A226" s="33">
        <f>IF(ISERROR(VLOOKUP(RANK(H226,$H$2:$H$331),$A$2:A225,1,0)),RANK(H226,$H$2:$H$331),IF(ISERROR(VLOOKUP((RANK(H226,$H$2:$H$331)+1),$A$2:A225,1,0)),(RANK(H226,$H$2:$H$331)+1),(RANK(H226,$H$2:$H$331)+2)))</f>
        <v>211</v>
      </c>
      <c r="B226" s="33">
        <f>Cheatsheet!Y57</f>
        <v>55</v>
      </c>
      <c r="C226" s="33" t="str">
        <f>Cheatsheet!Z57</f>
        <v/>
      </c>
      <c r="D226" s="33" t="str">
        <f>Cheatsheet!AA57</f>
        <v>Rod Streater</v>
      </c>
      <c r="E226" s="33" t="str">
        <f>Cheatsheet!AB57</f>
        <v>OAK</v>
      </c>
      <c r="F226" s="33">
        <f>Cheatsheet!AC57</f>
        <v>5</v>
      </c>
      <c r="G226" s="70">
        <f>Cheatsheet!AD57</f>
        <v>99.2</v>
      </c>
      <c r="H226" s="70">
        <f>Cheatsheet!AE57</f>
        <v>-101.8393939393939</v>
      </c>
      <c r="I226" s="33" t="s">
        <v>3</v>
      </c>
      <c r="J226" s="33"/>
      <c r="K226" s="181"/>
      <c r="L226" s="181"/>
      <c r="M226" s="33"/>
      <c r="N226" s="33"/>
      <c r="O226" s="33"/>
      <c r="P226" s="33"/>
      <c r="Q226" s="33"/>
      <c r="R226" s="181"/>
      <c r="S226" s="33"/>
      <c r="T226" s="181"/>
      <c r="U226" s="181"/>
      <c r="V226" s="33"/>
      <c r="W226" s="33"/>
      <c r="X226" s="33"/>
      <c r="Y226" s="33"/>
      <c r="Z226" s="33"/>
      <c r="AA226" s="181"/>
      <c r="AB226" s="33"/>
      <c r="AC226" s="181"/>
      <c r="AD226" s="181"/>
      <c r="AE226" s="33"/>
      <c r="AF226" s="33"/>
      <c r="AG226" s="33"/>
      <c r="AH226" s="33"/>
      <c r="AI226" s="33"/>
      <c r="AJ226" s="181"/>
      <c r="AK226" s="33"/>
    </row>
    <row r="227" spans="1:37" ht="12.75" customHeight="1">
      <c r="A227" s="33">
        <f>IF(ISERROR(VLOOKUP(RANK(H227,$H$2:$H$331),$A$2:A226,1,0)),RANK(H227,$H$2:$H$331),IF(ISERROR(VLOOKUP((RANK(H227,$H$2:$H$331)+1),$A$2:A226,1,0)),(RANK(H227,$H$2:$H$331)+1),(RANK(H227,$H$2:$H$331)+2)))</f>
        <v>213</v>
      </c>
      <c r="B227" s="33">
        <f>Cheatsheet!Y58</f>
        <v>56</v>
      </c>
      <c r="C227" s="33" t="str">
        <f>Cheatsheet!Z58</f>
        <v/>
      </c>
      <c r="D227" s="33" t="str">
        <f>Cheatsheet!AA58</f>
        <v>Brandon LaFell</v>
      </c>
      <c r="E227" s="33" t="str">
        <f>Cheatsheet!AB58</f>
        <v>NE</v>
      </c>
      <c r="F227" s="33">
        <f>Cheatsheet!AC58</f>
        <v>10</v>
      </c>
      <c r="G227" s="70">
        <f>Cheatsheet!AD58</f>
        <v>98.4</v>
      </c>
      <c r="H227" s="70">
        <f>Cheatsheet!AE58</f>
        <v>-102.6393939393939</v>
      </c>
      <c r="I227" s="33" t="s">
        <v>3</v>
      </c>
      <c r="J227" s="33"/>
      <c r="K227" s="181"/>
      <c r="L227" s="181"/>
      <c r="M227" s="33"/>
      <c r="N227" s="33"/>
      <c r="O227" s="33"/>
      <c r="P227" s="33"/>
      <c r="Q227" s="33"/>
      <c r="R227" s="181"/>
      <c r="S227" s="33"/>
      <c r="T227" s="181"/>
      <c r="U227" s="181"/>
      <c r="V227" s="33"/>
      <c r="W227" s="33"/>
      <c r="X227" s="33"/>
      <c r="Y227" s="33"/>
      <c r="Z227" s="33"/>
      <c r="AA227" s="181"/>
      <c r="AB227" s="33"/>
      <c r="AC227" s="181"/>
      <c r="AD227" s="181"/>
      <c r="AE227" s="33"/>
      <c r="AF227" s="33"/>
      <c r="AG227" s="33"/>
      <c r="AH227" s="33"/>
      <c r="AI227" s="33"/>
      <c r="AJ227" s="181"/>
      <c r="AK227" s="33"/>
    </row>
    <row r="228" spans="1:37" ht="12.75" customHeight="1">
      <c r="A228" s="33">
        <f>IF(ISERROR(VLOOKUP(RANK(H228,$H$2:$H$331),$A$2:A227,1,0)),RANK(H228,$H$2:$H$331),IF(ISERROR(VLOOKUP((RANK(H228,$H$2:$H$331)+1),$A$2:A227,1,0)),(RANK(H228,$H$2:$H$331)+1),(RANK(H228,$H$2:$H$331)+2)))</f>
        <v>214</v>
      </c>
      <c r="B228" s="33">
        <f>Cheatsheet!Y59</f>
        <v>57</v>
      </c>
      <c r="C228" s="33" t="str">
        <f>Cheatsheet!Z59</f>
        <v/>
      </c>
      <c r="D228" s="33" t="str">
        <f>Cheatsheet!AA59</f>
        <v>Andre Roberts</v>
      </c>
      <c r="E228" s="33" t="str">
        <f>Cheatsheet!AB59</f>
        <v>WSH</v>
      </c>
      <c r="F228" s="33">
        <f>Cheatsheet!AC59</f>
        <v>10</v>
      </c>
      <c r="G228" s="70">
        <f>Cheatsheet!AD59</f>
        <v>98.4</v>
      </c>
      <c r="H228" s="70">
        <f>Cheatsheet!AE59</f>
        <v>-102.6393939393939</v>
      </c>
      <c r="I228" s="33" t="s">
        <v>3</v>
      </c>
      <c r="J228" s="33"/>
      <c r="K228" s="181"/>
      <c r="L228" s="181"/>
      <c r="M228" s="33"/>
      <c r="N228" s="33"/>
      <c r="O228" s="33"/>
      <c r="P228" s="33"/>
      <c r="Q228" s="33"/>
      <c r="R228" s="181"/>
      <c r="S228" s="33"/>
      <c r="T228" s="181"/>
      <c r="U228" s="181"/>
      <c r="V228" s="33"/>
      <c r="W228" s="33"/>
      <c r="X228" s="33"/>
      <c r="Y228" s="33"/>
      <c r="Z228" s="33"/>
      <c r="AA228" s="181"/>
      <c r="AB228" s="33"/>
      <c r="AC228" s="181"/>
      <c r="AD228" s="181"/>
      <c r="AE228" s="33"/>
      <c r="AF228" s="33"/>
      <c r="AG228" s="33"/>
      <c r="AH228" s="33"/>
      <c r="AI228" s="33"/>
      <c r="AJ228" s="181"/>
      <c r="AK228" s="33"/>
    </row>
    <row r="229" spans="1:37" ht="12.75" customHeight="1">
      <c r="A229" s="33">
        <f>IF(ISERROR(VLOOKUP(RANK(H229,$H$2:$H$331),$A$2:A228,1,0)),RANK(H229,$H$2:$H$331),IF(ISERROR(VLOOKUP((RANK(H229,$H$2:$H$331)+1),$A$2:A228,1,0)),(RANK(H229,$H$2:$H$331)+1),(RANK(H229,$H$2:$H$331)+2)))</f>
        <v>215</v>
      </c>
      <c r="B229" s="33">
        <f>Cheatsheet!Y60</f>
        <v>58</v>
      </c>
      <c r="C229" s="33" t="str">
        <f>Cheatsheet!Z60</f>
        <v/>
      </c>
      <c r="D229" s="33" t="str">
        <f>Cheatsheet!AA60</f>
        <v>Jerome Simpson</v>
      </c>
      <c r="E229" s="33" t="str">
        <f>Cheatsheet!AB60</f>
        <v>MIN</v>
      </c>
      <c r="F229" s="33">
        <f>Cheatsheet!AC60</f>
        <v>10</v>
      </c>
      <c r="G229" s="70">
        <f>Cheatsheet!AD60</f>
        <v>95.6</v>
      </c>
      <c r="H229" s="70">
        <f>Cheatsheet!AE60</f>
        <v>-105.43939393939391</v>
      </c>
      <c r="I229" s="33" t="s">
        <v>3</v>
      </c>
      <c r="J229" s="33"/>
      <c r="K229" s="181"/>
      <c r="L229" s="181"/>
      <c r="M229" s="33"/>
      <c r="N229" s="33"/>
      <c r="O229" s="33"/>
      <c r="P229" s="33"/>
      <c r="Q229" s="33"/>
      <c r="R229" s="181"/>
      <c r="S229" s="33"/>
      <c r="T229" s="181"/>
      <c r="U229" s="181"/>
      <c r="V229" s="33"/>
      <c r="W229" s="33"/>
      <c r="X229" s="33"/>
      <c r="Y229" s="33"/>
      <c r="Z229" s="33"/>
      <c r="AA229" s="181"/>
      <c r="AB229" s="33"/>
      <c r="AC229" s="181"/>
      <c r="AD229" s="181"/>
      <c r="AE229" s="33"/>
      <c r="AF229" s="33"/>
      <c r="AG229" s="33"/>
      <c r="AH229" s="33"/>
      <c r="AI229" s="33"/>
      <c r="AJ229" s="181"/>
      <c r="AK229" s="33"/>
    </row>
    <row r="230" spans="1:37" ht="12.75" customHeight="1">
      <c r="A230" s="33">
        <f>IF(ISERROR(VLOOKUP(RANK(H230,$H$2:$H$331),$A$2:A229,1,0)),RANK(H230,$H$2:$H$331),IF(ISERROR(VLOOKUP((RANK(H230,$H$2:$H$331)+1),$A$2:A229,1,0)),(RANK(H230,$H$2:$H$331)+1),(RANK(H230,$H$2:$H$331)+2)))</f>
        <v>216</v>
      </c>
      <c r="B230" s="33">
        <f>Cheatsheet!Y61</f>
        <v>59</v>
      </c>
      <c r="C230" s="33" t="str">
        <f>Cheatsheet!Z61</f>
        <v/>
      </c>
      <c r="D230" s="33" t="str">
        <f>Cheatsheet!AA61</f>
        <v>Mike Evans</v>
      </c>
      <c r="E230" s="33" t="str">
        <f>Cheatsheet!AB61</f>
        <v>TB</v>
      </c>
      <c r="F230" s="33">
        <f>Cheatsheet!AC61</f>
        <v>7</v>
      </c>
      <c r="G230" s="70">
        <f>Cheatsheet!AD61</f>
        <v>92.7</v>
      </c>
      <c r="H230" s="70">
        <f>Cheatsheet!AE61</f>
        <v>-108.3393939393939</v>
      </c>
      <c r="I230" s="33" t="s">
        <v>3</v>
      </c>
      <c r="J230" s="33"/>
      <c r="K230" s="181"/>
      <c r="L230" s="181"/>
      <c r="M230" s="33"/>
      <c r="N230" s="33"/>
      <c r="O230" s="33"/>
      <c r="P230" s="33"/>
      <c r="Q230" s="33"/>
      <c r="R230" s="181"/>
      <c r="S230" s="33"/>
      <c r="T230" s="181"/>
      <c r="U230" s="181"/>
      <c r="V230" s="33"/>
      <c r="W230" s="33"/>
      <c r="X230" s="33"/>
      <c r="Y230" s="33"/>
      <c r="Z230" s="33"/>
      <c r="AA230" s="181"/>
      <c r="AB230" s="33"/>
      <c r="AC230" s="181"/>
      <c r="AD230" s="181"/>
      <c r="AE230" s="33"/>
      <c r="AF230" s="33"/>
      <c r="AG230" s="33"/>
      <c r="AH230" s="33"/>
      <c r="AI230" s="33"/>
      <c r="AJ230" s="181"/>
      <c r="AK230" s="33"/>
    </row>
    <row r="231" spans="1:37" ht="12.75" customHeight="1">
      <c r="A231" s="33">
        <f>IF(ISERROR(VLOOKUP(RANK(H231,$H$2:$H$331),$A$2:A230,1,0)),RANK(H231,$H$2:$H$331),IF(ISERROR(VLOOKUP((RANK(H231,$H$2:$H$331)+1),$A$2:A230,1,0)),(RANK(H231,$H$2:$H$331)+1),(RANK(H231,$H$2:$H$331)+2)))</f>
        <v>218</v>
      </c>
      <c r="B231" s="33">
        <f>Cheatsheet!Y62</f>
        <v>60</v>
      </c>
      <c r="C231" s="33" t="str">
        <f>Cheatsheet!Z62</f>
        <v/>
      </c>
      <c r="D231" s="33" t="str">
        <f>Cheatsheet!AA62</f>
        <v>Brandin Cooks</v>
      </c>
      <c r="E231" s="33" t="str">
        <f>Cheatsheet!AB62</f>
        <v>NO</v>
      </c>
      <c r="F231" s="33">
        <f>Cheatsheet!AC62</f>
        <v>6</v>
      </c>
      <c r="G231" s="70">
        <f>Cheatsheet!AD62</f>
        <v>90.8</v>
      </c>
      <c r="H231" s="70">
        <f>Cheatsheet!AE62</f>
        <v>-110.23939393939391</v>
      </c>
      <c r="I231" s="33" t="s">
        <v>3</v>
      </c>
      <c r="J231" s="33"/>
      <c r="K231" s="181"/>
      <c r="L231" s="181"/>
      <c r="M231" s="33"/>
      <c r="N231" s="33"/>
      <c r="O231" s="33"/>
      <c r="P231" s="33"/>
      <c r="Q231" s="33"/>
      <c r="R231" s="181"/>
      <c r="S231" s="33"/>
      <c r="T231" s="181"/>
      <c r="U231" s="181"/>
      <c r="V231" s="33"/>
      <c r="W231" s="33"/>
      <c r="X231" s="33"/>
      <c r="Y231" s="33"/>
      <c r="Z231" s="33"/>
      <c r="AA231" s="181"/>
      <c r="AB231" s="33"/>
      <c r="AC231" s="181"/>
      <c r="AD231" s="181"/>
      <c r="AE231" s="33"/>
      <c r="AF231" s="33"/>
      <c r="AG231" s="33"/>
      <c r="AH231" s="33"/>
      <c r="AI231" s="33"/>
      <c r="AJ231" s="181"/>
      <c r="AK231" s="33"/>
    </row>
    <row r="232" spans="1:37" ht="12.75" customHeight="1">
      <c r="A232" s="33">
        <f>IF(ISERROR(VLOOKUP(RANK(H232,$H$2:$H$331),$A$2:A231,1,0)),RANK(H232,$H$2:$H$331),IF(ISERROR(VLOOKUP((RANK(H232,$H$2:$H$331)+1),$A$2:A231,1,0)),(RANK(H232,$H$2:$H$331)+1),(RANK(H232,$H$2:$H$331)+2)))</f>
        <v>220</v>
      </c>
      <c r="B232" s="33">
        <f>Cheatsheet!Y63</f>
        <v>61</v>
      </c>
      <c r="C232" s="33" t="str">
        <f>Cheatsheet!Z63</f>
        <v/>
      </c>
      <c r="D232" s="33" t="str">
        <f>Cheatsheet!AA63</f>
        <v>Donnie Avery</v>
      </c>
      <c r="E232" s="33" t="str">
        <f>Cheatsheet!AB63</f>
        <v>KC</v>
      </c>
      <c r="F232" s="33">
        <f>Cheatsheet!AC63</f>
        <v>6</v>
      </c>
      <c r="G232" s="70">
        <f>Cheatsheet!AD63</f>
        <v>87.6</v>
      </c>
      <c r="H232" s="70">
        <f>Cheatsheet!AE63</f>
        <v>-113.43939393939391</v>
      </c>
      <c r="I232" s="33" t="s">
        <v>3</v>
      </c>
      <c r="J232" s="33"/>
      <c r="K232" s="181"/>
      <c r="L232" s="181"/>
      <c r="M232" s="33"/>
      <c r="N232" s="33"/>
      <c r="O232" s="33"/>
      <c r="P232" s="33"/>
      <c r="Q232" s="33"/>
      <c r="R232" s="181"/>
      <c r="S232" s="33"/>
      <c r="T232" s="181"/>
      <c r="U232" s="181"/>
      <c r="V232" s="33"/>
      <c r="W232" s="33"/>
      <c r="X232" s="33"/>
      <c r="Y232" s="33"/>
      <c r="Z232" s="33"/>
      <c r="AA232" s="181"/>
      <c r="AB232" s="33"/>
      <c r="AC232" s="181"/>
      <c r="AD232" s="181"/>
      <c r="AE232" s="33"/>
      <c r="AF232" s="33"/>
      <c r="AG232" s="33"/>
      <c r="AH232" s="33"/>
      <c r="AI232" s="33"/>
      <c r="AJ232" s="181"/>
      <c r="AK232" s="33"/>
    </row>
    <row r="233" spans="1:37" ht="12.75" customHeight="1">
      <c r="A233" s="33">
        <f>IF(ISERROR(VLOOKUP(RANK(H233,$H$2:$H$331),$A$2:A232,1,0)),RANK(H233,$H$2:$H$331),IF(ISERROR(VLOOKUP((RANK(H233,$H$2:$H$331)+1),$A$2:A232,1,0)),(RANK(H233,$H$2:$H$331)+1),(RANK(H233,$H$2:$H$331)+2)))</f>
        <v>221</v>
      </c>
      <c r="B233" s="33">
        <f>Cheatsheet!Y64</f>
        <v>62</v>
      </c>
      <c r="C233" s="33" t="str">
        <f>Cheatsheet!Z64</f>
        <v/>
      </c>
      <c r="D233" s="33" t="str">
        <f>Cheatsheet!AA64</f>
        <v>Justin Hunter</v>
      </c>
      <c r="E233" s="33" t="str">
        <f>Cheatsheet!AB64</f>
        <v>TEN</v>
      </c>
      <c r="F233" s="33">
        <f>Cheatsheet!AC64</f>
        <v>9</v>
      </c>
      <c r="G233" s="70">
        <f>Cheatsheet!AD64</f>
        <v>87.1</v>
      </c>
      <c r="H233" s="70">
        <f>Cheatsheet!AE64</f>
        <v>-113.93939393939391</v>
      </c>
      <c r="I233" s="33" t="s">
        <v>3</v>
      </c>
      <c r="J233" s="33"/>
      <c r="K233" s="181"/>
      <c r="L233" s="181"/>
      <c r="M233" s="33"/>
      <c r="N233" s="33"/>
      <c r="O233" s="33"/>
      <c r="P233" s="33"/>
      <c r="Q233" s="33"/>
      <c r="R233" s="181"/>
      <c r="S233" s="33"/>
      <c r="T233" s="181"/>
      <c r="U233" s="181"/>
      <c r="V233" s="33"/>
      <c r="W233" s="33"/>
      <c r="X233" s="33"/>
      <c r="Y233" s="33"/>
      <c r="Z233" s="33"/>
      <c r="AA233" s="181"/>
      <c r="AB233" s="33"/>
      <c r="AC233" s="181"/>
      <c r="AD233" s="181"/>
      <c r="AE233" s="33"/>
      <c r="AF233" s="33"/>
      <c r="AG233" s="33"/>
      <c r="AH233" s="33"/>
      <c r="AI233" s="33"/>
      <c r="AJ233" s="181"/>
      <c r="AK233" s="33"/>
    </row>
    <row r="234" spans="1:37" ht="12.75" customHeight="1">
      <c r="A234" s="33">
        <f>IF(ISERROR(VLOOKUP(RANK(H234,$H$2:$H$331),$A$2:A233,1,0)),RANK(H234,$H$2:$H$331),IF(ISERROR(VLOOKUP((RANK(H234,$H$2:$H$331)+1),$A$2:A233,1,0)),(RANK(H234,$H$2:$H$331)+1),(RANK(H234,$H$2:$H$331)+2)))</f>
        <v>224</v>
      </c>
      <c r="B234" s="33">
        <f>Cheatsheet!Y65</f>
        <v>63</v>
      </c>
      <c r="C234" s="33" t="str">
        <f>Cheatsheet!Z65</f>
        <v/>
      </c>
      <c r="D234" s="33" t="str">
        <f>Cheatsheet!AA65</f>
        <v>Greg Jennings</v>
      </c>
      <c r="E234" s="33" t="str">
        <f>Cheatsheet!AB65</f>
        <v>MIN</v>
      </c>
      <c r="F234" s="33">
        <f>Cheatsheet!AC65</f>
        <v>10</v>
      </c>
      <c r="G234" s="70">
        <f>Cheatsheet!AD65</f>
        <v>85.4</v>
      </c>
      <c r="H234" s="70">
        <f>Cheatsheet!AE65</f>
        <v>-115.6393939393939</v>
      </c>
      <c r="I234" s="33" t="s">
        <v>3</v>
      </c>
      <c r="J234" s="33"/>
      <c r="K234" s="181"/>
      <c r="L234" s="181"/>
      <c r="M234" s="33"/>
      <c r="N234" s="33"/>
      <c r="O234" s="33"/>
      <c r="P234" s="33"/>
      <c r="Q234" s="33"/>
      <c r="R234" s="181"/>
      <c r="S234" s="33"/>
      <c r="T234" s="181"/>
      <c r="U234" s="181"/>
      <c r="V234" s="33"/>
      <c r="W234" s="33"/>
      <c r="X234" s="33"/>
      <c r="Y234" s="33"/>
      <c r="Z234" s="33"/>
      <c r="AA234" s="181"/>
      <c r="AB234" s="33"/>
      <c r="AC234" s="181"/>
      <c r="AD234" s="181"/>
      <c r="AE234" s="33"/>
      <c r="AF234" s="33"/>
      <c r="AG234" s="33"/>
      <c r="AH234" s="33"/>
      <c r="AI234" s="33"/>
      <c r="AJ234" s="181"/>
      <c r="AK234" s="33"/>
    </row>
    <row r="235" spans="1:37" ht="12.75" customHeight="1">
      <c r="A235" s="33">
        <f>IF(ISERROR(VLOOKUP(RANK(H235,$H$2:$H$331),$A$2:A234,1,0)),RANK(H235,$H$2:$H$331),IF(ISERROR(VLOOKUP((RANK(H235,$H$2:$H$331)+1),$A$2:A234,1,0)),(RANK(H235,$H$2:$H$331)+1),(RANK(H235,$H$2:$H$331)+2)))</f>
        <v>225</v>
      </c>
      <c r="B235" s="33">
        <f>Cheatsheet!Y66</f>
        <v>64</v>
      </c>
      <c r="C235" s="33" t="str">
        <f>Cheatsheet!Z66</f>
        <v/>
      </c>
      <c r="D235" s="33" t="str">
        <f>Cheatsheet!AA66</f>
        <v>Hakeem Nicks</v>
      </c>
      <c r="E235" s="33" t="str">
        <f>Cheatsheet!AB66</f>
        <v>IND</v>
      </c>
      <c r="F235" s="33">
        <f>Cheatsheet!AC66</f>
        <v>10</v>
      </c>
      <c r="G235" s="70">
        <f>Cheatsheet!AD66</f>
        <v>84.6</v>
      </c>
      <c r="H235" s="70">
        <f>Cheatsheet!AE66</f>
        <v>-116.43939393939391</v>
      </c>
      <c r="I235" s="33" t="s">
        <v>3</v>
      </c>
      <c r="J235" s="33"/>
      <c r="K235" s="181"/>
      <c r="L235" s="181"/>
      <c r="M235" s="33"/>
      <c r="N235" s="33"/>
      <c r="O235" s="33"/>
      <c r="P235" s="33"/>
      <c r="Q235" s="33"/>
      <c r="R235" s="181"/>
      <c r="S235" s="33"/>
      <c r="T235" s="181"/>
      <c r="U235" s="181"/>
      <c r="V235" s="33"/>
      <c r="W235" s="33"/>
      <c r="X235" s="33"/>
      <c r="Y235" s="33"/>
      <c r="Z235" s="33"/>
      <c r="AA235" s="181"/>
      <c r="AB235" s="33"/>
      <c r="AC235" s="181"/>
      <c r="AD235" s="181"/>
      <c r="AE235" s="33"/>
      <c r="AF235" s="33"/>
      <c r="AG235" s="33"/>
      <c r="AH235" s="33"/>
      <c r="AI235" s="33"/>
      <c r="AJ235" s="181"/>
      <c r="AK235" s="33"/>
    </row>
    <row r="236" spans="1:37" ht="12.75" customHeight="1">
      <c r="A236" s="33">
        <f>IF(ISERROR(VLOOKUP(RANK(H236,$H$2:$H$331),$A$2:A235,1,0)),RANK(H236,$H$2:$H$331),IF(ISERROR(VLOOKUP((RANK(H236,$H$2:$H$331)+1),$A$2:A235,1,0)),(RANK(H236,$H$2:$H$331)+1),(RANK(H236,$H$2:$H$331)+2)))</f>
        <v>226</v>
      </c>
      <c r="B236" s="33">
        <f>Cheatsheet!Y67</f>
        <v>65</v>
      </c>
      <c r="C236" s="33" t="str">
        <f>Cheatsheet!Z67</f>
        <v/>
      </c>
      <c r="D236" s="33" t="str">
        <f>Cheatsheet!AA67</f>
        <v>Jerricho Cotchery</v>
      </c>
      <c r="E236" s="33" t="str">
        <f>Cheatsheet!AB67</f>
        <v>CAR</v>
      </c>
      <c r="F236" s="33">
        <f>Cheatsheet!AC67</f>
        <v>12</v>
      </c>
      <c r="G236" s="70">
        <f>Cheatsheet!AD67</f>
        <v>83.8</v>
      </c>
      <c r="H236" s="70">
        <f>Cheatsheet!AE67</f>
        <v>-117.23939393939391</v>
      </c>
      <c r="I236" s="33" t="s">
        <v>3</v>
      </c>
      <c r="J236" s="33"/>
      <c r="K236" s="181"/>
      <c r="L236" s="181"/>
      <c r="M236" s="33"/>
      <c r="N236" s="33"/>
      <c r="O236" s="33"/>
      <c r="P236" s="33"/>
      <c r="Q236" s="33"/>
      <c r="R236" s="181"/>
      <c r="S236" s="33"/>
      <c r="T236" s="181"/>
      <c r="U236" s="181"/>
      <c r="V236" s="33"/>
      <c r="W236" s="33"/>
      <c r="X236" s="33"/>
      <c r="Y236" s="33"/>
      <c r="Z236" s="33"/>
      <c r="AA236" s="181"/>
      <c r="AB236" s="33"/>
      <c r="AC236" s="181"/>
      <c r="AD236" s="181"/>
      <c r="AE236" s="33"/>
      <c r="AF236" s="33"/>
      <c r="AG236" s="33"/>
      <c r="AH236" s="33"/>
      <c r="AI236" s="33"/>
      <c r="AJ236" s="181"/>
      <c r="AK236" s="33"/>
    </row>
    <row r="237" spans="1:37" ht="12.75" customHeight="1">
      <c r="A237" s="33">
        <f>IF(ISERROR(VLOOKUP(RANK(H237,$H$2:$H$331),$A$2:A236,1,0)),RANK(H237,$H$2:$H$331),IF(ISERROR(VLOOKUP((RANK(H237,$H$2:$H$331)+1),$A$2:A236,1,0)),(RANK(H237,$H$2:$H$331)+1),(RANK(H237,$H$2:$H$331)+2)))</f>
        <v>229</v>
      </c>
      <c r="B237" s="33">
        <f>Cheatsheet!Y68</f>
        <v>66</v>
      </c>
      <c r="C237" s="33" t="str">
        <f>Cheatsheet!Z68</f>
        <v/>
      </c>
      <c r="D237" s="33" t="str">
        <f>Cheatsheet!AA68</f>
        <v>Jeremy Kerley</v>
      </c>
      <c r="E237" s="33" t="str">
        <f>Cheatsheet!AB68</f>
        <v>NYJ</v>
      </c>
      <c r="F237" s="33">
        <f>Cheatsheet!AC68</f>
        <v>11</v>
      </c>
      <c r="G237" s="70">
        <f>Cheatsheet!AD68</f>
        <v>81.7</v>
      </c>
      <c r="H237" s="70">
        <f>Cheatsheet!AE68</f>
        <v>-119.3393939393939</v>
      </c>
      <c r="I237" s="33" t="s">
        <v>3</v>
      </c>
      <c r="J237" s="33"/>
      <c r="K237" s="181"/>
      <c r="L237" s="181"/>
      <c r="M237" s="33"/>
      <c r="N237" s="33"/>
      <c r="O237" s="33"/>
      <c r="P237" s="33"/>
      <c r="Q237" s="33"/>
      <c r="R237" s="181"/>
      <c r="S237" s="33"/>
      <c r="T237" s="181"/>
      <c r="U237" s="181"/>
      <c r="V237" s="33"/>
      <c r="W237" s="33"/>
      <c r="X237" s="33"/>
      <c r="Y237" s="33"/>
      <c r="Z237" s="33"/>
      <c r="AA237" s="181"/>
      <c r="AB237" s="33"/>
      <c r="AC237" s="181"/>
      <c r="AD237" s="181"/>
      <c r="AE237" s="33"/>
      <c r="AF237" s="33"/>
      <c r="AG237" s="33"/>
      <c r="AH237" s="33"/>
      <c r="AI237" s="33"/>
      <c r="AJ237" s="181"/>
      <c r="AK237" s="33"/>
    </row>
    <row r="238" spans="1:37" ht="12.75" customHeight="1">
      <c r="A238" s="33">
        <f>IF(ISERROR(VLOOKUP(RANK(H238,$H$2:$H$331),$A$2:A237,1,0)),RANK(H238,$H$2:$H$331),IF(ISERROR(VLOOKUP((RANK(H238,$H$2:$H$331)+1),$A$2:A237,1,0)),(RANK(H238,$H$2:$H$331)+1),(RANK(H238,$H$2:$H$331)+2)))</f>
        <v>231</v>
      </c>
      <c r="B238" s="33">
        <f>Cheatsheet!Y69</f>
        <v>67</v>
      </c>
      <c r="C238" s="33" t="str">
        <f>Cheatsheet!Z69</f>
        <v/>
      </c>
      <c r="D238" s="33" t="str">
        <f>Cheatsheet!AA69</f>
        <v>Mohamed Sanu</v>
      </c>
      <c r="E238" s="33" t="str">
        <f>Cheatsheet!AB69</f>
        <v>CIN</v>
      </c>
      <c r="F238" s="33">
        <f>Cheatsheet!AC69</f>
        <v>4</v>
      </c>
      <c r="G238" s="70">
        <f>Cheatsheet!AD69</f>
        <v>80.7</v>
      </c>
      <c r="H238" s="70">
        <f>Cheatsheet!AE69</f>
        <v>-120.3393939393939</v>
      </c>
      <c r="I238" s="33" t="s">
        <v>3</v>
      </c>
      <c r="J238" s="33"/>
      <c r="K238" s="181"/>
      <c r="L238" s="181"/>
      <c r="M238" s="33"/>
      <c r="N238" s="33"/>
      <c r="O238" s="33"/>
      <c r="P238" s="33"/>
      <c r="Q238" s="33"/>
      <c r="R238" s="181"/>
      <c r="S238" s="33"/>
      <c r="T238" s="181"/>
      <c r="U238" s="181"/>
      <c r="V238" s="33"/>
      <c r="W238" s="33"/>
      <c r="X238" s="33"/>
      <c r="Y238" s="33"/>
      <c r="Z238" s="33"/>
      <c r="AA238" s="181"/>
      <c r="AB238" s="33"/>
      <c r="AC238" s="181"/>
      <c r="AD238" s="181"/>
      <c r="AE238" s="33"/>
      <c r="AF238" s="33"/>
      <c r="AG238" s="33"/>
      <c r="AH238" s="33"/>
      <c r="AI238" s="33"/>
      <c r="AJ238" s="181"/>
      <c r="AK238" s="33"/>
    </row>
    <row r="239" spans="1:37" ht="12.75" customHeight="1">
      <c r="A239" s="33">
        <f>IF(ISERROR(VLOOKUP(RANK(H239,$H$2:$H$331),$A$2:A238,1,0)),RANK(H239,$H$2:$H$331),IF(ISERROR(VLOOKUP((RANK(H239,$H$2:$H$331)+1),$A$2:A238,1,0)),(RANK(H239,$H$2:$H$331)+1),(RANK(H239,$H$2:$H$331)+2)))</f>
        <v>235</v>
      </c>
      <c r="B239" s="33">
        <f>Cheatsheet!Y70</f>
        <v>68</v>
      </c>
      <c r="C239" s="33" t="str">
        <f>Cheatsheet!Z70</f>
        <v/>
      </c>
      <c r="D239" s="33" t="str">
        <f>Cheatsheet!AA70</f>
        <v>Markus Wheaton</v>
      </c>
      <c r="E239" s="33" t="str">
        <f>Cheatsheet!AB70</f>
        <v>PIT</v>
      </c>
      <c r="F239" s="33">
        <f>Cheatsheet!AC70</f>
        <v>12</v>
      </c>
      <c r="G239" s="70">
        <f>Cheatsheet!AD70</f>
        <v>78.5</v>
      </c>
      <c r="H239" s="70">
        <f>Cheatsheet!AE70</f>
        <v>-122.5393939393939</v>
      </c>
      <c r="I239" s="33" t="s">
        <v>3</v>
      </c>
      <c r="J239" s="33"/>
      <c r="K239" s="181"/>
      <c r="L239" s="181"/>
      <c r="M239" s="33"/>
      <c r="N239" s="33"/>
      <c r="O239" s="33"/>
      <c r="P239" s="33"/>
      <c r="Q239" s="33"/>
      <c r="R239" s="181"/>
      <c r="S239" s="33"/>
      <c r="T239" s="181"/>
      <c r="U239" s="181"/>
      <c r="V239" s="33"/>
      <c r="W239" s="33"/>
      <c r="X239" s="33"/>
      <c r="Y239" s="33"/>
      <c r="Z239" s="33"/>
      <c r="AA239" s="181"/>
      <c r="AB239" s="33"/>
      <c r="AC239" s="181"/>
      <c r="AD239" s="181"/>
      <c r="AE239" s="33"/>
      <c r="AF239" s="33"/>
      <c r="AG239" s="33"/>
      <c r="AH239" s="33"/>
      <c r="AI239" s="33"/>
      <c r="AJ239" s="181"/>
      <c r="AK239" s="33"/>
    </row>
    <row r="240" spans="1:37" ht="12.75" customHeight="1">
      <c r="A240" s="33">
        <f>IF(ISERROR(VLOOKUP(RANK(H240,$H$2:$H$331),$A$2:A239,1,0)),RANK(H240,$H$2:$H$331),IF(ISERROR(VLOOKUP((RANK(H240,$H$2:$H$331)+1),$A$2:A239,1,0)),(RANK(H240,$H$2:$H$331)+1),(RANK(H240,$H$2:$H$331)+2)))</f>
        <v>236</v>
      </c>
      <c r="B240" s="33">
        <f>Cheatsheet!Y71</f>
        <v>69</v>
      </c>
      <c r="C240" s="33" t="str">
        <f>Cheatsheet!Z71</f>
        <v/>
      </c>
      <c r="D240" s="33" t="str">
        <f>Cheatsheet!AA71</f>
        <v>Andrew Hawkins</v>
      </c>
      <c r="E240" s="33" t="str">
        <f>Cheatsheet!AB71</f>
        <v>CLE</v>
      </c>
      <c r="F240" s="33">
        <f>Cheatsheet!AC71</f>
        <v>4</v>
      </c>
      <c r="G240" s="70">
        <f>Cheatsheet!AD71</f>
        <v>77.2</v>
      </c>
      <c r="H240" s="70">
        <f>Cheatsheet!AE71</f>
        <v>-123.8393939393939</v>
      </c>
      <c r="I240" s="33" t="s">
        <v>3</v>
      </c>
      <c r="J240" s="33"/>
      <c r="K240" s="181"/>
      <c r="L240" s="181"/>
      <c r="M240" s="33"/>
      <c r="N240" s="33"/>
      <c r="O240" s="33"/>
      <c r="P240" s="33"/>
      <c r="Q240" s="33"/>
      <c r="R240" s="181"/>
      <c r="S240" s="33"/>
      <c r="T240" s="181"/>
      <c r="U240" s="181"/>
      <c r="V240" s="33"/>
      <c r="W240" s="33"/>
      <c r="X240" s="33"/>
      <c r="Y240" s="33"/>
      <c r="Z240" s="33"/>
      <c r="AA240" s="181"/>
      <c r="AB240" s="33"/>
      <c r="AC240" s="181"/>
      <c r="AD240" s="181"/>
      <c r="AE240" s="33"/>
      <c r="AF240" s="33"/>
      <c r="AG240" s="33"/>
      <c r="AH240" s="33"/>
      <c r="AI240" s="33"/>
      <c r="AJ240" s="181"/>
      <c r="AK240" s="33"/>
    </row>
    <row r="241" spans="1:37" ht="12.75" customHeight="1">
      <c r="A241" s="33">
        <f>IF(ISERROR(VLOOKUP(RANK(H241,$H$2:$H$331),$A$2:A240,1,0)),RANK(H241,$H$2:$H$331),IF(ISERROR(VLOOKUP((RANK(H241,$H$2:$H$331)+1),$A$2:A240,1,0)),(RANK(H241,$H$2:$H$331)+1),(RANK(H241,$H$2:$H$331)+2)))</f>
        <v>238</v>
      </c>
      <c r="B241" s="33">
        <f>Cheatsheet!Y72</f>
        <v>70</v>
      </c>
      <c r="C241" s="33" t="str">
        <f>Cheatsheet!Z72</f>
        <v/>
      </c>
      <c r="D241" s="33" t="str">
        <f>Cheatsheet!AA72</f>
        <v>Marqise Lee</v>
      </c>
      <c r="E241" s="33" t="str">
        <f>Cheatsheet!AB72</f>
        <v>JAC</v>
      </c>
      <c r="F241" s="33">
        <f>Cheatsheet!AC72</f>
        <v>11</v>
      </c>
      <c r="G241" s="70">
        <f>Cheatsheet!AD72</f>
        <v>76.099999999999994</v>
      </c>
      <c r="H241" s="70">
        <f>Cheatsheet!AE72</f>
        <v>-124.93939393939391</v>
      </c>
      <c r="I241" s="33" t="s">
        <v>3</v>
      </c>
      <c r="J241" s="33"/>
      <c r="K241" s="181"/>
      <c r="L241" s="181"/>
      <c r="M241" s="33"/>
      <c r="N241" s="33"/>
      <c r="O241" s="33"/>
      <c r="P241" s="33"/>
      <c r="Q241" s="33"/>
      <c r="R241" s="181"/>
      <c r="S241" s="33"/>
      <c r="T241" s="181"/>
      <c r="U241" s="181"/>
      <c r="V241" s="33"/>
      <c r="W241" s="33"/>
      <c r="X241" s="33"/>
      <c r="Y241" s="33"/>
      <c r="Z241" s="33"/>
      <c r="AA241" s="181"/>
      <c r="AB241" s="33"/>
      <c r="AC241" s="181"/>
      <c r="AD241" s="181"/>
      <c r="AE241" s="33"/>
      <c r="AF241" s="33"/>
      <c r="AG241" s="33"/>
      <c r="AH241" s="33"/>
      <c r="AI241" s="33"/>
      <c r="AJ241" s="181"/>
      <c r="AK241" s="33"/>
    </row>
    <row r="242" spans="1:37" ht="12.75" customHeight="1">
      <c r="A242" s="33">
        <f>IF(ISERROR(VLOOKUP(RANK(H242,$H$2:$H$331),$A$2:A241,1,0)),RANK(H242,$H$2:$H$331),IF(ISERROR(VLOOKUP((RANK(H242,$H$2:$H$331)+1),$A$2:A241,1,0)),(RANK(H242,$H$2:$H$331)+1),(RANK(H242,$H$2:$H$331)+2)))</f>
        <v>239</v>
      </c>
      <c r="B242" s="33">
        <f>Cheatsheet!Y73</f>
        <v>71</v>
      </c>
      <c r="C242" s="33" t="str">
        <f>Cheatsheet!Z73</f>
        <v/>
      </c>
      <c r="D242" s="33" t="str">
        <f>Cheatsheet!AA73</f>
        <v>Eddie Royal</v>
      </c>
      <c r="E242" s="33" t="str">
        <f>Cheatsheet!AB73</f>
        <v>SD</v>
      </c>
      <c r="F242" s="33">
        <f>Cheatsheet!AC73</f>
        <v>10</v>
      </c>
      <c r="G242" s="70">
        <f>Cheatsheet!AD73</f>
        <v>76</v>
      </c>
      <c r="H242" s="70">
        <f>Cheatsheet!AE73</f>
        <v>-125.0393939393939</v>
      </c>
      <c r="I242" s="33" t="s">
        <v>3</v>
      </c>
      <c r="J242" s="33"/>
      <c r="K242" s="181"/>
      <c r="L242" s="181"/>
      <c r="M242" s="33"/>
      <c r="N242" s="33"/>
      <c r="O242" s="33"/>
      <c r="P242" s="33"/>
      <c r="Q242" s="33"/>
      <c r="R242" s="181"/>
      <c r="S242" s="33"/>
      <c r="T242" s="181"/>
      <c r="U242" s="181"/>
      <c r="V242" s="33"/>
      <c r="W242" s="33"/>
      <c r="X242" s="33"/>
      <c r="Y242" s="33"/>
      <c r="Z242" s="33"/>
      <c r="AA242" s="181"/>
      <c r="AB242" s="33"/>
      <c r="AC242" s="181"/>
      <c r="AD242" s="181"/>
      <c r="AE242" s="33"/>
      <c r="AF242" s="33"/>
      <c r="AG242" s="33"/>
      <c r="AH242" s="33"/>
      <c r="AI242" s="33"/>
      <c r="AJ242" s="181"/>
      <c r="AK242" s="33"/>
    </row>
    <row r="243" spans="1:37" ht="12.75" customHeight="1">
      <c r="A243" s="33">
        <f>IF(ISERROR(VLOOKUP(RANK(H243,$H$2:$H$331),$A$2:A242,1,0)),RANK(H243,$H$2:$H$331),IF(ISERROR(VLOOKUP((RANK(H243,$H$2:$H$331)+1),$A$2:A242,1,0)),(RANK(H243,$H$2:$H$331)+1),(RANK(H243,$H$2:$H$331)+2)))</f>
        <v>240</v>
      </c>
      <c r="B243" s="33">
        <f>Cheatsheet!Y74</f>
        <v>72</v>
      </c>
      <c r="C243" s="33" t="str">
        <f>Cheatsheet!Z74</f>
        <v/>
      </c>
      <c r="D243" s="33" t="str">
        <f>Cheatsheet!AA74</f>
        <v>Kenny Britt</v>
      </c>
      <c r="E243" s="33" t="str">
        <f>Cheatsheet!AB74</f>
        <v>STL</v>
      </c>
      <c r="F243" s="33">
        <f>Cheatsheet!AC74</f>
        <v>4</v>
      </c>
      <c r="G243" s="70">
        <f>Cheatsheet!AD74</f>
        <v>72.5</v>
      </c>
      <c r="H243" s="70">
        <f>Cheatsheet!AE74</f>
        <v>-128.5393939393939</v>
      </c>
      <c r="I243" s="33" t="s">
        <v>3</v>
      </c>
      <c r="J243" s="33"/>
      <c r="K243" s="181"/>
      <c r="L243" s="181"/>
      <c r="M243" s="33"/>
      <c r="N243" s="33"/>
      <c r="O243" s="33"/>
      <c r="P243" s="33"/>
      <c r="Q243" s="33"/>
      <c r="R243" s="181"/>
      <c r="S243" s="33"/>
      <c r="T243" s="181"/>
      <c r="U243" s="181"/>
      <c r="V243" s="33"/>
      <c r="W243" s="33"/>
      <c r="X243" s="33"/>
      <c r="Y243" s="33"/>
      <c r="Z243" s="33"/>
      <c r="AA243" s="181"/>
      <c r="AB243" s="33"/>
      <c r="AC243" s="181"/>
      <c r="AD243" s="181"/>
      <c r="AE243" s="33"/>
      <c r="AF243" s="33"/>
      <c r="AG243" s="33"/>
      <c r="AH243" s="33"/>
      <c r="AI243" s="33"/>
      <c r="AJ243" s="181"/>
      <c r="AK243" s="33"/>
    </row>
    <row r="244" spans="1:37" ht="12.75" customHeight="1">
      <c r="A244" s="33">
        <f>IF(ISERROR(VLOOKUP(RANK(H244,$H$2:$H$331),$A$2:A243,1,0)),RANK(H244,$H$2:$H$331),IF(ISERROR(VLOOKUP((RANK(H244,$H$2:$H$331)+1),$A$2:A243,1,0)),(RANK(H244,$H$2:$H$331)+1),(RANK(H244,$H$2:$H$331)+2)))</f>
        <v>241</v>
      </c>
      <c r="B244" s="33">
        <f>Cheatsheet!Y75</f>
        <v>73</v>
      </c>
      <c r="C244" s="33" t="str">
        <f>Cheatsheet!Z75</f>
        <v/>
      </c>
      <c r="D244" s="33" t="str">
        <f>Cheatsheet!AA75</f>
        <v>Jordan Matthews</v>
      </c>
      <c r="E244" s="33" t="str">
        <f>Cheatsheet!AB75</f>
        <v>PHI</v>
      </c>
      <c r="F244" s="33">
        <f>Cheatsheet!AC75</f>
        <v>7</v>
      </c>
      <c r="G244" s="70">
        <f>Cheatsheet!AD75</f>
        <v>72.099999999999994</v>
      </c>
      <c r="H244" s="70">
        <f>Cheatsheet!AE75</f>
        <v>-128.93939393939391</v>
      </c>
      <c r="I244" s="33" t="s">
        <v>3</v>
      </c>
      <c r="J244" s="33"/>
      <c r="K244" s="181"/>
      <c r="L244" s="181"/>
      <c r="M244" s="33"/>
      <c r="N244" s="33"/>
      <c r="O244" s="33"/>
      <c r="P244" s="33"/>
      <c r="Q244" s="33"/>
      <c r="R244" s="181"/>
      <c r="S244" s="33"/>
      <c r="T244" s="181"/>
      <c r="U244" s="181"/>
      <c r="V244" s="33"/>
      <c r="W244" s="33"/>
      <c r="X244" s="33"/>
      <c r="Y244" s="33"/>
      <c r="Z244" s="33"/>
      <c r="AA244" s="181"/>
      <c r="AB244" s="33"/>
      <c r="AC244" s="181"/>
      <c r="AD244" s="181"/>
      <c r="AE244" s="33"/>
      <c r="AF244" s="33"/>
      <c r="AG244" s="33"/>
      <c r="AH244" s="33"/>
      <c r="AI244" s="33"/>
      <c r="AJ244" s="181"/>
      <c r="AK244" s="33"/>
    </row>
    <row r="245" spans="1:37" ht="12.75" customHeight="1">
      <c r="A245" s="33">
        <f>IF(ISERROR(VLOOKUP(RANK(H245,$H$2:$H$331),$A$2:A244,1,0)),RANK(H245,$H$2:$H$331),IF(ISERROR(VLOOKUP((RANK(H245,$H$2:$H$331)+1),$A$2:A244,1,0)),(RANK(H245,$H$2:$H$331)+1),(RANK(H245,$H$2:$H$331)+2)))</f>
        <v>243</v>
      </c>
      <c r="B245" s="33">
        <f>Cheatsheet!Y76</f>
        <v>74</v>
      </c>
      <c r="C245" s="33" t="str">
        <f>Cheatsheet!Z76</f>
        <v/>
      </c>
      <c r="D245" s="33" t="str">
        <f>Cheatsheet!AA76</f>
        <v>Chris Givens</v>
      </c>
      <c r="E245" s="33" t="str">
        <f>Cheatsheet!AB76</f>
        <v>STL</v>
      </c>
      <c r="F245" s="33">
        <f>Cheatsheet!AC76</f>
        <v>4</v>
      </c>
      <c r="G245" s="70">
        <f>Cheatsheet!AD76</f>
        <v>71.400000000000006</v>
      </c>
      <c r="H245" s="70">
        <f>Cheatsheet!AE76</f>
        <v>-129.6393939393939</v>
      </c>
      <c r="I245" s="33" t="s">
        <v>3</v>
      </c>
      <c r="J245" s="33"/>
      <c r="K245" s="181"/>
      <c r="L245" s="181"/>
      <c r="M245" s="33"/>
      <c r="N245" s="33"/>
      <c r="O245" s="33"/>
      <c r="P245" s="33"/>
      <c r="Q245" s="33"/>
      <c r="R245" s="181"/>
      <c r="S245" s="33"/>
      <c r="T245" s="181"/>
      <c r="U245" s="181"/>
      <c r="V245" s="33"/>
      <c r="W245" s="33"/>
      <c r="X245" s="33"/>
      <c r="Y245" s="33"/>
      <c r="Z245" s="33"/>
      <c r="AA245" s="181"/>
      <c r="AB245" s="33"/>
      <c r="AC245" s="181"/>
      <c r="AD245" s="181"/>
      <c r="AE245" s="33"/>
      <c r="AF245" s="33"/>
      <c r="AG245" s="33"/>
      <c r="AH245" s="33"/>
      <c r="AI245" s="33"/>
      <c r="AJ245" s="181"/>
      <c r="AK245" s="33"/>
    </row>
    <row r="246" spans="1:37" ht="12.75" customHeight="1">
      <c r="A246" s="33">
        <f>IF(ISERROR(VLOOKUP(RANK(H246,$H$2:$H$331),$A$2:A245,1,0)),RANK(H246,$H$2:$H$331),IF(ISERROR(VLOOKUP((RANK(H246,$H$2:$H$331)+1),$A$2:A245,1,0)),(RANK(H246,$H$2:$H$331)+1),(RANK(H246,$H$2:$H$331)+2)))</f>
        <v>244</v>
      </c>
      <c r="B246" s="33">
        <f>Cheatsheet!Y77</f>
        <v>75</v>
      </c>
      <c r="C246" s="33" t="str">
        <f>Cheatsheet!Z77</f>
        <v/>
      </c>
      <c r="D246" s="33" t="str">
        <f>Cheatsheet!AA77</f>
        <v>Robert Woods</v>
      </c>
      <c r="E246" s="33" t="str">
        <f>Cheatsheet!AB77</f>
        <v>BUF</v>
      </c>
      <c r="F246" s="33">
        <f>Cheatsheet!AC77</f>
        <v>9</v>
      </c>
      <c r="G246" s="70">
        <f>Cheatsheet!AD77</f>
        <v>71.3</v>
      </c>
      <c r="H246" s="70">
        <f>Cheatsheet!AE77</f>
        <v>-129.73939393939389</v>
      </c>
      <c r="I246" s="33" t="s">
        <v>3</v>
      </c>
      <c r="J246" s="33"/>
      <c r="K246" s="181"/>
      <c r="L246" s="181"/>
      <c r="M246" s="33"/>
      <c r="N246" s="33"/>
      <c r="O246" s="33"/>
      <c r="P246" s="33"/>
      <c r="Q246" s="33"/>
      <c r="R246" s="181"/>
      <c r="S246" s="33"/>
      <c r="T246" s="181"/>
      <c r="U246" s="181"/>
      <c r="V246" s="33"/>
      <c r="W246" s="33"/>
      <c r="X246" s="33"/>
      <c r="Y246" s="33"/>
      <c r="Z246" s="33"/>
      <c r="AA246" s="181"/>
      <c r="AB246" s="33"/>
      <c r="AC246" s="181"/>
      <c r="AD246" s="181"/>
      <c r="AE246" s="33"/>
      <c r="AF246" s="33"/>
      <c r="AG246" s="33"/>
      <c r="AH246" s="33"/>
      <c r="AI246" s="33"/>
      <c r="AJ246" s="181"/>
      <c r="AK246" s="33"/>
    </row>
    <row r="247" spans="1:37" ht="12.75" customHeight="1">
      <c r="A247" s="33">
        <f>IF(ISERROR(VLOOKUP(RANK(H247,$H$2:$H$331),$A$2:A246,1,0)),RANK(H247,$H$2:$H$331),IF(ISERROR(VLOOKUP((RANK(H247,$H$2:$H$331)+1),$A$2:A246,1,0)),(RANK(H247,$H$2:$H$331)+1),(RANK(H247,$H$2:$H$331)+2)))</f>
        <v>245</v>
      </c>
      <c r="B247" s="33">
        <f>Cheatsheet!Y78</f>
        <v>76</v>
      </c>
      <c r="C247" s="33" t="str">
        <f>Cheatsheet!Z78</f>
        <v/>
      </c>
      <c r="D247" s="33" t="str">
        <f>Cheatsheet!AA78</f>
        <v>Malcom Floyd</v>
      </c>
      <c r="E247" s="33" t="str">
        <f>Cheatsheet!AB78</f>
        <v>SD</v>
      </c>
      <c r="F247" s="33">
        <f>Cheatsheet!AC78</f>
        <v>10</v>
      </c>
      <c r="G247" s="70">
        <f>Cheatsheet!AD78</f>
        <v>70</v>
      </c>
      <c r="H247" s="70">
        <f>Cheatsheet!AE78</f>
        <v>-131.0393939393939</v>
      </c>
      <c r="I247" s="33" t="s">
        <v>3</v>
      </c>
      <c r="J247" s="33"/>
      <c r="K247" s="181"/>
      <c r="L247" s="181"/>
      <c r="M247" s="33"/>
      <c r="N247" s="33"/>
      <c r="O247" s="33"/>
      <c r="P247" s="33"/>
      <c r="Q247" s="33"/>
      <c r="R247" s="181"/>
      <c r="S247" s="33"/>
      <c r="T247" s="181"/>
      <c r="U247" s="181"/>
      <c r="V247" s="33"/>
      <c r="W247" s="33"/>
      <c r="X247" s="33"/>
      <c r="Y247" s="33"/>
      <c r="Z247" s="33"/>
      <c r="AA247" s="181"/>
      <c r="AB247" s="33"/>
      <c r="AC247" s="181"/>
      <c r="AD247" s="181"/>
      <c r="AE247" s="33"/>
      <c r="AF247" s="33"/>
      <c r="AG247" s="33"/>
      <c r="AH247" s="33"/>
      <c r="AI247" s="33"/>
      <c r="AJ247" s="181"/>
      <c r="AK247" s="33"/>
    </row>
    <row r="248" spans="1:37" ht="12.75" customHeight="1">
      <c r="A248" s="33">
        <f>IF(ISERROR(VLOOKUP(RANK(H248,$H$2:$H$331),$A$2:A247,1,0)),RANK(H248,$H$2:$H$331),IF(ISERROR(VLOOKUP((RANK(H248,$H$2:$H$331)+1),$A$2:A247,1,0)),(RANK(H248,$H$2:$H$331)+1),(RANK(H248,$H$2:$H$331)+2)))</f>
        <v>246</v>
      </c>
      <c r="B248" s="33">
        <f>Cheatsheet!Y79</f>
        <v>77</v>
      </c>
      <c r="C248" s="33" t="str">
        <f>Cheatsheet!Z79</f>
        <v/>
      </c>
      <c r="D248" s="33" t="str">
        <f>Cheatsheet!AA79</f>
        <v>Marvin Jones</v>
      </c>
      <c r="E248" s="33" t="str">
        <f>Cheatsheet!AB79</f>
        <v>CIN</v>
      </c>
      <c r="F248" s="33">
        <f>Cheatsheet!AC79</f>
        <v>4</v>
      </c>
      <c r="G248" s="70">
        <f>Cheatsheet!AD79</f>
        <v>69.599999999999994</v>
      </c>
      <c r="H248" s="70">
        <f>Cheatsheet!AE79</f>
        <v>-131.43939393939391</v>
      </c>
      <c r="I248" s="33" t="s">
        <v>3</v>
      </c>
      <c r="J248" s="33"/>
      <c r="K248" s="181"/>
      <c r="L248" s="181"/>
      <c r="M248" s="33"/>
      <c r="N248" s="33"/>
      <c r="O248" s="33"/>
      <c r="P248" s="33"/>
      <c r="Q248" s="33"/>
      <c r="R248" s="181"/>
      <c r="S248" s="33"/>
      <c r="T248" s="181"/>
      <c r="U248" s="181"/>
      <c r="V248" s="33"/>
      <c r="W248" s="33"/>
      <c r="X248" s="33"/>
      <c r="Y248" s="33"/>
      <c r="Z248" s="33"/>
      <c r="AA248" s="181"/>
      <c r="AB248" s="33"/>
      <c r="AC248" s="181"/>
      <c r="AD248" s="181"/>
      <c r="AE248" s="33"/>
      <c r="AF248" s="33"/>
      <c r="AG248" s="33"/>
      <c r="AH248" s="33"/>
      <c r="AI248" s="33"/>
      <c r="AJ248" s="181"/>
      <c r="AK248" s="33"/>
    </row>
    <row r="249" spans="1:37" ht="12.75" customHeight="1">
      <c r="A249" s="33">
        <f>IF(ISERROR(VLOOKUP(RANK(H249,$H$2:$H$331),$A$2:A248,1,0)),RANK(H249,$H$2:$H$331),IF(ISERROR(VLOOKUP((RANK(H249,$H$2:$H$331)+1),$A$2:A248,1,0)),(RANK(H249,$H$2:$H$331)+1),(RANK(H249,$H$2:$H$331)+2)))</f>
        <v>248</v>
      </c>
      <c r="B249" s="33">
        <f>Cheatsheet!Y80</f>
        <v>78</v>
      </c>
      <c r="C249" s="33" t="str">
        <f>Cheatsheet!Z80</f>
        <v/>
      </c>
      <c r="D249" s="33" t="str">
        <f>Cheatsheet!AA80</f>
        <v>Jason Avant</v>
      </c>
      <c r="E249" s="33" t="str">
        <f>Cheatsheet!AB80</f>
        <v>CAR</v>
      </c>
      <c r="F249" s="33">
        <f>Cheatsheet!AC80</f>
        <v>12</v>
      </c>
      <c r="G249" s="70">
        <f>Cheatsheet!AD80</f>
        <v>69.400000000000006</v>
      </c>
      <c r="H249" s="70">
        <f>Cheatsheet!AE80</f>
        <v>-131.6393939393939</v>
      </c>
      <c r="I249" s="33" t="s">
        <v>3</v>
      </c>
      <c r="J249" s="33"/>
      <c r="K249" s="181"/>
      <c r="L249" s="181"/>
      <c r="M249" s="33"/>
      <c r="N249" s="33"/>
      <c r="O249" s="33"/>
      <c r="P249" s="33"/>
      <c r="Q249" s="33"/>
      <c r="R249" s="181"/>
      <c r="S249" s="33"/>
      <c r="T249" s="181"/>
      <c r="U249" s="181"/>
      <c r="V249" s="33"/>
      <c r="W249" s="33"/>
      <c r="X249" s="33"/>
      <c r="Y249" s="33"/>
      <c r="Z249" s="33"/>
      <c r="AA249" s="181"/>
      <c r="AB249" s="33"/>
      <c r="AC249" s="181"/>
      <c r="AD249" s="181"/>
      <c r="AE249" s="33"/>
      <c r="AF249" s="33"/>
      <c r="AG249" s="33"/>
      <c r="AH249" s="33"/>
      <c r="AI249" s="33"/>
      <c r="AJ249" s="181"/>
      <c r="AK249" s="33"/>
    </row>
    <row r="250" spans="1:37" ht="12.75" customHeight="1">
      <c r="A250" s="33">
        <f>IF(ISERROR(VLOOKUP(RANK(H250,$H$2:$H$331),$A$2:A249,1,0)),RANK(H250,$H$2:$H$331),IF(ISERROR(VLOOKUP((RANK(H250,$H$2:$H$331)+1),$A$2:A249,1,0)),(RANK(H250,$H$2:$H$331)+1),(RANK(H250,$H$2:$H$331)+2)))</f>
        <v>249</v>
      </c>
      <c r="B250" s="33">
        <f>Cheatsheet!Y81</f>
        <v>79</v>
      </c>
      <c r="C250" s="33" t="str">
        <f>Cheatsheet!Z81</f>
        <v/>
      </c>
      <c r="D250" s="33" t="str">
        <f>Cheatsheet!AA81</f>
        <v>Odell Beckham</v>
      </c>
      <c r="E250" s="33" t="str">
        <f>Cheatsheet!AB81</f>
        <v>NYG</v>
      </c>
      <c r="F250" s="33">
        <f>Cheatsheet!AC81</f>
        <v>8</v>
      </c>
      <c r="G250" s="70">
        <f>Cheatsheet!AD81</f>
        <v>68.8</v>
      </c>
      <c r="H250" s="70">
        <f>Cheatsheet!AE81</f>
        <v>-132.23939393939389</v>
      </c>
      <c r="I250" s="33" t="s">
        <v>3</v>
      </c>
      <c r="J250" s="33"/>
      <c r="K250" s="181"/>
      <c r="L250" s="181"/>
      <c r="M250" s="33"/>
      <c r="N250" s="33"/>
      <c r="O250" s="33"/>
      <c r="P250" s="33"/>
      <c r="Q250" s="33"/>
      <c r="R250" s="181"/>
      <c r="S250" s="33"/>
      <c r="T250" s="181"/>
      <c r="U250" s="181"/>
      <c r="V250" s="33"/>
      <c r="W250" s="33"/>
      <c r="X250" s="33"/>
      <c r="Y250" s="33"/>
      <c r="Z250" s="33"/>
      <c r="AA250" s="181"/>
      <c r="AB250" s="33"/>
      <c r="AC250" s="181"/>
      <c r="AD250" s="181"/>
      <c r="AE250" s="33"/>
      <c r="AF250" s="33"/>
      <c r="AG250" s="33"/>
      <c r="AH250" s="33"/>
      <c r="AI250" s="33"/>
      <c r="AJ250" s="181"/>
      <c r="AK250" s="33"/>
    </row>
    <row r="251" spans="1:37" ht="12.75" customHeight="1">
      <c r="A251" s="33">
        <f>IF(ISERROR(VLOOKUP(RANK(H251,$H$2:$H$331),$A$2:A250,1,0)),RANK(H251,$H$2:$H$331),IF(ISERROR(VLOOKUP((RANK(H251,$H$2:$H$331)+1),$A$2:A250,1,0)),(RANK(H251,$H$2:$H$331)+1),(RANK(H251,$H$2:$H$331)+2)))</f>
        <v>250</v>
      </c>
      <c r="B251" s="33">
        <f>Cheatsheet!Y82</f>
        <v>80</v>
      </c>
      <c r="C251" s="33" t="str">
        <f>Cheatsheet!Z82</f>
        <v/>
      </c>
      <c r="D251" s="33" t="str">
        <f>Cheatsheet!AA82</f>
        <v>Lance Moore</v>
      </c>
      <c r="E251" s="33" t="str">
        <f>Cheatsheet!AB82</f>
        <v>PIT</v>
      </c>
      <c r="F251" s="33">
        <f>Cheatsheet!AC82</f>
        <v>12</v>
      </c>
      <c r="G251" s="70">
        <f>Cheatsheet!AD82</f>
        <v>67.7</v>
      </c>
      <c r="H251" s="70">
        <f>Cheatsheet!AE82</f>
        <v>-133.33939393939391</v>
      </c>
      <c r="I251" s="33" t="s">
        <v>3</v>
      </c>
      <c r="J251" s="33"/>
      <c r="K251" s="181"/>
      <c r="L251" s="181"/>
      <c r="M251" s="33"/>
      <c r="N251" s="33"/>
      <c r="O251" s="33"/>
      <c r="P251" s="33"/>
      <c r="Q251" s="33"/>
      <c r="R251" s="181"/>
      <c r="S251" s="33"/>
      <c r="T251" s="181"/>
      <c r="U251" s="181"/>
      <c r="V251" s="33"/>
      <c r="W251" s="33"/>
      <c r="X251" s="33"/>
      <c r="Y251" s="33"/>
      <c r="Z251" s="33"/>
      <c r="AA251" s="181"/>
      <c r="AB251" s="33"/>
      <c r="AC251" s="181"/>
      <c r="AD251" s="181"/>
      <c r="AE251" s="33"/>
      <c r="AF251" s="33"/>
      <c r="AG251" s="33"/>
      <c r="AH251" s="33"/>
      <c r="AI251" s="33"/>
      <c r="AJ251" s="181"/>
      <c r="AK251" s="33"/>
    </row>
    <row r="252" spans="1:37" ht="12.75" customHeight="1">
      <c r="A252" s="33">
        <f>IF(ISERROR(VLOOKUP(RANK(H252,$H$2:$H$331),$A$2:A251,1,0)),RANK(H252,$H$2:$H$331),IF(ISERROR(VLOOKUP((RANK(H252,$H$2:$H$331)+1),$A$2:A251,1,0)),(RANK(H252,$H$2:$H$331)+1),(RANK(H252,$H$2:$H$331)+2)))</f>
        <v>251</v>
      </c>
      <c r="B252" s="33">
        <f>Cheatsheet!Y83</f>
        <v>81</v>
      </c>
      <c r="C252" s="33" t="str">
        <f>Cheatsheet!Z83</f>
        <v/>
      </c>
      <c r="D252" s="33" t="str">
        <f>Cheatsheet!AA83</f>
        <v>Steve Johnson</v>
      </c>
      <c r="E252" s="33" t="str">
        <f>Cheatsheet!AB83</f>
        <v>SF</v>
      </c>
      <c r="F252" s="33">
        <f>Cheatsheet!AC83</f>
        <v>8</v>
      </c>
      <c r="G252" s="70">
        <f>Cheatsheet!AD83</f>
        <v>67.599999999999994</v>
      </c>
      <c r="H252" s="70">
        <f>Cheatsheet!AE83</f>
        <v>-133.43939393939391</v>
      </c>
      <c r="I252" s="33" t="s">
        <v>3</v>
      </c>
      <c r="J252" s="33"/>
      <c r="K252" s="181"/>
      <c r="L252" s="181"/>
      <c r="M252" s="33"/>
      <c r="N252" s="33"/>
      <c r="O252" s="33"/>
      <c r="P252" s="33"/>
      <c r="Q252" s="33"/>
      <c r="R252" s="181"/>
      <c r="S252" s="33"/>
      <c r="T252" s="181"/>
      <c r="U252" s="181"/>
      <c r="V252" s="33"/>
      <c r="W252" s="33"/>
      <c r="X252" s="33"/>
      <c r="Y252" s="33"/>
      <c r="Z252" s="33"/>
      <c r="AA252" s="181"/>
      <c r="AB252" s="33"/>
      <c r="AC252" s="181"/>
      <c r="AD252" s="181"/>
      <c r="AE252" s="33"/>
      <c r="AF252" s="33"/>
      <c r="AG252" s="33"/>
      <c r="AH252" s="33"/>
      <c r="AI252" s="33"/>
      <c r="AJ252" s="181"/>
      <c r="AK252" s="33"/>
    </row>
    <row r="253" spans="1:37" ht="12.75" customHeight="1">
      <c r="A253" s="33">
        <f>IF(ISERROR(VLOOKUP(RANK(H253,$H$2:$H$331),$A$2:A252,1,0)),RANK(H253,$H$2:$H$331),IF(ISERROR(VLOOKUP((RANK(H253,$H$2:$H$331)+1),$A$2:A252,1,0)),(RANK(H253,$H$2:$H$331)+1),(RANK(H253,$H$2:$H$331)+2)))</f>
        <v>253</v>
      </c>
      <c r="B253" s="33">
        <f>Cheatsheet!Y84</f>
        <v>82</v>
      </c>
      <c r="C253" s="33" t="str">
        <f>Cheatsheet!Z84</f>
        <v/>
      </c>
      <c r="D253" s="33" t="str">
        <f>Cheatsheet!AA84</f>
        <v>Aaron Dobson</v>
      </c>
      <c r="E253" s="33" t="str">
        <f>Cheatsheet!AB84</f>
        <v>NE</v>
      </c>
      <c r="F253" s="33">
        <f>Cheatsheet!AC84</f>
        <v>10</v>
      </c>
      <c r="G253" s="70">
        <f>Cheatsheet!AD84</f>
        <v>66.7</v>
      </c>
      <c r="H253" s="70">
        <f>Cheatsheet!AE84</f>
        <v>-134.33939393939391</v>
      </c>
      <c r="I253" s="33" t="s">
        <v>3</v>
      </c>
      <c r="J253" s="33"/>
      <c r="K253" s="181"/>
      <c r="L253" s="181"/>
      <c r="M253" s="33"/>
      <c r="N253" s="33"/>
      <c r="O253" s="33"/>
      <c r="P253" s="33"/>
      <c r="Q253" s="33"/>
      <c r="R253" s="181"/>
      <c r="S253" s="33"/>
      <c r="T253" s="181"/>
      <c r="U253" s="181"/>
      <c r="V253" s="33"/>
      <c r="W253" s="33"/>
      <c r="X253" s="33"/>
      <c r="Y253" s="33"/>
      <c r="Z253" s="33"/>
      <c r="AA253" s="181"/>
      <c r="AB253" s="33"/>
      <c r="AC253" s="181"/>
      <c r="AD253" s="181"/>
      <c r="AE253" s="33"/>
      <c r="AF253" s="33"/>
      <c r="AG253" s="33"/>
      <c r="AH253" s="33"/>
      <c r="AI253" s="33"/>
      <c r="AJ253" s="181"/>
      <c r="AK253" s="33"/>
    </row>
    <row r="254" spans="1:37" ht="12.75" customHeight="1">
      <c r="A254" s="33">
        <f>IF(ISERROR(VLOOKUP(RANK(H254,$H$2:$H$331),$A$2:A253,1,0)),RANK(H254,$H$2:$H$331),IF(ISERROR(VLOOKUP((RANK(H254,$H$2:$H$331)+1),$A$2:A253,1,0)),(RANK(H254,$H$2:$H$331)+1),(RANK(H254,$H$2:$H$331)+2)))</f>
        <v>257</v>
      </c>
      <c r="B254" s="33">
        <f>Cheatsheet!Y85</f>
        <v>83</v>
      </c>
      <c r="C254" s="33" t="str">
        <f>Cheatsheet!Z85</f>
        <v/>
      </c>
      <c r="D254" s="33" t="str">
        <f>Cheatsheet!AA85</f>
        <v>Denarius Moore</v>
      </c>
      <c r="E254" s="33" t="str">
        <f>Cheatsheet!AB85</f>
        <v>OAK</v>
      </c>
      <c r="F254" s="33">
        <f>Cheatsheet!AC85</f>
        <v>5</v>
      </c>
      <c r="G254" s="70">
        <f>Cheatsheet!AD85</f>
        <v>64</v>
      </c>
      <c r="H254" s="70">
        <f>Cheatsheet!AE85</f>
        <v>-137.0393939393939</v>
      </c>
      <c r="I254" s="33" t="s">
        <v>3</v>
      </c>
      <c r="J254" s="33"/>
      <c r="K254" s="181"/>
      <c r="L254" s="181"/>
      <c r="M254" s="33"/>
      <c r="N254" s="33"/>
      <c r="O254" s="33"/>
      <c r="P254" s="33"/>
      <c r="Q254" s="33"/>
      <c r="R254" s="181"/>
      <c r="S254" s="33"/>
      <c r="T254" s="181"/>
      <c r="U254" s="181"/>
      <c r="V254" s="33"/>
      <c r="W254" s="33"/>
      <c r="X254" s="33"/>
      <c r="Y254" s="33"/>
      <c r="Z254" s="33"/>
      <c r="AA254" s="181"/>
      <c r="AB254" s="33"/>
      <c r="AC254" s="181"/>
      <c r="AD254" s="181"/>
      <c r="AE254" s="33"/>
      <c r="AF254" s="33"/>
      <c r="AG254" s="33"/>
      <c r="AH254" s="33"/>
      <c r="AI254" s="33"/>
      <c r="AJ254" s="181"/>
      <c r="AK254" s="33"/>
    </row>
    <row r="255" spans="1:37" ht="12.75" customHeight="1">
      <c r="A255" s="33">
        <f>IF(ISERROR(VLOOKUP(RANK(H255,$H$2:$H$331),$A$2:A254,1,0)),RANK(H255,$H$2:$H$331),IF(ISERROR(VLOOKUP((RANK(H255,$H$2:$H$331)+1),$A$2:A254,1,0)),(RANK(H255,$H$2:$H$331)+1),(RANK(H255,$H$2:$H$331)+2)))</f>
        <v>258</v>
      </c>
      <c r="B255" s="33">
        <f>Cheatsheet!Y86</f>
        <v>84</v>
      </c>
      <c r="C255" s="33" t="str">
        <f>Cheatsheet!Z86</f>
        <v/>
      </c>
      <c r="D255" s="33" t="str">
        <f>Cheatsheet!AA86</f>
        <v>Andre Holmes</v>
      </c>
      <c r="E255" s="33" t="str">
        <f>Cheatsheet!AB86</f>
        <v>OAK</v>
      </c>
      <c r="F255" s="33">
        <f>Cheatsheet!AC86</f>
        <v>5</v>
      </c>
      <c r="G255" s="70">
        <f>Cheatsheet!AD86</f>
        <v>63.2</v>
      </c>
      <c r="H255" s="70">
        <f>Cheatsheet!AE86</f>
        <v>-137.83939393939391</v>
      </c>
      <c r="I255" s="33" t="s">
        <v>3</v>
      </c>
      <c r="J255" s="33"/>
      <c r="K255" s="181"/>
      <c r="L255" s="181"/>
      <c r="M255" s="33"/>
      <c r="N255" s="33"/>
      <c r="O255" s="33"/>
      <c r="P255" s="33"/>
      <c r="Q255" s="33"/>
      <c r="R255" s="181"/>
      <c r="S255" s="33"/>
      <c r="T255" s="181"/>
      <c r="U255" s="181"/>
      <c r="V255" s="33"/>
      <c r="W255" s="33"/>
      <c r="X255" s="33"/>
      <c r="Y255" s="33"/>
      <c r="Z255" s="33"/>
      <c r="AA255" s="181"/>
      <c r="AB255" s="33"/>
      <c r="AC255" s="181"/>
      <c r="AD255" s="181"/>
      <c r="AE255" s="33"/>
      <c r="AF255" s="33"/>
      <c r="AG255" s="33"/>
      <c r="AH255" s="33"/>
      <c r="AI255" s="33"/>
      <c r="AJ255" s="181"/>
      <c r="AK255" s="33"/>
    </row>
    <row r="256" spans="1:37" ht="12.75" customHeight="1">
      <c r="A256" s="33">
        <f>IF(ISERROR(VLOOKUP(RANK(H256,$H$2:$H$331),$A$2:A255,1,0)),RANK(H256,$H$2:$H$331),IF(ISERROR(VLOOKUP((RANK(H256,$H$2:$H$331)+1),$A$2:A255,1,0)),(RANK(H256,$H$2:$H$331)+1),(RANK(H256,$H$2:$H$331)+2)))</f>
        <v>261</v>
      </c>
      <c r="B256" s="33">
        <f>Cheatsheet!Y87</f>
        <v>85</v>
      </c>
      <c r="C256" s="33" t="str">
        <f>Cheatsheet!Z87</f>
        <v/>
      </c>
      <c r="D256" s="33" t="str">
        <f>Cheatsheet!AA87</f>
        <v>Cole Beasley</v>
      </c>
      <c r="E256" s="33" t="str">
        <f>Cheatsheet!AB87</f>
        <v>DAL</v>
      </c>
      <c r="F256" s="33">
        <f>Cheatsheet!AC87</f>
        <v>11</v>
      </c>
      <c r="G256" s="70">
        <f>Cheatsheet!AD87</f>
        <v>60.5</v>
      </c>
      <c r="H256" s="70">
        <f>Cheatsheet!AE87</f>
        <v>-140.5393939393939</v>
      </c>
      <c r="I256" s="33" t="s">
        <v>3</v>
      </c>
      <c r="J256" s="33"/>
      <c r="K256" s="181"/>
      <c r="L256" s="181"/>
      <c r="M256" s="33"/>
      <c r="N256" s="33"/>
      <c r="O256" s="33"/>
      <c r="P256" s="33"/>
      <c r="Q256" s="33"/>
      <c r="R256" s="181"/>
      <c r="S256" s="33"/>
      <c r="T256" s="181"/>
      <c r="U256" s="181"/>
      <c r="V256" s="33"/>
      <c r="W256" s="33"/>
      <c r="X256" s="33"/>
      <c r="Y256" s="33"/>
      <c r="Z256" s="33"/>
      <c r="AA256" s="181"/>
      <c r="AB256" s="33"/>
      <c r="AC256" s="181"/>
      <c r="AD256" s="181"/>
      <c r="AE256" s="33"/>
      <c r="AF256" s="33"/>
      <c r="AG256" s="33"/>
      <c r="AH256" s="33"/>
      <c r="AI256" s="33"/>
      <c r="AJ256" s="181"/>
      <c r="AK256" s="33"/>
    </row>
    <row r="257" spans="1:37" ht="12.75" customHeight="1">
      <c r="A257" s="33">
        <f>IF(ISERROR(VLOOKUP(RANK(H257,$H$2:$H$331),$A$2:A256,1,0)),RANK(H257,$H$2:$H$331),IF(ISERROR(VLOOKUP((RANK(H257,$H$2:$H$331)+1),$A$2:A256,1,0)),(RANK(H257,$H$2:$H$331)+1),(RANK(H257,$H$2:$H$331)+2)))</f>
        <v>263</v>
      </c>
      <c r="B257" s="33">
        <f>Cheatsheet!Y88</f>
        <v>86</v>
      </c>
      <c r="C257" s="33" t="str">
        <f>Cheatsheet!Z88</f>
        <v/>
      </c>
      <c r="D257" s="33" t="str">
        <f>Cheatsheet!AA88</f>
        <v>Kenbrell Thompkins</v>
      </c>
      <c r="E257" s="33" t="str">
        <f>Cheatsheet!AB88</f>
        <v>NE</v>
      </c>
      <c r="F257" s="33">
        <f>Cheatsheet!AC88</f>
        <v>10</v>
      </c>
      <c r="G257" s="70">
        <f>Cheatsheet!AD88</f>
        <v>58.6</v>
      </c>
      <c r="H257" s="70">
        <f>Cheatsheet!AE88</f>
        <v>-142.43939393939391</v>
      </c>
      <c r="I257" s="33" t="s">
        <v>3</v>
      </c>
      <c r="J257" s="33"/>
      <c r="K257" s="181"/>
      <c r="L257" s="181"/>
      <c r="M257" s="33"/>
      <c r="N257" s="33"/>
      <c r="O257" s="33"/>
      <c r="P257" s="33"/>
      <c r="Q257" s="33"/>
      <c r="R257" s="181"/>
      <c r="S257" s="33"/>
      <c r="T257" s="181"/>
      <c r="U257" s="181"/>
      <c r="V257" s="33"/>
      <c r="W257" s="33"/>
      <c r="X257" s="33"/>
      <c r="Y257" s="33"/>
      <c r="Z257" s="33"/>
      <c r="AA257" s="181"/>
      <c r="AB257" s="33"/>
      <c r="AC257" s="181"/>
      <c r="AD257" s="181"/>
      <c r="AE257" s="33"/>
      <c r="AF257" s="33"/>
      <c r="AG257" s="33"/>
      <c r="AH257" s="33"/>
      <c r="AI257" s="33"/>
      <c r="AJ257" s="181"/>
      <c r="AK257" s="33"/>
    </row>
    <row r="258" spans="1:37" ht="12.75" customHeight="1">
      <c r="A258" s="33">
        <f>IF(ISERROR(VLOOKUP(RANK(H258,$H$2:$H$331),$A$2:A257,1,0)),RANK(H258,$H$2:$H$331),IF(ISERROR(VLOOKUP((RANK(H258,$H$2:$H$331)+1),$A$2:A257,1,0)),(RANK(H258,$H$2:$H$331)+1),(RANK(H258,$H$2:$H$331)+2)))</f>
        <v>264</v>
      </c>
      <c r="B258" s="33">
        <f>Cheatsheet!Y89</f>
        <v>87</v>
      </c>
      <c r="C258" s="33" t="str">
        <f>Cheatsheet!Z89</f>
        <v/>
      </c>
      <c r="D258" s="33" t="str">
        <f>Cheatsheet!AA89</f>
        <v>Santana Moss</v>
      </c>
      <c r="E258" s="33" t="str">
        <f>Cheatsheet!AB89</f>
        <v>WSH</v>
      </c>
      <c r="F258" s="33">
        <f>Cheatsheet!AC89</f>
        <v>10</v>
      </c>
      <c r="G258" s="70">
        <f>Cheatsheet!AD89</f>
        <v>57.2</v>
      </c>
      <c r="H258" s="70">
        <f>Cheatsheet!AE89</f>
        <v>-143.83939393939391</v>
      </c>
      <c r="I258" s="33" t="s">
        <v>3</v>
      </c>
      <c r="J258" s="33"/>
      <c r="K258" s="181"/>
      <c r="L258" s="181"/>
      <c r="M258" s="33"/>
      <c r="N258" s="33"/>
      <c r="O258" s="33"/>
      <c r="P258" s="33"/>
      <c r="Q258" s="33"/>
      <c r="R258" s="181"/>
      <c r="S258" s="33"/>
      <c r="T258" s="181"/>
      <c r="U258" s="181"/>
      <c r="V258" s="33"/>
      <c r="W258" s="33"/>
      <c r="X258" s="33"/>
      <c r="Y258" s="33"/>
      <c r="Z258" s="33"/>
      <c r="AA258" s="181"/>
      <c r="AB258" s="33"/>
      <c r="AC258" s="181"/>
      <c r="AD258" s="181"/>
      <c r="AE258" s="33"/>
      <c r="AF258" s="33"/>
      <c r="AG258" s="33"/>
      <c r="AH258" s="33"/>
      <c r="AI258" s="33"/>
      <c r="AJ258" s="181"/>
      <c r="AK258" s="33"/>
    </row>
    <row r="259" spans="1:37" ht="12.75" customHeight="1">
      <c r="A259" s="33">
        <f>IF(ISERROR(VLOOKUP(RANK(H259,$H$2:$H$331),$A$2:A258,1,0)),RANK(H259,$H$2:$H$331),IF(ISERROR(VLOOKUP((RANK(H259,$H$2:$H$331)+1),$A$2:A258,1,0)),(RANK(H259,$H$2:$H$331)+1),(RANK(H259,$H$2:$H$331)+2)))</f>
        <v>265</v>
      </c>
      <c r="B259" s="33">
        <f>Cheatsheet!Y90</f>
        <v>88</v>
      </c>
      <c r="C259" s="33" t="str">
        <f>Cheatsheet!Z90</f>
        <v/>
      </c>
      <c r="D259" s="33" t="str">
        <f>Cheatsheet!AA90</f>
        <v>Vincent Brown</v>
      </c>
      <c r="E259" s="33" t="str">
        <f>Cheatsheet!AB90</f>
        <v>SD</v>
      </c>
      <c r="F259" s="33">
        <f>Cheatsheet!AC90</f>
        <v>10</v>
      </c>
      <c r="G259" s="70">
        <f>Cheatsheet!AD90</f>
        <v>55.3</v>
      </c>
      <c r="H259" s="70">
        <f>Cheatsheet!AE90</f>
        <v>-145.73939393939389</v>
      </c>
      <c r="I259" s="33" t="s">
        <v>3</v>
      </c>
      <c r="J259" s="33"/>
      <c r="K259" s="181"/>
      <c r="L259" s="181"/>
      <c r="M259" s="33"/>
      <c r="N259" s="33"/>
      <c r="O259" s="33"/>
      <c r="P259" s="33"/>
      <c r="Q259" s="33"/>
      <c r="R259" s="181"/>
      <c r="S259" s="33"/>
      <c r="T259" s="181"/>
      <c r="U259" s="181"/>
      <c r="V259" s="33"/>
      <c r="W259" s="33"/>
      <c r="X259" s="33"/>
      <c r="Y259" s="33"/>
      <c r="Z259" s="33"/>
      <c r="AA259" s="181"/>
      <c r="AB259" s="33"/>
      <c r="AC259" s="181"/>
      <c r="AD259" s="181"/>
      <c r="AE259" s="33"/>
      <c r="AF259" s="33"/>
      <c r="AG259" s="33"/>
      <c r="AH259" s="33"/>
      <c r="AI259" s="33"/>
      <c r="AJ259" s="181"/>
      <c r="AK259" s="33"/>
    </row>
    <row r="260" spans="1:37" ht="12.75" customHeight="1">
      <c r="A260" s="33">
        <f>IF(ISERROR(VLOOKUP(RANK(H260,$H$2:$H$331),$A$2:A259,1,0)),RANK(H260,$H$2:$H$331),IF(ISERROR(VLOOKUP((RANK(H260,$H$2:$H$331)+1),$A$2:A259,1,0)),(RANK(H260,$H$2:$H$331)+1),(RANK(H260,$H$2:$H$331)+2)))</f>
        <v>267</v>
      </c>
      <c r="B260" s="33">
        <f>Cheatsheet!Y91</f>
        <v>89</v>
      </c>
      <c r="C260" s="33" t="str">
        <f>Cheatsheet!Z91</f>
        <v/>
      </c>
      <c r="D260" s="33" t="str">
        <f>Cheatsheet!AA91</f>
        <v>Nate Burleson</v>
      </c>
      <c r="E260" s="33" t="str">
        <f>Cheatsheet!AB91</f>
        <v>CLE</v>
      </c>
      <c r="F260" s="33">
        <f>Cheatsheet!AC91</f>
        <v>4</v>
      </c>
      <c r="G260" s="70">
        <f>Cheatsheet!AD91</f>
        <v>54.8</v>
      </c>
      <c r="H260" s="70">
        <f>Cheatsheet!AE91</f>
        <v>-146.23939393939389</v>
      </c>
      <c r="I260" s="33" t="s">
        <v>3</v>
      </c>
      <c r="J260" s="33"/>
      <c r="K260" s="181"/>
      <c r="L260" s="181"/>
      <c r="M260" s="33"/>
      <c r="N260" s="33"/>
      <c r="O260" s="33"/>
      <c r="P260" s="33"/>
      <c r="Q260" s="33"/>
      <c r="R260" s="181"/>
      <c r="S260" s="33"/>
      <c r="T260" s="181"/>
      <c r="U260" s="181"/>
      <c r="V260" s="33"/>
      <c r="W260" s="33"/>
      <c r="X260" s="33"/>
      <c r="Y260" s="33"/>
      <c r="Z260" s="33"/>
      <c r="AA260" s="181"/>
      <c r="AB260" s="33"/>
      <c r="AC260" s="181"/>
      <c r="AD260" s="181"/>
      <c r="AE260" s="33"/>
      <c r="AF260" s="33"/>
      <c r="AG260" s="33"/>
      <c r="AH260" s="33"/>
      <c r="AI260" s="33"/>
      <c r="AJ260" s="181"/>
      <c r="AK260" s="33"/>
    </row>
    <row r="261" spans="1:37" ht="12.75" customHeight="1">
      <c r="A261" s="33">
        <f>IF(ISERROR(VLOOKUP(RANK(H261,$H$2:$H$331),$A$2:A260,1,0)),RANK(H261,$H$2:$H$331),IF(ISERROR(VLOOKUP((RANK(H261,$H$2:$H$331)+1),$A$2:A260,1,0)),(RANK(H261,$H$2:$H$331)+1),(RANK(H261,$H$2:$H$331)+2)))</f>
        <v>268</v>
      </c>
      <c r="B261" s="33">
        <f>Cheatsheet!Y92</f>
        <v>90</v>
      </c>
      <c r="C261" s="33" t="str">
        <f>Cheatsheet!Z92</f>
        <v/>
      </c>
      <c r="D261" s="33" t="str">
        <f>Cheatsheet!AA92</f>
        <v>Miles Austin</v>
      </c>
      <c r="E261" s="33" t="str">
        <f>Cheatsheet!AB92</f>
        <v>CLE</v>
      </c>
      <c r="F261" s="33">
        <f>Cheatsheet!AC92</f>
        <v>4</v>
      </c>
      <c r="G261" s="70">
        <f>Cheatsheet!AD92</f>
        <v>54.2</v>
      </c>
      <c r="H261" s="70">
        <f>Cheatsheet!AE92</f>
        <v>-146.83939393939391</v>
      </c>
      <c r="I261" s="33" t="s">
        <v>3</v>
      </c>
      <c r="J261" s="33"/>
      <c r="K261" s="181"/>
      <c r="L261" s="181"/>
      <c r="M261" s="33"/>
      <c r="N261" s="33"/>
      <c r="O261" s="33"/>
      <c r="P261" s="33"/>
      <c r="Q261" s="33"/>
      <c r="R261" s="181"/>
      <c r="S261" s="33"/>
      <c r="T261" s="181"/>
      <c r="U261" s="181"/>
      <c r="V261" s="33"/>
      <c r="W261" s="33"/>
      <c r="X261" s="33"/>
      <c r="Y261" s="33"/>
      <c r="Z261" s="33"/>
      <c r="AA261" s="181"/>
      <c r="AB261" s="33"/>
      <c r="AC261" s="181"/>
      <c r="AD261" s="181"/>
      <c r="AE261" s="33"/>
      <c r="AF261" s="33"/>
      <c r="AG261" s="33"/>
      <c r="AH261" s="33"/>
      <c r="AI261" s="33"/>
      <c r="AJ261" s="181"/>
      <c r="AK261" s="33"/>
    </row>
    <row r="262" spans="1:37" ht="12.75" customHeight="1">
      <c r="A262" s="33">
        <f>IF(ISERROR(VLOOKUP(RANK(H262,$H$2:$H$331),$A$2:A261,1,0)),RANK(H262,$H$2:$H$331),IF(ISERROR(VLOOKUP((RANK(H262,$H$2:$H$331)+1),$A$2:A261,1,0)),(RANK(H262,$H$2:$H$331)+1),(RANK(H262,$H$2:$H$331)+2)))</f>
        <v>269</v>
      </c>
      <c r="B262" s="33">
        <f>Cheatsheet!Y93</f>
        <v>91</v>
      </c>
      <c r="C262" s="33" t="str">
        <f>Cheatsheet!Z93</f>
        <v/>
      </c>
      <c r="D262" s="33" t="str">
        <f>Cheatsheet!AA93</f>
        <v>Stephen Hill</v>
      </c>
      <c r="E262" s="33" t="str">
        <f>Cheatsheet!AB93</f>
        <v>NYJ</v>
      </c>
      <c r="F262" s="33">
        <f>Cheatsheet!AC93</f>
        <v>11</v>
      </c>
      <c r="G262" s="70">
        <f>Cheatsheet!AD93</f>
        <v>53.6</v>
      </c>
      <c r="H262" s="70">
        <f>Cheatsheet!AE93</f>
        <v>-147.43939393939391</v>
      </c>
      <c r="I262" s="33" t="s">
        <v>3</v>
      </c>
      <c r="J262" s="33"/>
      <c r="K262" s="181"/>
      <c r="L262" s="181"/>
      <c r="M262" s="33"/>
      <c r="N262" s="33"/>
      <c r="O262" s="33"/>
      <c r="P262" s="33"/>
      <c r="Q262" s="33"/>
      <c r="R262" s="181"/>
      <c r="S262" s="33"/>
      <c r="T262" s="181"/>
      <c r="U262" s="181"/>
      <c r="V262" s="33"/>
      <c r="W262" s="33"/>
      <c r="X262" s="33"/>
      <c r="Y262" s="33"/>
      <c r="Z262" s="33"/>
      <c r="AA262" s="181"/>
      <c r="AB262" s="33"/>
      <c r="AC262" s="181"/>
      <c r="AD262" s="181"/>
      <c r="AE262" s="33"/>
      <c r="AF262" s="33"/>
      <c r="AG262" s="33"/>
      <c r="AH262" s="33"/>
      <c r="AI262" s="33"/>
      <c r="AJ262" s="181"/>
      <c r="AK262" s="33"/>
    </row>
    <row r="263" spans="1:37" ht="12.75" customHeight="1">
      <c r="A263" s="33">
        <f>IF(ISERROR(VLOOKUP(RANK(H263,$H$2:$H$331),$A$2:A262,1,0)),RANK(H263,$H$2:$H$331),IF(ISERROR(VLOOKUP((RANK(H263,$H$2:$H$331)+1),$A$2:A262,1,0)),(RANK(H263,$H$2:$H$331)+1),(RANK(H263,$H$2:$H$331)+2)))</f>
        <v>270</v>
      </c>
      <c r="B263" s="33">
        <f>Cheatsheet!Y94</f>
        <v>92</v>
      </c>
      <c r="C263" s="33" t="str">
        <f>Cheatsheet!Z94</f>
        <v/>
      </c>
      <c r="D263" s="33" t="str">
        <f>Cheatsheet!AA94</f>
        <v>Jarvis Landry</v>
      </c>
      <c r="E263" s="33" t="str">
        <f>Cheatsheet!AB94</f>
        <v>MIA</v>
      </c>
      <c r="F263" s="33">
        <f>Cheatsheet!AC94</f>
        <v>5</v>
      </c>
      <c r="G263" s="70">
        <f>Cheatsheet!AD94</f>
        <v>51.8</v>
      </c>
      <c r="H263" s="70">
        <f>Cheatsheet!AE94</f>
        <v>-149.23939393939389</v>
      </c>
      <c r="I263" s="33" t="s">
        <v>3</v>
      </c>
      <c r="J263" s="33"/>
      <c r="K263" s="181"/>
      <c r="L263" s="181"/>
      <c r="M263" s="33"/>
      <c r="N263" s="33"/>
      <c r="O263" s="33"/>
      <c r="P263" s="33"/>
      <c r="Q263" s="33"/>
      <c r="R263" s="181"/>
      <c r="S263" s="33"/>
      <c r="T263" s="181"/>
      <c r="U263" s="181"/>
      <c r="V263" s="33"/>
      <c r="W263" s="33"/>
      <c r="X263" s="33"/>
      <c r="Y263" s="33"/>
      <c r="Z263" s="33"/>
      <c r="AA263" s="181"/>
      <c r="AB263" s="33"/>
      <c r="AC263" s="181"/>
      <c r="AD263" s="181"/>
      <c r="AE263" s="33"/>
      <c r="AF263" s="33"/>
      <c r="AG263" s="33"/>
      <c r="AH263" s="33"/>
      <c r="AI263" s="33"/>
      <c r="AJ263" s="181"/>
      <c r="AK263" s="33"/>
    </row>
    <row r="264" spans="1:37" ht="12.75" customHeight="1">
      <c r="A264" s="33">
        <f>IF(ISERROR(VLOOKUP(RANK(H264,$H$2:$H$331),$A$2:A263,1,0)),RANK(H264,$H$2:$H$331),IF(ISERROR(VLOOKUP((RANK(H264,$H$2:$H$331)+1),$A$2:A263,1,0)),(RANK(H264,$H$2:$H$331)+1),(RANK(H264,$H$2:$H$331)+2)))</f>
        <v>273</v>
      </c>
      <c r="B264" s="33">
        <f>Cheatsheet!Y95</f>
        <v>93</v>
      </c>
      <c r="C264" s="33" t="str">
        <f>Cheatsheet!Z95</f>
        <v/>
      </c>
      <c r="D264" s="33" t="str">
        <f>Cheatsheet!AA95</f>
        <v>Davante Adams</v>
      </c>
      <c r="E264" s="33" t="str">
        <f>Cheatsheet!AB95</f>
        <v>GB</v>
      </c>
      <c r="F264" s="33">
        <f>Cheatsheet!AC95</f>
        <v>9</v>
      </c>
      <c r="G264" s="70">
        <f>Cheatsheet!AD95</f>
        <v>51.3</v>
      </c>
      <c r="H264" s="70">
        <f>Cheatsheet!AE95</f>
        <v>-149.73939393939389</v>
      </c>
      <c r="I264" s="33" t="s">
        <v>3</v>
      </c>
      <c r="J264" s="33"/>
      <c r="K264" s="181"/>
      <c r="L264" s="181"/>
      <c r="M264" s="33"/>
      <c r="N264" s="33"/>
      <c r="O264" s="33"/>
      <c r="P264" s="33"/>
      <c r="Q264" s="33"/>
      <c r="R264" s="181"/>
      <c r="S264" s="33"/>
      <c r="T264" s="181"/>
      <c r="U264" s="181"/>
      <c r="V264" s="33"/>
      <c r="W264" s="33"/>
      <c r="X264" s="33"/>
      <c r="Y264" s="33"/>
      <c r="Z264" s="33"/>
      <c r="AA264" s="181"/>
      <c r="AB264" s="33"/>
      <c r="AC264" s="181"/>
      <c r="AD264" s="181"/>
      <c r="AE264" s="33"/>
      <c r="AF264" s="33"/>
      <c r="AG264" s="33"/>
      <c r="AH264" s="33"/>
      <c r="AI264" s="33"/>
      <c r="AJ264" s="181"/>
      <c r="AK264" s="33"/>
    </row>
    <row r="265" spans="1:37" ht="12.75" customHeight="1">
      <c r="A265" s="33">
        <f>IF(ISERROR(VLOOKUP(RANK(H265,$H$2:$H$331),$A$2:A264,1,0)),RANK(H265,$H$2:$H$331),IF(ISERROR(VLOOKUP((RANK(H265,$H$2:$H$331)+1),$A$2:A264,1,0)),(RANK(H265,$H$2:$H$331)+1),(RANK(H265,$H$2:$H$331)+2)))</f>
        <v>275</v>
      </c>
      <c r="B265" s="33">
        <f>Cheatsheet!Y96</f>
        <v>94</v>
      </c>
      <c r="C265" s="33" t="str">
        <f>Cheatsheet!Z96</f>
        <v/>
      </c>
      <c r="D265" s="33" t="str">
        <f>Cheatsheet!AA96</f>
        <v>Ted Ginn</v>
      </c>
      <c r="E265" s="33" t="str">
        <f>Cheatsheet!AB96</f>
        <v>ARI</v>
      </c>
      <c r="F265" s="33">
        <f>Cheatsheet!AC96</f>
        <v>4</v>
      </c>
      <c r="G265" s="70">
        <f>Cheatsheet!AD96</f>
        <v>50.4</v>
      </c>
      <c r="H265" s="70">
        <f>Cheatsheet!AE96</f>
        <v>-150.6393939393939</v>
      </c>
      <c r="I265" s="33" t="s">
        <v>3</v>
      </c>
      <c r="J265" s="33"/>
      <c r="K265" s="181"/>
      <c r="L265" s="181"/>
      <c r="M265" s="33"/>
      <c r="N265" s="33"/>
      <c r="O265" s="33"/>
      <c r="P265" s="33"/>
      <c r="Q265" s="33"/>
      <c r="R265" s="181"/>
      <c r="S265" s="33"/>
      <c r="T265" s="181"/>
      <c r="U265" s="181"/>
      <c r="V265" s="33"/>
      <c r="W265" s="33"/>
      <c r="X265" s="33"/>
      <c r="Y265" s="33"/>
      <c r="Z265" s="33"/>
      <c r="AA265" s="181"/>
      <c r="AB265" s="33"/>
      <c r="AC265" s="181"/>
      <c r="AD265" s="181"/>
      <c r="AE265" s="33"/>
      <c r="AF265" s="33"/>
      <c r="AG265" s="33"/>
      <c r="AH265" s="33"/>
      <c r="AI265" s="33"/>
      <c r="AJ265" s="181"/>
      <c r="AK265" s="33"/>
    </row>
    <row r="266" spans="1:37" ht="12.75" customHeight="1">
      <c r="A266" s="33">
        <f>IF(ISERROR(VLOOKUP(RANK(H266,$H$2:$H$331),$A$2:A265,1,0)),RANK(H266,$H$2:$H$331),IF(ISERROR(VLOOKUP((RANK(H266,$H$2:$H$331)+1),$A$2:A265,1,0)),(RANK(H266,$H$2:$H$331)+1),(RANK(H266,$H$2:$H$331)+2)))</f>
        <v>277</v>
      </c>
      <c r="B266" s="33">
        <f>Cheatsheet!Y97</f>
        <v>95</v>
      </c>
      <c r="C266" s="33" t="str">
        <f>Cheatsheet!Z97</f>
        <v/>
      </c>
      <c r="D266" s="33" t="str">
        <f>Cheatsheet!AA97</f>
        <v>Marlon Brown</v>
      </c>
      <c r="E266" s="33" t="str">
        <f>Cheatsheet!AB97</f>
        <v>BAL</v>
      </c>
      <c r="F266" s="33">
        <f>Cheatsheet!AC97</f>
        <v>11</v>
      </c>
      <c r="G266" s="70">
        <f>Cheatsheet!AD97</f>
        <v>50.1</v>
      </c>
      <c r="H266" s="70">
        <f>Cheatsheet!AE97</f>
        <v>-150.93939393939391</v>
      </c>
      <c r="I266" s="33" t="s">
        <v>3</v>
      </c>
      <c r="J266" s="33"/>
      <c r="K266" s="181"/>
      <c r="L266" s="181"/>
      <c r="M266" s="33"/>
      <c r="N266" s="33"/>
      <c r="O266" s="33"/>
      <c r="P266" s="33"/>
      <c r="Q266" s="33"/>
      <c r="R266" s="181"/>
      <c r="S266" s="33"/>
      <c r="T266" s="181"/>
      <c r="U266" s="181"/>
      <c r="V266" s="33"/>
      <c r="W266" s="33"/>
      <c r="X266" s="33"/>
      <c r="Y266" s="33"/>
      <c r="Z266" s="33"/>
      <c r="AA266" s="181"/>
      <c r="AB266" s="33"/>
      <c r="AC266" s="181"/>
      <c r="AD266" s="181"/>
      <c r="AE266" s="33"/>
      <c r="AF266" s="33"/>
      <c r="AG266" s="33"/>
      <c r="AH266" s="33"/>
      <c r="AI266" s="33"/>
      <c r="AJ266" s="181"/>
      <c r="AK266" s="33"/>
    </row>
    <row r="267" spans="1:37" ht="12.75" customHeight="1">
      <c r="A267" s="33">
        <f>IF(ISERROR(VLOOKUP(RANK(H267,$H$2:$H$331),$A$2:A266,1,0)),RANK(H267,$H$2:$H$331),IF(ISERROR(VLOOKUP((RANK(H267,$H$2:$H$331)+1),$A$2:A266,1,0)),(RANK(H267,$H$2:$H$331)+1),(RANK(H267,$H$2:$H$331)+2)))</f>
        <v>279</v>
      </c>
      <c r="B267" s="33">
        <f>Cheatsheet!Y98</f>
        <v>96</v>
      </c>
      <c r="C267" s="33" t="str">
        <f>Cheatsheet!Z98</f>
        <v/>
      </c>
      <c r="D267" s="33" t="str">
        <f>Cheatsheet!AA98</f>
        <v>Allen Robinson</v>
      </c>
      <c r="E267" s="33" t="str">
        <f>Cheatsheet!AB98</f>
        <v>JAC</v>
      </c>
      <c r="F267" s="33">
        <f>Cheatsheet!AC98</f>
        <v>11</v>
      </c>
      <c r="G267" s="70">
        <f>Cheatsheet!AD98</f>
        <v>48.3</v>
      </c>
      <c r="H267" s="70">
        <f>Cheatsheet!AE98</f>
        <v>-152.73939393939389</v>
      </c>
      <c r="I267" s="33" t="s">
        <v>3</v>
      </c>
      <c r="J267" s="33"/>
      <c r="K267" s="181"/>
      <c r="L267" s="181"/>
      <c r="M267" s="33"/>
      <c r="N267" s="33"/>
      <c r="O267" s="33"/>
      <c r="P267" s="33"/>
      <c r="Q267" s="33"/>
      <c r="R267" s="181"/>
      <c r="S267" s="33"/>
      <c r="T267" s="181"/>
      <c r="U267" s="181"/>
      <c r="V267" s="33"/>
      <c r="W267" s="33"/>
      <c r="X267" s="33"/>
      <c r="Y267" s="33"/>
      <c r="Z267" s="33"/>
      <c r="AA267" s="181"/>
      <c r="AB267" s="33"/>
      <c r="AC267" s="181"/>
      <c r="AD267" s="181"/>
      <c r="AE267" s="33"/>
      <c r="AF267" s="33"/>
      <c r="AG267" s="33"/>
      <c r="AH267" s="33"/>
      <c r="AI267" s="33"/>
      <c r="AJ267" s="181"/>
      <c r="AK267" s="33"/>
    </row>
    <row r="268" spans="1:37" ht="12.75" customHeight="1">
      <c r="A268" s="33">
        <f>IF(ISERROR(VLOOKUP(RANK(H268,$H$2:$H$331),$A$2:A267,1,0)),RANK(H268,$H$2:$H$331),IF(ISERROR(VLOOKUP((RANK(H268,$H$2:$H$331)+1),$A$2:A267,1,0)),(RANK(H268,$H$2:$H$331)+1),(RANK(H268,$H$2:$H$331)+2)))</f>
        <v>280</v>
      </c>
      <c r="B268" s="33">
        <f>Cheatsheet!Y99</f>
        <v>97</v>
      </c>
      <c r="C268" s="33" t="str">
        <f>Cheatsheet!Z99</f>
        <v/>
      </c>
      <c r="D268" s="33" t="str">
        <f>Cheatsheet!AA99</f>
        <v>Jermaine Kearse</v>
      </c>
      <c r="E268" s="33" t="str">
        <f>Cheatsheet!AB99</f>
        <v>SEA</v>
      </c>
      <c r="F268" s="33">
        <f>Cheatsheet!AC99</f>
        <v>4</v>
      </c>
      <c r="G268" s="70">
        <f>Cheatsheet!AD99</f>
        <v>48.1</v>
      </c>
      <c r="H268" s="70">
        <f>Cheatsheet!AE99</f>
        <v>-152.93939393939391</v>
      </c>
      <c r="I268" s="33" t="s">
        <v>3</v>
      </c>
      <c r="J268" s="33"/>
      <c r="K268" s="181"/>
      <c r="L268" s="181"/>
      <c r="M268" s="33"/>
      <c r="N268" s="33"/>
      <c r="O268" s="33"/>
      <c r="P268" s="33"/>
      <c r="Q268" s="33"/>
      <c r="R268" s="181"/>
      <c r="S268" s="33"/>
      <c r="T268" s="181"/>
      <c r="U268" s="181"/>
      <c r="V268" s="33"/>
      <c r="W268" s="33"/>
      <c r="X268" s="33"/>
      <c r="Y268" s="33"/>
      <c r="Z268" s="33"/>
      <c r="AA268" s="181"/>
      <c r="AB268" s="33"/>
      <c r="AC268" s="181"/>
      <c r="AD268" s="181"/>
      <c r="AE268" s="33"/>
      <c r="AF268" s="33"/>
      <c r="AG268" s="33"/>
      <c r="AH268" s="33"/>
      <c r="AI268" s="33"/>
      <c r="AJ268" s="181"/>
      <c r="AK268" s="33"/>
    </row>
    <row r="269" spans="1:37" ht="12.75" customHeight="1">
      <c r="A269" s="33">
        <f>IF(ISERROR(VLOOKUP(RANK(H269,$H$2:$H$331),$A$2:A268,1,0)),RANK(H269,$H$2:$H$331),IF(ISERROR(VLOOKUP((RANK(H269,$H$2:$H$331)+1),$A$2:A268,1,0)),(RANK(H269,$H$2:$H$331)+1),(RANK(H269,$H$2:$H$331)+2)))</f>
        <v>283</v>
      </c>
      <c r="B269" s="33">
        <f>Cheatsheet!Y100</f>
        <v>98</v>
      </c>
      <c r="C269" s="33" t="str">
        <f>Cheatsheet!Z100</f>
        <v/>
      </c>
      <c r="D269" s="33" t="str">
        <f>Cheatsheet!AA100</f>
        <v>Josh Gordon</v>
      </c>
      <c r="E269" s="33" t="str">
        <f>Cheatsheet!AB100</f>
        <v>CLE</v>
      </c>
      <c r="F269" s="33">
        <f>Cheatsheet!AC100</f>
        <v>4</v>
      </c>
      <c r="G269" s="70">
        <f>Cheatsheet!AD100</f>
        <v>46.9</v>
      </c>
      <c r="H269" s="70">
        <f>Cheatsheet!AE100</f>
        <v>-154.1393939393939</v>
      </c>
      <c r="I269" s="33" t="s">
        <v>3</v>
      </c>
      <c r="J269" s="33"/>
      <c r="K269" s="181"/>
      <c r="L269" s="181"/>
      <c r="M269" s="33"/>
      <c r="N269" s="33"/>
      <c r="O269" s="33"/>
      <c r="P269" s="33"/>
      <c r="Q269" s="33"/>
      <c r="R269" s="181"/>
      <c r="S269" s="33"/>
      <c r="T269" s="181"/>
      <c r="U269" s="181"/>
      <c r="V269" s="33"/>
      <c r="W269" s="33"/>
      <c r="X269" s="33"/>
      <c r="Y269" s="33"/>
      <c r="Z269" s="33"/>
      <c r="AA269" s="181"/>
      <c r="AB269" s="33"/>
      <c r="AC269" s="181"/>
      <c r="AD269" s="181"/>
      <c r="AE269" s="33"/>
      <c r="AF269" s="33"/>
      <c r="AG269" s="33"/>
      <c r="AH269" s="33"/>
      <c r="AI269" s="33"/>
      <c r="AJ269" s="181"/>
      <c r="AK269" s="33"/>
    </row>
    <row r="270" spans="1:37" ht="12.75" customHeight="1">
      <c r="A270" s="33">
        <f>IF(ISERROR(VLOOKUP(RANK(H270,$H$2:$H$331),$A$2:A269,1,0)),RANK(H270,$H$2:$H$331),IF(ISERROR(VLOOKUP((RANK(H270,$H$2:$H$331)+1),$A$2:A269,1,0)),(RANK(H270,$H$2:$H$331)+1),(RANK(H270,$H$2:$H$331)+2)))</f>
        <v>284</v>
      </c>
      <c r="B270" s="33">
        <f>Cheatsheet!Y101</f>
        <v>99</v>
      </c>
      <c r="C270" s="33" t="str">
        <f>Cheatsheet!Z101</f>
        <v/>
      </c>
      <c r="D270" s="33" t="str">
        <f>Cheatsheet!AA101</f>
        <v>Martavis Bryant</v>
      </c>
      <c r="E270" s="33" t="str">
        <f>Cheatsheet!AB101</f>
        <v>PIT</v>
      </c>
      <c r="F270" s="33">
        <f>Cheatsheet!AC101</f>
        <v>12</v>
      </c>
      <c r="G270" s="70">
        <f>Cheatsheet!AD101</f>
        <v>46.3</v>
      </c>
      <c r="H270" s="70">
        <f>Cheatsheet!AE101</f>
        <v>-154.73939393939389</v>
      </c>
      <c r="I270" s="33" t="s">
        <v>3</v>
      </c>
      <c r="J270" s="33"/>
      <c r="K270" s="181"/>
      <c r="L270" s="181"/>
      <c r="M270" s="33"/>
      <c r="N270" s="33"/>
      <c r="O270" s="33"/>
      <c r="P270" s="33"/>
      <c r="Q270" s="33"/>
      <c r="R270" s="181"/>
      <c r="S270" s="33"/>
      <c r="T270" s="181"/>
      <c r="U270" s="181"/>
      <c r="V270" s="33"/>
      <c r="W270" s="33"/>
      <c r="X270" s="33"/>
      <c r="Y270" s="33"/>
      <c r="Z270" s="33"/>
      <c r="AA270" s="181"/>
      <c r="AB270" s="33"/>
      <c r="AC270" s="181"/>
      <c r="AD270" s="181"/>
      <c r="AE270" s="33"/>
      <c r="AF270" s="33"/>
      <c r="AG270" s="33"/>
      <c r="AH270" s="33"/>
      <c r="AI270" s="33"/>
      <c r="AJ270" s="181"/>
      <c r="AK270" s="33"/>
    </row>
    <row r="271" spans="1:37" ht="12.75" customHeight="1">
      <c r="A271" s="33">
        <f>IF(ISERROR(VLOOKUP(RANK(H271,$H$2:$H$331),$A$2:A270,1,0)),RANK(H271,$H$2:$H$331),IF(ISERROR(VLOOKUP((RANK(H271,$H$2:$H$331)+1),$A$2:A270,1,0)),(RANK(H271,$H$2:$H$331)+1),(RANK(H271,$H$2:$H$331)+2)))</f>
        <v>285</v>
      </c>
      <c r="B271" s="33">
        <f>Cheatsheet!Y102</f>
        <v>100</v>
      </c>
      <c r="C271" s="33" t="str">
        <f>Cheatsheet!Z102</f>
        <v/>
      </c>
      <c r="D271" s="33" t="str">
        <f>Cheatsheet!AA102</f>
        <v>David Nelson</v>
      </c>
      <c r="E271" s="33" t="str">
        <f>Cheatsheet!AB102</f>
        <v>NYJ</v>
      </c>
      <c r="F271" s="33">
        <f>Cheatsheet!AC102</f>
        <v>11</v>
      </c>
      <c r="G271" s="70">
        <f>Cheatsheet!AD102</f>
        <v>46</v>
      </c>
      <c r="H271" s="70">
        <f>Cheatsheet!AE102</f>
        <v>-155.0393939393939</v>
      </c>
      <c r="I271" s="33" t="s">
        <v>3</v>
      </c>
      <c r="J271" s="33"/>
      <c r="K271" s="181"/>
      <c r="L271" s="181"/>
      <c r="M271" s="33"/>
      <c r="N271" s="33"/>
      <c r="O271" s="33"/>
      <c r="P271" s="33"/>
      <c r="Q271" s="33"/>
      <c r="R271" s="181"/>
      <c r="S271" s="33"/>
      <c r="T271" s="181"/>
      <c r="U271" s="181"/>
      <c r="V271" s="33"/>
      <c r="W271" s="33"/>
      <c r="X271" s="33"/>
      <c r="Y271" s="33"/>
      <c r="Z271" s="33"/>
      <c r="AA271" s="181"/>
      <c r="AB271" s="33"/>
      <c r="AC271" s="181"/>
      <c r="AD271" s="181"/>
      <c r="AE271" s="33"/>
      <c r="AF271" s="33"/>
      <c r="AG271" s="33"/>
      <c r="AH271" s="33"/>
      <c r="AI271" s="33"/>
      <c r="AJ271" s="181"/>
      <c r="AK271" s="33"/>
    </row>
    <row r="272" spans="1:37" ht="12.75" customHeight="1">
      <c r="A272" s="33">
        <f>IF(ISERROR(VLOOKUP(RANK(H272,$H$2:$H$331),$A$2:A271,1,0)),RANK(H272,$H$2:$H$331),IF(ISERROR(VLOOKUP((RANK(H272,$H$2:$H$331)+1),$A$2:A271,1,0)),(RANK(H272,$H$2:$H$331)+1),(RANK(H272,$H$2:$H$331)+2)))</f>
        <v>28</v>
      </c>
      <c r="B272" s="33">
        <f>Cheatsheet!AK3</f>
        <v>1</v>
      </c>
      <c r="C272" s="33" t="str">
        <f>Cheatsheet!AL3</f>
        <v/>
      </c>
      <c r="D272" s="33" t="str">
        <f>Cheatsheet!AM3</f>
        <v>Stephen Gostkowski</v>
      </c>
      <c r="E272" s="33" t="str">
        <f>Cheatsheet!AN3</f>
        <v>NE</v>
      </c>
      <c r="F272" s="33">
        <f>Cheatsheet!AO3</f>
        <v>10</v>
      </c>
      <c r="G272" s="70">
        <f>Cheatsheet!AP3</f>
        <v>151.30000000000001</v>
      </c>
      <c r="H272" s="70">
        <f>Cheatsheet!AQ3</f>
        <v>13.745454545454578</v>
      </c>
      <c r="I272" s="33" t="s">
        <v>4</v>
      </c>
      <c r="J272" s="33"/>
      <c r="K272" s="181"/>
      <c r="L272" s="181"/>
      <c r="M272" s="33"/>
      <c r="N272" s="33"/>
      <c r="O272" s="33"/>
      <c r="P272" s="33"/>
      <c r="Q272" s="33"/>
      <c r="R272" s="181"/>
      <c r="S272" s="33"/>
      <c r="T272" s="181"/>
      <c r="U272" s="181"/>
      <c r="V272" s="33"/>
      <c r="W272" s="33"/>
      <c r="X272" s="33"/>
      <c r="Y272" s="33"/>
      <c r="Z272" s="33"/>
      <c r="AA272" s="181"/>
      <c r="AB272" s="33"/>
      <c r="AC272" s="181"/>
      <c r="AD272" s="181"/>
      <c r="AE272" s="33"/>
      <c r="AF272" s="33"/>
      <c r="AG272" s="33"/>
      <c r="AH272" s="33"/>
      <c r="AI272" s="33"/>
      <c r="AJ272" s="181"/>
      <c r="AK272" s="33"/>
    </row>
    <row r="273" spans="1:37" ht="12.75" customHeight="1">
      <c r="A273" s="33">
        <f>IF(ISERROR(VLOOKUP(RANK(H273,$H$2:$H$331),$A$2:A272,1,0)),RANK(H273,$H$2:$H$331),IF(ISERROR(VLOOKUP((RANK(H273,$H$2:$H$331)+1),$A$2:A272,1,0)),(RANK(H273,$H$2:$H$331)+1),(RANK(H273,$H$2:$H$331)+2)))</f>
        <v>35</v>
      </c>
      <c r="B273" s="33">
        <f>Cheatsheet!AK4</f>
        <v>2</v>
      </c>
      <c r="C273" s="33" t="str">
        <f>Cheatsheet!AL4</f>
        <v/>
      </c>
      <c r="D273" s="33" t="str">
        <f>Cheatsheet!AM4</f>
        <v>Matt Prater</v>
      </c>
      <c r="E273" s="33" t="str">
        <f>Cheatsheet!AN4</f>
        <v>DEN</v>
      </c>
      <c r="F273" s="33">
        <f>Cheatsheet!AO4</f>
        <v>4</v>
      </c>
      <c r="G273" s="70">
        <f>Cheatsheet!AP4</f>
        <v>145.19999999999999</v>
      </c>
      <c r="H273" s="70">
        <f>Cheatsheet!AQ4</f>
        <v>7.6454545454545553</v>
      </c>
      <c r="I273" s="33" t="s">
        <v>4</v>
      </c>
      <c r="J273" s="33"/>
      <c r="K273" s="181"/>
      <c r="L273" s="181"/>
      <c r="M273" s="33"/>
      <c r="N273" s="33"/>
      <c r="O273" s="33"/>
      <c r="P273" s="33"/>
      <c r="Q273" s="33"/>
      <c r="R273" s="181"/>
      <c r="S273" s="33"/>
      <c r="T273" s="181"/>
      <c r="U273" s="181"/>
      <c r="V273" s="33"/>
      <c r="W273" s="33"/>
      <c r="X273" s="33"/>
      <c r="Y273" s="33"/>
      <c r="Z273" s="33"/>
      <c r="AA273" s="181"/>
      <c r="AB273" s="33"/>
      <c r="AC273" s="181"/>
      <c r="AD273" s="181"/>
      <c r="AE273" s="33"/>
      <c r="AF273" s="33"/>
      <c r="AG273" s="33"/>
      <c r="AH273" s="33"/>
      <c r="AI273" s="33"/>
      <c r="AJ273" s="181"/>
      <c r="AK273" s="33"/>
    </row>
    <row r="274" spans="1:37" ht="12.75" customHeight="1">
      <c r="A274" s="33">
        <f>IF(ISERROR(VLOOKUP(RANK(H274,$H$2:$H$331),$A$2:A273,1,0)),RANK(H274,$H$2:$H$331),IF(ISERROR(VLOOKUP((RANK(H274,$H$2:$H$331)+1),$A$2:A273,1,0)),(RANK(H274,$H$2:$H$331)+1),(RANK(H274,$H$2:$H$331)+2)))</f>
        <v>43</v>
      </c>
      <c r="B274" s="33">
        <f>Cheatsheet!AK5</f>
        <v>3</v>
      </c>
      <c r="C274" s="33" t="str">
        <f>Cheatsheet!AL5</f>
        <v/>
      </c>
      <c r="D274" s="33" t="str">
        <f>Cheatsheet!AM5</f>
        <v>Phil Dawson</v>
      </c>
      <c r="E274" s="33" t="str">
        <f>Cheatsheet!AN5</f>
        <v>SF</v>
      </c>
      <c r="F274" s="33">
        <f>Cheatsheet!AO5</f>
        <v>8</v>
      </c>
      <c r="G274" s="70">
        <f>Cheatsheet!AP5</f>
        <v>141.30000000000001</v>
      </c>
      <c r="H274" s="70">
        <f>Cheatsheet!AQ5</f>
        <v>3.745454545454578</v>
      </c>
      <c r="I274" s="33" t="s">
        <v>4</v>
      </c>
      <c r="J274" s="33"/>
      <c r="K274" s="181"/>
      <c r="L274" s="181"/>
      <c r="M274" s="33"/>
      <c r="N274" s="33"/>
      <c r="O274" s="33"/>
      <c r="P274" s="33"/>
      <c r="Q274" s="33"/>
      <c r="R274" s="181"/>
      <c r="S274" s="33"/>
      <c r="T274" s="181"/>
      <c r="U274" s="181"/>
      <c r="V274" s="33"/>
      <c r="W274" s="33"/>
      <c r="X274" s="33"/>
      <c r="Y274" s="33"/>
      <c r="Z274" s="33"/>
      <c r="AA274" s="181"/>
      <c r="AB274" s="33"/>
      <c r="AC274" s="181"/>
      <c r="AD274" s="181"/>
      <c r="AE274" s="33"/>
      <c r="AF274" s="33"/>
      <c r="AG274" s="33"/>
      <c r="AH274" s="33"/>
      <c r="AI274" s="33"/>
      <c r="AJ274" s="181"/>
      <c r="AK274" s="33"/>
    </row>
    <row r="275" spans="1:37" ht="12.75" customHeight="1">
      <c r="A275" s="33">
        <f>IF(ISERROR(VLOOKUP(RANK(H275,$H$2:$H$331),$A$2:A274,1,0)),RANK(H275,$H$2:$H$331),IF(ISERROR(VLOOKUP((RANK(H275,$H$2:$H$331)+1),$A$2:A274,1,0)),(RANK(H275,$H$2:$H$331)+1),(RANK(H275,$H$2:$H$331)+2)))</f>
        <v>44</v>
      </c>
      <c r="B275" s="33">
        <f>Cheatsheet!AK6</f>
        <v>4</v>
      </c>
      <c r="C275" s="33" t="str">
        <f>Cheatsheet!AL6</f>
        <v/>
      </c>
      <c r="D275" s="33" t="str">
        <f>Cheatsheet!AM6</f>
        <v>Justin Tucker</v>
      </c>
      <c r="E275" s="33" t="str">
        <f>Cheatsheet!AN6</f>
        <v>BAL</v>
      </c>
      <c r="F275" s="33">
        <f>Cheatsheet!AO6</f>
        <v>11</v>
      </c>
      <c r="G275" s="70">
        <f>Cheatsheet!AP6</f>
        <v>140.6</v>
      </c>
      <c r="H275" s="70">
        <f>Cheatsheet!AQ6</f>
        <v>3.045454545454561</v>
      </c>
      <c r="I275" s="33" t="s">
        <v>4</v>
      </c>
      <c r="J275" s="33"/>
      <c r="K275" s="181"/>
      <c r="L275" s="181"/>
      <c r="M275" s="33"/>
      <c r="N275" s="33"/>
      <c r="O275" s="33"/>
      <c r="P275" s="33"/>
      <c r="Q275" s="33"/>
      <c r="R275" s="181"/>
      <c r="S275" s="33"/>
      <c r="T275" s="181"/>
      <c r="U275" s="181"/>
      <c r="V275" s="33"/>
      <c r="W275" s="33"/>
      <c r="X275" s="33"/>
      <c r="Y275" s="33"/>
      <c r="Z275" s="33"/>
      <c r="AA275" s="181"/>
      <c r="AB275" s="33"/>
      <c r="AC275" s="181"/>
      <c r="AD275" s="181"/>
      <c r="AE275" s="33"/>
      <c r="AF275" s="33"/>
      <c r="AG275" s="33"/>
      <c r="AH275" s="33"/>
      <c r="AI275" s="33"/>
      <c r="AJ275" s="181"/>
      <c r="AK275" s="33"/>
    </row>
    <row r="276" spans="1:37" ht="12.75" customHeight="1">
      <c r="A276" s="33">
        <f>IF(ISERROR(VLOOKUP(RANK(H276,$H$2:$H$331),$A$2:A275,1,0)),RANK(H276,$H$2:$H$331),IF(ISERROR(VLOOKUP((RANK(H276,$H$2:$H$331)+1),$A$2:A275,1,0)),(RANK(H276,$H$2:$H$331)+1),(RANK(H276,$H$2:$H$331)+2)))</f>
        <v>45</v>
      </c>
      <c r="B276" s="33">
        <f>Cheatsheet!AK7</f>
        <v>5</v>
      </c>
      <c r="C276" s="33" t="str">
        <f>Cheatsheet!AL7</f>
        <v/>
      </c>
      <c r="D276" s="33" t="str">
        <f>Cheatsheet!AM7</f>
        <v>Mason Crosby</v>
      </c>
      <c r="E276" s="33" t="str">
        <f>Cheatsheet!AN7</f>
        <v>GB</v>
      </c>
      <c r="F276" s="33">
        <f>Cheatsheet!AO7</f>
        <v>9</v>
      </c>
      <c r="G276" s="70">
        <f>Cheatsheet!AP7</f>
        <v>140.19999999999999</v>
      </c>
      <c r="H276" s="70">
        <f>Cheatsheet!AQ7</f>
        <v>2.6454545454545553</v>
      </c>
      <c r="I276" s="33" t="s">
        <v>4</v>
      </c>
      <c r="J276" s="33"/>
      <c r="K276" s="181"/>
      <c r="L276" s="181"/>
      <c r="M276" s="33"/>
      <c r="N276" s="33"/>
      <c r="O276" s="33"/>
      <c r="P276" s="33"/>
      <c r="Q276" s="33"/>
      <c r="R276" s="181"/>
      <c r="S276" s="33"/>
      <c r="T276" s="181"/>
      <c r="U276" s="181"/>
      <c r="V276" s="33"/>
      <c r="W276" s="33"/>
      <c r="X276" s="33"/>
      <c r="Y276" s="33"/>
      <c r="Z276" s="33"/>
      <c r="AA276" s="181"/>
      <c r="AB276" s="33"/>
      <c r="AC276" s="181"/>
      <c r="AD276" s="181"/>
      <c r="AE276" s="33"/>
      <c r="AF276" s="33"/>
      <c r="AG276" s="33"/>
      <c r="AH276" s="33"/>
      <c r="AI276" s="33"/>
      <c r="AJ276" s="181"/>
      <c r="AK276" s="33"/>
    </row>
    <row r="277" spans="1:37" ht="12.75" customHeight="1">
      <c r="A277" s="33">
        <f>IF(ISERROR(VLOOKUP(RANK(H277,$H$2:$H$331),$A$2:A276,1,0)),RANK(H277,$H$2:$H$331),IF(ISERROR(VLOOKUP((RANK(H277,$H$2:$H$331)+1),$A$2:A276,1,0)),(RANK(H277,$H$2:$H$331)+1),(RANK(H277,$H$2:$H$331)+2)))</f>
        <v>55</v>
      </c>
      <c r="B277" s="33">
        <f>Cheatsheet!AK8</f>
        <v>6</v>
      </c>
      <c r="C277" s="33" t="str">
        <f>Cheatsheet!AL8</f>
        <v/>
      </c>
      <c r="D277" s="33" t="str">
        <f>Cheatsheet!AM8</f>
        <v>Adam Vinatieri</v>
      </c>
      <c r="E277" s="33" t="str">
        <f>Cheatsheet!AN8</f>
        <v>IND</v>
      </c>
      <c r="F277" s="33">
        <f>Cheatsheet!AO8</f>
        <v>10</v>
      </c>
      <c r="G277" s="70">
        <f>Cheatsheet!AP8</f>
        <v>137.30000000000001</v>
      </c>
      <c r="H277" s="70">
        <f>Cheatsheet!AQ8</f>
        <v>-0.25454545454542199</v>
      </c>
      <c r="I277" s="33" t="s">
        <v>4</v>
      </c>
      <c r="J277" s="33"/>
      <c r="K277" s="181"/>
      <c r="L277" s="181"/>
      <c r="M277" s="33"/>
      <c r="N277" s="33"/>
      <c r="O277" s="33"/>
      <c r="P277" s="33"/>
      <c r="Q277" s="33"/>
      <c r="R277" s="181"/>
      <c r="S277" s="33"/>
      <c r="T277" s="181"/>
      <c r="U277" s="181"/>
      <c r="V277" s="33"/>
      <c r="W277" s="33"/>
      <c r="X277" s="33"/>
      <c r="Y277" s="33"/>
      <c r="Z277" s="33"/>
      <c r="AA277" s="181"/>
      <c r="AB277" s="33"/>
      <c r="AC277" s="181"/>
      <c r="AD277" s="181"/>
      <c r="AE277" s="33"/>
      <c r="AF277" s="33"/>
      <c r="AG277" s="33"/>
      <c r="AH277" s="33"/>
      <c r="AI277" s="33"/>
      <c r="AJ277" s="181"/>
      <c r="AK277" s="33"/>
    </row>
    <row r="278" spans="1:37" ht="12.75" customHeight="1">
      <c r="A278" s="33">
        <f>IF(ISERROR(VLOOKUP(RANK(H278,$H$2:$H$331),$A$2:A277,1,0)),RANK(H278,$H$2:$H$331),IF(ISERROR(VLOOKUP((RANK(H278,$H$2:$H$331)+1),$A$2:A277,1,0)),(RANK(H278,$H$2:$H$331)+1),(RANK(H278,$H$2:$H$331)+2)))</f>
        <v>59</v>
      </c>
      <c r="B278" s="33">
        <f>Cheatsheet!AK9</f>
        <v>7</v>
      </c>
      <c r="C278" s="33" t="str">
        <f>Cheatsheet!AL9</f>
        <v/>
      </c>
      <c r="D278" s="33" t="str">
        <f>Cheatsheet!AM9</f>
        <v>Nick Novak</v>
      </c>
      <c r="E278" s="33" t="str">
        <f>Cheatsheet!AN9</f>
        <v>SD</v>
      </c>
      <c r="F278" s="33">
        <f>Cheatsheet!AO9</f>
        <v>10</v>
      </c>
      <c r="G278" s="70">
        <f>Cheatsheet!AP9</f>
        <v>134.30000000000001</v>
      </c>
      <c r="H278" s="70">
        <f>Cheatsheet!AQ9</f>
        <v>-3.254545454545422</v>
      </c>
      <c r="I278" s="33" t="s">
        <v>4</v>
      </c>
      <c r="J278" s="33"/>
      <c r="K278" s="181"/>
      <c r="L278" s="181"/>
      <c r="M278" s="33"/>
      <c r="N278" s="33"/>
      <c r="O278" s="33"/>
      <c r="P278" s="33"/>
      <c r="Q278" s="33"/>
      <c r="R278" s="181"/>
      <c r="S278" s="33"/>
      <c r="T278" s="181"/>
      <c r="U278" s="181"/>
      <c r="V278" s="33"/>
      <c r="W278" s="33"/>
      <c r="X278" s="33"/>
      <c r="Y278" s="33"/>
      <c r="Z278" s="33"/>
      <c r="AA278" s="181"/>
      <c r="AB278" s="33"/>
      <c r="AC278" s="181"/>
      <c r="AD278" s="181"/>
      <c r="AE278" s="33"/>
      <c r="AF278" s="33"/>
      <c r="AG278" s="33"/>
      <c r="AH278" s="33"/>
      <c r="AI278" s="33"/>
      <c r="AJ278" s="181"/>
      <c r="AK278" s="33"/>
    </row>
    <row r="279" spans="1:37" ht="12.75" customHeight="1">
      <c r="A279" s="33">
        <f>IF(ISERROR(VLOOKUP(RANK(H279,$H$2:$H$331),$A$2:A278,1,0)),RANK(H279,$H$2:$H$331),IF(ISERROR(VLOOKUP((RANK(H279,$H$2:$H$331)+1),$A$2:A278,1,0)),(RANK(H279,$H$2:$H$331)+1),(RANK(H279,$H$2:$H$331)+2)))</f>
        <v>61</v>
      </c>
      <c r="B279" s="33">
        <f>Cheatsheet!AK10</f>
        <v>8</v>
      </c>
      <c r="C279" s="33" t="str">
        <f>Cheatsheet!AL10</f>
        <v/>
      </c>
      <c r="D279" s="33" t="str">
        <f>Cheatsheet!AM10</f>
        <v>Dan Bailey</v>
      </c>
      <c r="E279" s="33" t="str">
        <f>Cheatsheet!AN10</f>
        <v>DAL</v>
      </c>
      <c r="F279" s="33">
        <f>Cheatsheet!AO10</f>
        <v>11</v>
      </c>
      <c r="G279" s="70">
        <f>Cheatsheet!AP10</f>
        <v>133.6</v>
      </c>
      <c r="H279" s="70">
        <f>Cheatsheet!AQ10</f>
        <v>-3.954545454545439</v>
      </c>
      <c r="I279" s="33" t="s">
        <v>4</v>
      </c>
      <c r="J279" s="33"/>
      <c r="K279" s="181"/>
      <c r="L279" s="181"/>
      <c r="M279" s="33"/>
      <c r="N279" s="33"/>
      <c r="O279" s="33"/>
      <c r="P279" s="33"/>
      <c r="Q279" s="33"/>
      <c r="R279" s="181"/>
      <c r="S279" s="33"/>
      <c r="T279" s="181"/>
      <c r="U279" s="181"/>
      <c r="V279" s="33"/>
      <c r="W279" s="33"/>
      <c r="X279" s="33"/>
      <c r="Y279" s="33"/>
      <c r="Z279" s="33"/>
      <c r="AA279" s="181"/>
      <c r="AB279" s="33"/>
      <c r="AC279" s="181"/>
      <c r="AD279" s="181"/>
      <c r="AE279" s="33"/>
      <c r="AF279" s="33"/>
      <c r="AG279" s="33"/>
      <c r="AH279" s="33"/>
      <c r="AI279" s="33"/>
      <c r="AJ279" s="181"/>
      <c r="AK279" s="33"/>
    </row>
    <row r="280" spans="1:37" ht="12.75" customHeight="1">
      <c r="A280" s="33">
        <f>IF(ISERROR(VLOOKUP(RANK(H280,$H$2:$H$331),$A$2:A279,1,0)),RANK(H280,$H$2:$H$331),IF(ISERROR(VLOOKUP((RANK(H280,$H$2:$H$331)+1),$A$2:A279,1,0)),(RANK(H280,$H$2:$H$331)+1),(RANK(H280,$H$2:$H$331)+2)))</f>
        <v>67</v>
      </c>
      <c r="B280" s="33">
        <f>Cheatsheet!AK11</f>
        <v>9</v>
      </c>
      <c r="C280" s="33" t="str">
        <f>Cheatsheet!AL11</f>
        <v/>
      </c>
      <c r="D280" s="33" t="str">
        <f>Cheatsheet!AM11</f>
        <v>Shayne Graham</v>
      </c>
      <c r="E280" s="33" t="str">
        <f>Cheatsheet!AN11</f>
        <v>NO</v>
      </c>
      <c r="F280" s="33">
        <f>Cheatsheet!AO11</f>
        <v>6</v>
      </c>
      <c r="G280" s="70">
        <f>Cheatsheet!AP11</f>
        <v>131.69999999999999</v>
      </c>
      <c r="H280" s="70">
        <f>Cheatsheet!AQ11</f>
        <v>-5.8545454545454447</v>
      </c>
      <c r="I280" s="33" t="s">
        <v>4</v>
      </c>
      <c r="J280" s="33"/>
      <c r="K280" s="181"/>
      <c r="L280" s="181"/>
      <c r="M280" s="33"/>
      <c r="N280" s="33"/>
      <c r="O280" s="33"/>
      <c r="P280" s="33"/>
      <c r="Q280" s="33"/>
      <c r="R280" s="181"/>
      <c r="S280" s="33"/>
      <c r="T280" s="181"/>
      <c r="U280" s="181"/>
      <c r="V280" s="33"/>
      <c r="W280" s="33"/>
      <c r="X280" s="33"/>
      <c r="Y280" s="33"/>
      <c r="Z280" s="33"/>
      <c r="AA280" s="181"/>
      <c r="AB280" s="33"/>
      <c r="AC280" s="181"/>
      <c r="AD280" s="181"/>
      <c r="AE280" s="33"/>
      <c r="AF280" s="33"/>
      <c r="AG280" s="33"/>
      <c r="AH280" s="33"/>
      <c r="AI280" s="33"/>
      <c r="AJ280" s="181"/>
      <c r="AK280" s="33"/>
    </row>
    <row r="281" spans="1:37" ht="12.75" customHeight="1">
      <c r="A281" s="33">
        <f>IF(ISERROR(VLOOKUP(RANK(H281,$H$2:$H$331),$A$2:A280,1,0)),RANK(H281,$H$2:$H$331),IF(ISERROR(VLOOKUP((RANK(H281,$H$2:$H$331)+1),$A$2:A280,1,0)),(RANK(H281,$H$2:$H$331)+1),(RANK(H281,$H$2:$H$331)+2)))</f>
        <v>69</v>
      </c>
      <c r="B281" s="33">
        <f>Cheatsheet!AK12</f>
        <v>10</v>
      </c>
      <c r="C281" s="33" t="str">
        <f>Cheatsheet!AL12</f>
        <v/>
      </c>
      <c r="D281" s="33" t="str">
        <f>Cheatsheet!AM12</f>
        <v>Blair Walsh</v>
      </c>
      <c r="E281" s="33" t="str">
        <f>Cheatsheet!AN12</f>
        <v>MIN</v>
      </c>
      <c r="F281" s="33">
        <f>Cheatsheet!AO12</f>
        <v>10</v>
      </c>
      <c r="G281" s="70">
        <f>Cheatsheet!AP12</f>
        <v>130.19999999999999</v>
      </c>
      <c r="H281" s="70">
        <f>Cheatsheet!AQ12</f>
        <v>-7.3545454545454447</v>
      </c>
      <c r="I281" s="33" t="s">
        <v>4</v>
      </c>
      <c r="J281" s="33"/>
      <c r="K281" s="181"/>
      <c r="L281" s="181"/>
      <c r="M281" s="33"/>
      <c r="N281" s="33"/>
      <c r="O281" s="33"/>
      <c r="P281" s="33"/>
      <c r="Q281" s="33"/>
      <c r="R281" s="181"/>
      <c r="S281" s="33"/>
      <c r="T281" s="181"/>
      <c r="U281" s="181"/>
      <c r="V281" s="33"/>
      <c r="W281" s="33"/>
      <c r="X281" s="33"/>
      <c r="Y281" s="33"/>
      <c r="Z281" s="33"/>
      <c r="AA281" s="181"/>
      <c r="AB281" s="33"/>
      <c r="AC281" s="181"/>
      <c r="AD281" s="181"/>
      <c r="AE281" s="33"/>
      <c r="AF281" s="33"/>
      <c r="AG281" s="33"/>
      <c r="AH281" s="33"/>
      <c r="AI281" s="33"/>
      <c r="AJ281" s="181"/>
      <c r="AK281" s="33"/>
    </row>
    <row r="282" spans="1:37" ht="12.75" customHeight="1">
      <c r="A282" s="33">
        <f>IF(ISERROR(VLOOKUP(RANK(H282,$H$2:$H$331),$A$2:A281,1,0)),RANK(H282,$H$2:$H$331),IF(ISERROR(VLOOKUP((RANK(H282,$H$2:$H$331)+1),$A$2:A281,1,0)),(RANK(H282,$H$2:$H$331)+1),(RANK(H282,$H$2:$H$331)+2)))</f>
        <v>74</v>
      </c>
      <c r="B282" s="33">
        <f>Cheatsheet!AK13</f>
        <v>11</v>
      </c>
      <c r="C282" s="33" t="str">
        <f>Cheatsheet!AL13</f>
        <v/>
      </c>
      <c r="D282" s="33" t="str">
        <f>Cheatsheet!AM13</f>
        <v>Matt Bryant</v>
      </c>
      <c r="E282" s="33" t="str">
        <f>Cheatsheet!AN13</f>
        <v>ATL</v>
      </c>
      <c r="F282" s="33">
        <f>Cheatsheet!AO13</f>
        <v>9</v>
      </c>
      <c r="G282" s="70">
        <f>Cheatsheet!AP13</f>
        <v>127.4</v>
      </c>
      <c r="H282" s="70">
        <f>Cheatsheet!AQ13</f>
        <v>-10.154545454545428</v>
      </c>
      <c r="I282" s="33" t="s">
        <v>4</v>
      </c>
      <c r="J282" s="33"/>
      <c r="K282" s="181"/>
      <c r="L282" s="181"/>
      <c r="M282" s="33"/>
      <c r="N282" s="33"/>
      <c r="O282" s="33"/>
      <c r="P282" s="33"/>
      <c r="Q282" s="33"/>
      <c r="R282" s="181"/>
      <c r="S282" s="33"/>
      <c r="T282" s="181"/>
      <c r="U282" s="181"/>
      <c r="V282" s="33"/>
      <c r="W282" s="33"/>
      <c r="X282" s="33"/>
      <c r="Y282" s="33"/>
      <c r="Z282" s="33"/>
      <c r="AA282" s="181"/>
      <c r="AB282" s="33"/>
      <c r="AC282" s="181"/>
      <c r="AD282" s="181"/>
      <c r="AE282" s="33"/>
      <c r="AF282" s="33"/>
      <c r="AG282" s="33"/>
      <c r="AH282" s="33"/>
      <c r="AI282" s="33"/>
      <c r="AJ282" s="181"/>
      <c r="AK282" s="33"/>
    </row>
    <row r="283" spans="1:37" ht="12.75" customHeight="1">
      <c r="A283" s="33">
        <f>IF(ISERROR(VLOOKUP(RANK(H283,$H$2:$H$331),$A$2:A282,1,0)),RANK(H283,$H$2:$H$331),IF(ISERROR(VLOOKUP((RANK(H283,$H$2:$H$331)+1),$A$2:A282,1,0)),(RANK(H283,$H$2:$H$331)+1),(RANK(H283,$H$2:$H$331)+2)))</f>
        <v>75</v>
      </c>
      <c r="B283" s="33">
        <f>Cheatsheet!AK14</f>
        <v>12</v>
      </c>
      <c r="C283" s="33" t="str">
        <f>Cheatsheet!AL14</f>
        <v/>
      </c>
      <c r="D283" s="33" t="str">
        <f>Cheatsheet!AM14</f>
        <v>Robbie Gould</v>
      </c>
      <c r="E283" s="33" t="str">
        <f>Cheatsheet!AN14</f>
        <v>CHI</v>
      </c>
      <c r="F283" s="33">
        <f>Cheatsheet!AO14</f>
        <v>9</v>
      </c>
      <c r="G283" s="70">
        <f>Cheatsheet!AP14</f>
        <v>127.3</v>
      </c>
      <c r="H283" s="70">
        <f>Cheatsheet!AQ14</f>
        <v>-10.254545454545436</v>
      </c>
      <c r="I283" s="33" t="s">
        <v>4</v>
      </c>
      <c r="J283" s="33"/>
      <c r="K283" s="181"/>
      <c r="L283" s="181"/>
      <c r="M283" s="33"/>
      <c r="N283" s="33"/>
      <c r="O283" s="33"/>
      <c r="P283" s="33"/>
      <c r="Q283" s="33"/>
      <c r="R283" s="181"/>
      <c r="S283" s="33"/>
      <c r="T283" s="181"/>
      <c r="U283" s="181"/>
      <c r="V283" s="33"/>
      <c r="W283" s="33"/>
      <c r="X283" s="33"/>
      <c r="Y283" s="33"/>
      <c r="Z283" s="33"/>
      <c r="AA283" s="181"/>
      <c r="AB283" s="33"/>
      <c r="AC283" s="181"/>
      <c r="AD283" s="181"/>
      <c r="AE283" s="33"/>
      <c r="AF283" s="33"/>
      <c r="AG283" s="33"/>
      <c r="AH283" s="33"/>
      <c r="AI283" s="33"/>
      <c r="AJ283" s="181"/>
      <c r="AK283" s="33"/>
    </row>
    <row r="284" spans="1:37" ht="12.75" customHeight="1">
      <c r="A284" s="33">
        <f>IF(ISERROR(VLOOKUP(RANK(H284,$H$2:$H$331),$A$2:A283,1,0)),RANK(H284,$H$2:$H$331),IF(ISERROR(VLOOKUP((RANK(H284,$H$2:$H$331)+1),$A$2:A283,1,0)),(RANK(H284,$H$2:$H$331)+1),(RANK(H284,$H$2:$H$331)+2)))</f>
        <v>83</v>
      </c>
      <c r="B284" s="33">
        <f>Cheatsheet!AK15</f>
        <v>13</v>
      </c>
      <c r="C284" s="33" t="str">
        <f>Cheatsheet!AL15</f>
        <v/>
      </c>
      <c r="D284" s="33" t="str">
        <f>Cheatsheet!AM15</f>
        <v>Alex Henery</v>
      </c>
      <c r="E284" s="33" t="str">
        <f>Cheatsheet!AN15</f>
        <v>PHI</v>
      </c>
      <c r="F284" s="33">
        <f>Cheatsheet!AO15</f>
        <v>7</v>
      </c>
      <c r="G284" s="70">
        <f>Cheatsheet!AP15</f>
        <v>123</v>
      </c>
      <c r="H284" s="70">
        <f>Cheatsheet!AQ15</f>
        <v>-14.554545454545433</v>
      </c>
      <c r="I284" s="33" t="s">
        <v>4</v>
      </c>
      <c r="J284" s="33"/>
      <c r="K284" s="181"/>
      <c r="L284" s="181"/>
      <c r="M284" s="33"/>
      <c r="N284" s="33"/>
      <c r="O284" s="33"/>
      <c r="P284" s="33"/>
      <c r="Q284" s="33"/>
      <c r="R284" s="181"/>
      <c r="S284" s="33"/>
      <c r="T284" s="181"/>
      <c r="U284" s="181"/>
      <c r="V284" s="33"/>
      <c r="W284" s="33"/>
      <c r="X284" s="33"/>
      <c r="Y284" s="33"/>
      <c r="Z284" s="33"/>
      <c r="AA284" s="181"/>
      <c r="AB284" s="33"/>
      <c r="AC284" s="181"/>
      <c r="AD284" s="181"/>
      <c r="AE284" s="33"/>
      <c r="AF284" s="33"/>
      <c r="AG284" s="33"/>
      <c r="AH284" s="33"/>
      <c r="AI284" s="33"/>
      <c r="AJ284" s="181"/>
      <c r="AK284" s="33"/>
    </row>
    <row r="285" spans="1:37" ht="12.75" customHeight="1">
      <c r="A285" s="33">
        <f>IF(ISERROR(VLOOKUP(RANK(H285,$H$2:$H$331),$A$2:A284,1,0)),RANK(H285,$H$2:$H$331),IF(ISERROR(VLOOKUP((RANK(H285,$H$2:$H$331)+1),$A$2:A284,1,0)),(RANK(H285,$H$2:$H$331)+1),(RANK(H285,$H$2:$H$331)+2)))</f>
        <v>85</v>
      </c>
      <c r="B285" s="33">
        <f>Cheatsheet!AK16</f>
        <v>14</v>
      </c>
      <c r="C285" s="33" t="str">
        <f>Cheatsheet!AL16</f>
        <v/>
      </c>
      <c r="D285" s="33" t="str">
        <f>Cheatsheet!AM16</f>
        <v>Shaun Suisham</v>
      </c>
      <c r="E285" s="33" t="str">
        <f>Cheatsheet!AN16</f>
        <v>PIT</v>
      </c>
      <c r="F285" s="33">
        <f>Cheatsheet!AO16</f>
        <v>12</v>
      </c>
      <c r="G285" s="70">
        <f>Cheatsheet!AP16</f>
        <v>121.6</v>
      </c>
      <c r="H285" s="70">
        <f>Cheatsheet!AQ16</f>
        <v>-15.954545454545439</v>
      </c>
      <c r="I285" s="33" t="s">
        <v>4</v>
      </c>
      <c r="J285" s="33"/>
      <c r="K285" s="181"/>
      <c r="L285" s="181"/>
      <c r="M285" s="33"/>
      <c r="N285" s="33"/>
      <c r="O285" s="33"/>
      <c r="P285" s="33"/>
      <c r="Q285" s="33"/>
      <c r="R285" s="181"/>
      <c r="S285" s="33"/>
      <c r="T285" s="181"/>
      <c r="U285" s="181"/>
      <c r="V285" s="33"/>
      <c r="W285" s="33"/>
      <c r="X285" s="33"/>
      <c r="Y285" s="33"/>
      <c r="Z285" s="33"/>
      <c r="AA285" s="181"/>
      <c r="AB285" s="33"/>
      <c r="AC285" s="181"/>
      <c r="AD285" s="181"/>
      <c r="AE285" s="33"/>
      <c r="AF285" s="33"/>
      <c r="AG285" s="33"/>
      <c r="AH285" s="33"/>
      <c r="AI285" s="33"/>
      <c r="AJ285" s="181"/>
      <c r="AK285" s="33"/>
    </row>
    <row r="286" spans="1:37" ht="12.75" customHeight="1">
      <c r="A286" s="33">
        <f>IF(ISERROR(VLOOKUP(RANK(H286,$H$2:$H$331),$A$2:A285,1,0)),RANK(H286,$H$2:$H$331),IF(ISERROR(VLOOKUP((RANK(H286,$H$2:$H$331)+1),$A$2:A285,1,0)),(RANK(H286,$H$2:$H$331)+1),(RANK(H286,$H$2:$H$331)+2)))</f>
        <v>86</v>
      </c>
      <c r="B286" s="33">
        <f>Cheatsheet!AK17</f>
        <v>15</v>
      </c>
      <c r="C286" s="33" t="str">
        <f>Cheatsheet!AL17</f>
        <v/>
      </c>
      <c r="D286" s="33" t="str">
        <f>Cheatsheet!AM17</f>
        <v>Nick Folk</v>
      </c>
      <c r="E286" s="33" t="str">
        <f>Cheatsheet!AN17</f>
        <v>NYJ</v>
      </c>
      <c r="F286" s="33">
        <f>Cheatsheet!AO17</f>
        <v>11</v>
      </c>
      <c r="G286" s="70">
        <f>Cheatsheet!AP17</f>
        <v>121.2</v>
      </c>
      <c r="H286" s="70">
        <f>Cheatsheet!AQ17</f>
        <v>-16.354545454545431</v>
      </c>
      <c r="I286" s="33" t="s">
        <v>4</v>
      </c>
      <c r="J286" s="33"/>
      <c r="K286" s="181"/>
      <c r="L286" s="181"/>
      <c r="M286" s="33"/>
      <c r="N286" s="33"/>
      <c r="O286" s="33"/>
      <c r="P286" s="33"/>
      <c r="Q286" s="33"/>
      <c r="R286" s="181"/>
      <c r="S286" s="33"/>
      <c r="T286" s="181"/>
      <c r="U286" s="181"/>
      <c r="V286" s="33"/>
      <c r="W286" s="33"/>
      <c r="X286" s="33"/>
      <c r="Y286" s="33"/>
      <c r="Z286" s="33"/>
      <c r="AA286" s="181"/>
      <c r="AB286" s="33"/>
      <c r="AC286" s="181"/>
      <c r="AD286" s="181"/>
      <c r="AE286" s="33"/>
      <c r="AF286" s="33"/>
      <c r="AG286" s="33"/>
      <c r="AH286" s="33"/>
      <c r="AI286" s="33"/>
      <c r="AJ286" s="181"/>
      <c r="AK286" s="33"/>
    </row>
    <row r="287" spans="1:37" ht="12.75" customHeight="1">
      <c r="A287" s="33">
        <f>IF(ISERROR(VLOOKUP(RANK(H287,$H$2:$H$331),$A$2:A286,1,0)),RANK(H287,$H$2:$H$331),IF(ISERROR(VLOOKUP((RANK(H287,$H$2:$H$331)+1),$A$2:A286,1,0)),(RANK(H287,$H$2:$H$331)+1),(RANK(H287,$H$2:$H$331)+2)))</f>
        <v>89</v>
      </c>
      <c r="B287" s="33">
        <f>Cheatsheet!AK18</f>
        <v>16</v>
      </c>
      <c r="C287" s="33" t="str">
        <f>Cheatsheet!AL18</f>
        <v/>
      </c>
      <c r="D287" s="33" t="str">
        <f>Cheatsheet!AM18</f>
        <v>Dan Carpenter</v>
      </c>
      <c r="E287" s="33" t="str">
        <f>Cheatsheet!AN18</f>
        <v>BUF</v>
      </c>
      <c r="F287" s="33">
        <f>Cheatsheet!AO18</f>
        <v>9</v>
      </c>
      <c r="G287" s="70">
        <f>Cheatsheet!AP18</f>
        <v>120.6</v>
      </c>
      <c r="H287" s="70">
        <f>Cheatsheet!AQ18</f>
        <v>-16.954545454545439</v>
      </c>
      <c r="I287" s="33" t="s">
        <v>4</v>
      </c>
      <c r="J287" s="33"/>
      <c r="K287" s="181"/>
      <c r="L287" s="181"/>
      <c r="M287" s="33"/>
      <c r="N287" s="33"/>
      <c r="O287" s="33"/>
      <c r="P287" s="33"/>
      <c r="Q287" s="33"/>
      <c r="R287" s="181"/>
      <c r="S287" s="33"/>
      <c r="T287" s="181"/>
      <c r="U287" s="181"/>
      <c r="V287" s="33"/>
      <c r="W287" s="33"/>
      <c r="X287" s="33"/>
      <c r="Y287" s="33"/>
      <c r="Z287" s="33"/>
      <c r="AA287" s="181"/>
      <c r="AB287" s="33"/>
      <c r="AC287" s="181"/>
      <c r="AD287" s="181"/>
      <c r="AE287" s="33"/>
      <c r="AF287" s="33"/>
      <c r="AG287" s="33"/>
      <c r="AH287" s="33"/>
      <c r="AI287" s="33"/>
      <c r="AJ287" s="181"/>
      <c r="AK287" s="33"/>
    </row>
    <row r="288" spans="1:37" ht="12.75" customHeight="1">
      <c r="A288" s="33">
        <f>IF(ISERROR(VLOOKUP(RANK(H288,$H$2:$H$331),$A$2:A287,1,0)),RANK(H288,$H$2:$H$331),IF(ISERROR(VLOOKUP((RANK(H288,$H$2:$H$331)+1),$A$2:A287,1,0)),(RANK(H288,$H$2:$H$331)+1),(RANK(H288,$H$2:$H$331)+2)))</f>
        <v>90</v>
      </c>
      <c r="B288" s="33">
        <f>Cheatsheet!AK19</f>
        <v>17</v>
      </c>
      <c r="C288" s="33" t="str">
        <f>Cheatsheet!AL19</f>
        <v/>
      </c>
      <c r="D288" s="33" t="str">
        <f>Cheatsheet!AM19</f>
        <v>Ryan Succop</v>
      </c>
      <c r="E288" s="33" t="str">
        <f>Cheatsheet!AN19</f>
        <v>KC</v>
      </c>
      <c r="F288" s="33">
        <f>Cheatsheet!AO19</f>
        <v>6</v>
      </c>
      <c r="G288" s="70">
        <f>Cheatsheet!AP19</f>
        <v>119.6</v>
      </c>
      <c r="H288" s="70">
        <f>Cheatsheet!AQ19</f>
        <v>-17.954545454545439</v>
      </c>
      <c r="I288" s="33" t="s">
        <v>4</v>
      </c>
      <c r="J288" s="33"/>
      <c r="K288" s="181"/>
      <c r="L288" s="181"/>
      <c r="M288" s="33"/>
      <c r="N288" s="33"/>
      <c r="O288" s="33"/>
      <c r="P288" s="33"/>
      <c r="Q288" s="33"/>
      <c r="R288" s="181"/>
      <c r="S288" s="33"/>
      <c r="T288" s="181"/>
      <c r="U288" s="181"/>
      <c r="V288" s="33"/>
      <c r="W288" s="33"/>
      <c r="X288" s="33"/>
      <c r="Y288" s="33"/>
      <c r="Z288" s="33"/>
      <c r="AA288" s="181"/>
      <c r="AB288" s="33"/>
      <c r="AC288" s="181"/>
      <c r="AD288" s="181"/>
      <c r="AE288" s="33"/>
      <c r="AF288" s="33"/>
      <c r="AG288" s="33"/>
      <c r="AH288" s="33"/>
      <c r="AI288" s="33"/>
      <c r="AJ288" s="181"/>
      <c r="AK288" s="33"/>
    </row>
    <row r="289" spans="1:37" ht="12.75" customHeight="1">
      <c r="A289" s="33">
        <f>IF(ISERROR(VLOOKUP(RANK(H289,$H$2:$H$331),$A$2:A288,1,0)),RANK(H289,$H$2:$H$331),IF(ISERROR(VLOOKUP((RANK(H289,$H$2:$H$331)+1),$A$2:A288,1,0)),(RANK(H289,$H$2:$H$331)+1),(RANK(H289,$H$2:$H$331)+2)))</f>
        <v>91</v>
      </c>
      <c r="B289" s="33">
        <f>Cheatsheet!AK20</f>
        <v>18</v>
      </c>
      <c r="C289" s="33" t="str">
        <f>Cheatsheet!AL20</f>
        <v/>
      </c>
      <c r="D289" s="33" t="str">
        <f>Cheatsheet!AM20</f>
        <v>Jay Feely</v>
      </c>
      <c r="E289" s="33" t="str">
        <f>Cheatsheet!AN20</f>
        <v>ARI</v>
      </c>
      <c r="F289" s="33">
        <f>Cheatsheet!AO20</f>
        <v>4</v>
      </c>
      <c r="G289" s="70">
        <f>Cheatsheet!AP20</f>
        <v>119.6</v>
      </c>
      <c r="H289" s="70">
        <f>Cheatsheet!AQ20</f>
        <v>-17.954545454545439</v>
      </c>
      <c r="I289" s="33" t="s">
        <v>4</v>
      </c>
      <c r="J289" s="33"/>
      <c r="K289" s="181"/>
      <c r="L289" s="181"/>
      <c r="M289" s="33"/>
      <c r="N289" s="33"/>
      <c r="O289" s="33"/>
      <c r="P289" s="33"/>
      <c r="Q289" s="33"/>
      <c r="R289" s="181"/>
      <c r="S289" s="33"/>
      <c r="T289" s="181"/>
      <c r="U289" s="181"/>
      <c r="V289" s="33"/>
      <c r="W289" s="33"/>
      <c r="X289" s="33"/>
      <c r="Y289" s="33"/>
      <c r="Z289" s="33"/>
      <c r="AA289" s="181"/>
      <c r="AB289" s="33"/>
      <c r="AC289" s="181"/>
      <c r="AD289" s="181"/>
      <c r="AE289" s="33"/>
      <c r="AF289" s="33"/>
      <c r="AG289" s="33"/>
      <c r="AH289" s="33"/>
      <c r="AI289" s="33"/>
      <c r="AJ289" s="181"/>
      <c r="AK289" s="33"/>
    </row>
    <row r="290" spans="1:37" ht="12.75" customHeight="1">
      <c r="A290" s="33">
        <f>IF(ISERROR(VLOOKUP(RANK(H290,$H$2:$H$331),$A$2:A289,1,0)),RANK(H290,$H$2:$H$331),IF(ISERROR(VLOOKUP((RANK(H290,$H$2:$H$331)+1),$A$2:A289,1,0)),(RANK(H290,$H$2:$H$331)+1),(RANK(H290,$H$2:$H$331)+2)))</f>
        <v>93</v>
      </c>
      <c r="B290" s="33">
        <f>Cheatsheet!AK21</f>
        <v>19</v>
      </c>
      <c r="C290" s="33" t="str">
        <f>Cheatsheet!AL21</f>
        <v/>
      </c>
      <c r="D290" s="33" t="str">
        <f>Cheatsheet!AM21</f>
        <v>Greg Zuerlein</v>
      </c>
      <c r="E290" s="33" t="str">
        <f>Cheatsheet!AN21</f>
        <v>STL</v>
      </c>
      <c r="F290" s="33">
        <f>Cheatsheet!AO21</f>
        <v>4</v>
      </c>
      <c r="G290" s="70">
        <f>Cheatsheet!AP21</f>
        <v>118</v>
      </c>
      <c r="H290" s="70">
        <f>Cheatsheet!AQ21</f>
        <v>-19.554545454545433</v>
      </c>
      <c r="I290" s="33" t="s">
        <v>4</v>
      </c>
      <c r="J290" s="33"/>
      <c r="K290" s="181"/>
      <c r="L290" s="181"/>
      <c r="M290" s="33"/>
      <c r="N290" s="33"/>
      <c r="O290" s="33"/>
      <c r="P290" s="33"/>
      <c r="Q290" s="33"/>
      <c r="R290" s="181"/>
      <c r="S290" s="33"/>
      <c r="T290" s="181"/>
      <c r="U290" s="181"/>
      <c r="V290" s="33"/>
      <c r="W290" s="33"/>
      <c r="X290" s="33"/>
      <c r="Y290" s="33"/>
      <c r="Z290" s="33"/>
      <c r="AA290" s="181"/>
      <c r="AB290" s="33"/>
      <c r="AC290" s="181"/>
      <c r="AD290" s="181"/>
      <c r="AE290" s="33"/>
      <c r="AF290" s="33"/>
      <c r="AG290" s="33"/>
      <c r="AH290" s="33"/>
      <c r="AI290" s="33"/>
      <c r="AJ290" s="181"/>
      <c r="AK290" s="33"/>
    </row>
    <row r="291" spans="1:37" ht="12.75" customHeight="1">
      <c r="A291" s="33">
        <f>IF(ISERROR(VLOOKUP(RANK(H291,$H$2:$H$331),$A$2:A290,1,0)),RANK(H291,$H$2:$H$331),IF(ISERROR(VLOOKUP((RANK(H291,$H$2:$H$331)+1),$A$2:A290,1,0)),(RANK(H291,$H$2:$H$331)+1),(RANK(H291,$H$2:$H$331)+2)))</f>
        <v>101</v>
      </c>
      <c r="B291" s="33">
        <f>Cheatsheet!AK22</f>
        <v>20</v>
      </c>
      <c r="C291" s="33" t="str">
        <f>Cheatsheet!AL22</f>
        <v/>
      </c>
      <c r="D291" s="33" t="str">
        <f>Cheatsheet!AM22</f>
        <v>Graham Gano</v>
      </c>
      <c r="E291" s="33" t="str">
        <f>Cheatsheet!AN22</f>
        <v>CAR</v>
      </c>
      <c r="F291" s="33">
        <f>Cheatsheet!AO22</f>
        <v>12</v>
      </c>
      <c r="G291" s="70">
        <f>Cheatsheet!AP22</f>
        <v>115.6</v>
      </c>
      <c r="H291" s="70">
        <f>Cheatsheet!AQ22</f>
        <v>-21.954545454545439</v>
      </c>
      <c r="I291" s="33" t="s">
        <v>4</v>
      </c>
      <c r="J291" s="33"/>
      <c r="K291" s="181"/>
      <c r="L291" s="181"/>
      <c r="M291" s="33"/>
      <c r="N291" s="33"/>
      <c r="O291" s="33"/>
      <c r="P291" s="33"/>
      <c r="Q291" s="33"/>
      <c r="R291" s="181"/>
      <c r="S291" s="33"/>
      <c r="T291" s="181"/>
      <c r="U291" s="181"/>
      <c r="V291" s="33"/>
      <c r="W291" s="33"/>
      <c r="X291" s="33"/>
      <c r="Y291" s="33"/>
      <c r="Z291" s="33"/>
      <c r="AA291" s="181"/>
      <c r="AB291" s="33"/>
      <c r="AC291" s="181"/>
      <c r="AD291" s="181"/>
      <c r="AE291" s="33"/>
      <c r="AF291" s="33"/>
      <c r="AG291" s="33"/>
      <c r="AH291" s="33"/>
      <c r="AI291" s="33"/>
      <c r="AJ291" s="181"/>
      <c r="AK291" s="33"/>
    </row>
    <row r="292" spans="1:37" ht="12.75" customHeight="1">
      <c r="A292" s="33">
        <f>IF(ISERROR(VLOOKUP(RANK(H292,$H$2:$H$331),$A$2:A291,1,0)),RANK(H292,$H$2:$H$331),IF(ISERROR(VLOOKUP((RANK(H292,$H$2:$H$331)+1),$A$2:A291,1,0)),(RANK(H292,$H$2:$H$331)+1),(RANK(H292,$H$2:$H$331)+2)))</f>
        <v>107</v>
      </c>
      <c r="B292" s="33">
        <f>Cheatsheet!AK23</f>
        <v>21</v>
      </c>
      <c r="C292" s="33" t="str">
        <f>Cheatsheet!AL23</f>
        <v/>
      </c>
      <c r="D292" s="33" t="str">
        <f>Cheatsheet!AM23</f>
        <v>Sebastian Janikowski</v>
      </c>
      <c r="E292" s="33" t="str">
        <f>Cheatsheet!AN23</f>
        <v>OAK</v>
      </c>
      <c r="F292" s="33">
        <f>Cheatsheet!AO23</f>
        <v>5</v>
      </c>
      <c r="G292" s="70">
        <f>Cheatsheet!AP23</f>
        <v>112.4</v>
      </c>
      <c r="H292" s="70">
        <f>Cheatsheet!AQ23</f>
        <v>-25.154545454545428</v>
      </c>
      <c r="I292" s="33" t="s">
        <v>4</v>
      </c>
      <c r="J292" s="33"/>
      <c r="K292" s="181"/>
      <c r="L292" s="181"/>
      <c r="M292" s="33"/>
      <c r="N292" s="33"/>
      <c r="O292" s="33"/>
      <c r="P292" s="33"/>
      <c r="Q292" s="33"/>
      <c r="R292" s="181"/>
      <c r="S292" s="33"/>
      <c r="T292" s="181"/>
      <c r="U292" s="181"/>
      <c r="V292" s="33"/>
      <c r="W292" s="33"/>
      <c r="X292" s="33"/>
      <c r="Y292" s="33"/>
      <c r="Z292" s="33"/>
      <c r="AA292" s="181"/>
      <c r="AB292" s="33"/>
      <c r="AC292" s="181"/>
      <c r="AD292" s="181"/>
      <c r="AE292" s="33"/>
      <c r="AF292" s="33"/>
      <c r="AG292" s="33"/>
      <c r="AH292" s="33"/>
      <c r="AI292" s="33"/>
      <c r="AJ292" s="181"/>
      <c r="AK292" s="33"/>
    </row>
    <row r="293" spans="1:37" ht="12.75" customHeight="1">
      <c r="A293" s="33">
        <f>IF(ISERROR(VLOOKUP(RANK(H293,$H$2:$H$331),$A$2:A292,1,0)),RANK(H293,$H$2:$H$331),IF(ISERROR(VLOOKUP((RANK(H293,$H$2:$H$331)+1),$A$2:A292,1,0)),(RANK(H293,$H$2:$H$331)+1),(RANK(H293,$H$2:$H$331)+2)))</f>
        <v>110</v>
      </c>
      <c r="B293" s="33">
        <f>Cheatsheet!AK24</f>
        <v>22</v>
      </c>
      <c r="C293" s="33" t="str">
        <f>Cheatsheet!AL24</f>
        <v/>
      </c>
      <c r="D293" s="33" t="str">
        <f>Cheatsheet!AM24</f>
        <v>Mike Nugent</v>
      </c>
      <c r="E293" s="33" t="str">
        <f>Cheatsheet!AN24</f>
        <v>CIN</v>
      </c>
      <c r="F293" s="33">
        <f>Cheatsheet!AO24</f>
        <v>4</v>
      </c>
      <c r="G293" s="70">
        <f>Cheatsheet!AP24</f>
        <v>111.6</v>
      </c>
      <c r="H293" s="70">
        <f>Cheatsheet!AQ24</f>
        <v>-25.954545454545439</v>
      </c>
      <c r="I293" s="33" t="s">
        <v>4</v>
      </c>
      <c r="J293" s="33"/>
      <c r="K293" s="181"/>
      <c r="L293" s="181"/>
      <c r="M293" s="33"/>
      <c r="N293" s="33"/>
      <c r="O293" s="33"/>
      <c r="P293" s="33"/>
      <c r="Q293" s="33"/>
      <c r="R293" s="181"/>
      <c r="S293" s="33"/>
      <c r="T293" s="181"/>
      <c r="U293" s="181"/>
      <c r="V293" s="33"/>
      <c r="W293" s="33"/>
      <c r="X293" s="33"/>
      <c r="Y293" s="33"/>
      <c r="Z293" s="33"/>
      <c r="AA293" s="181"/>
      <c r="AB293" s="33"/>
      <c r="AC293" s="181"/>
      <c r="AD293" s="181"/>
      <c r="AE293" s="33"/>
      <c r="AF293" s="33"/>
      <c r="AG293" s="33"/>
      <c r="AH293" s="33"/>
      <c r="AI293" s="33"/>
      <c r="AJ293" s="181"/>
      <c r="AK293" s="33"/>
    </row>
    <row r="294" spans="1:37" ht="12.75" customHeight="1">
      <c r="A294" s="33">
        <f>IF(ISERROR(VLOOKUP(RANK(H294,$H$2:$H$331),$A$2:A293,1,0)),RANK(H294,$H$2:$H$331),IF(ISERROR(VLOOKUP((RANK(H294,$H$2:$H$331)+1),$A$2:A293,1,0)),(RANK(H294,$H$2:$H$331)+1),(RANK(H294,$H$2:$H$331)+2)))</f>
        <v>111</v>
      </c>
      <c r="B294" s="33">
        <f>Cheatsheet!AK25</f>
        <v>23</v>
      </c>
      <c r="C294" s="33" t="str">
        <f>Cheatsheet!AL25</f>
        <v/>
      </c>
      <c r="D294" s="33" t="str">
        <f>Cheatsheet!AM25</f>
        <v>Caleb Sturgis</v>
      </c>
      <c r="E294" s="33" t="str">
        <f>Cheatsheet!AN25</f>
        <v>MIA</v>
      </c>
      <c r="F294" s="33">
        <f>Cheatsheet!AO25</f>
        <v>5</v>
      </c>
      <c r="G294" s="70">
        <f>Cheatsheet!AP25</f>
        <v>111.4</v>
      </c>
      <c r="H294" s="70">
        <f>Cheatsheet!AQ25</f>
        <v>-26.154545454545428</v>
      </c>
      <c r="I294" s="33" t="s">
        <v>4</v>
      </c>
      <c r="J294" s="33"/>
      <c r="K294" s="181"/>
      <c r="L294" s="181"/>
      <c r="M294" s="33"/>
      <c r="N294" s="33"/>
      <c r="O294" s="33"/>
      <c r="P294" s="33"/>
      <c r="Q294" s="33"/>
      <c r="R294" s="181"/>
      <c r="S294" s="33"/>
      <c r="T294" s="181"/>
      <c r="U294" s="181"/>
      <c r="V294" s="33"/>
      <c r="W294" s="33"/>
      <c r="X294" s="33"/>
      <c r="Y294" s="33"/>
      <c r="Z294" s="33"/>
      <c r="AA294" s="181"/>
      <c r="AB294" s="33"/>
      <c r="AC294" s="181"/>
      <c r="AD294" s="181"/>
      <c r="AE294" s="33"/>
      <c r="AF294" s="33"/>
      <c r="AG294" s="33"/>
      <c r="AH294" s="33"/>
      <c r="AI294" s="33"/>
      <c r="AJ294" s="181"/>
      <c r="AK294" s="33"/>
    </row>
    <row r="295" spans="1:37" ht="12.75" customHeight="1">
      <c r="A295" s="33">
        <f>IF(ISERROR(VLOOKUP(RANK(H295,$H$2:$H$331),$A$2:A294,1,0)),RANK(H295,$H$2:$H$331),IF(ISERROR(VLOOKUP((RANK(H295,$H$2:$H$331)+1),$A$2:A294,1,0)),(RANK(H295,$H$2:$H$331)+1),(RANK(H295,$H$2:$H$331)+2)))</f>
        <v>116</v>
      </c>
      <c r="B295" s="33">
        <f>Cheatsheet!AK26</f>
        <v>24</v>
      </c>
      <c r="C295" s="33" t="str">
        <f>Cheatsheet!AL26</f>
        <v/>
      </c>
      <c r="D295" s="33" t="str">
        <f>Cheatsheet!AM26</f>
        <v>Josh Brown</v>
      </c>
      <c r="E295" s="33" t="str">
        <f>Cheatsheet!AN26</f>
        <v>NYG</v>
      </c>
      <c r="F295" s="33">
        <f>Cheatsheet!AO26</f>
        <v>8</v>
      </c>
      <c r="G295" s="70">
        <f>Cheatsheet!AP26</f>
        <v>110</v>
      </c>
      <c r="H295" s="70">
        <f>Cheatsheet!AQ26</f>
        <v>-27.554545454545433</v>
      </c>
      <c r="I295" s="33" t="s">
        <v>4</v>
      </c>
      <c r="J295" s="33"/>
      <c r="K295" s="181"/>
      <c r="L295" s="181"/>
      <c r="M295" s="33"/>
      <c r="N295" s="33"/>
      <c r="O295" s="33"/>
      <c r="P295" s="33"/>
      <c r="Q295" s="33"/>
      <c r="R295" s="181"/>
      <c r="S295" s="33"/>
      <c r="T295" s="181"/>
      <c r="U295" s="181"/>
      <c r="V295" s="33"/>
      <c r="W295" s="33"/>
      <c r="X295" s="33"/>
      <c r="Y295" s="33"/>
      <c r="Z295" s="33"/>
      <c r="AA295" s="181"/>
      <c r="AB295" s="33"/>
      <c r="AC295" s="181"/>
      <c r="AD295" s="181"/>
      <c r="AE295" s="33"/>
      <c r="AF295" s="33"/>
      <c r="AG295" s="33"/>
      <c r="AH295" s="33"/>
      <c r="AI295" s="33"/>
      <c r="AJ295" s="181"/>
      <c r="AK295" s="33"/>
    </row>
    <row r="296" spans="1:37" ht="12.75" customHeight="1">
      <c r="A296" s="33">
        <f>IF(ISERROR(VLOOKUP(RANK(H296,$H$2:$H$331),$A$2:A295,1,0)),RANK(H296,$H$2:$H$331),IF(ISERROR(VLOOKUP((RANK(H296,$H$2:$H$331)+1),$A$2:A295,1,0)),(RANK(H296,$H$2:$H$331)+1),(RANK(H296,$H$2:$H$331)+2)))</f>
        <v>118</v>
      </c>
      <c r="B296" s="33">
        <f>Cheatsheet!AK27</f>
        <v>25</v>
      </c>
      <c r="C296" s="33" t="str">
        <f>Cheatsheet!AL27</f>
        <v/>
      </c>
      <c r="D296" s="33" t="str">
        <f>Cheatsheet!AM27</f>
        <v>Connor Barth</v>
      </c>
      <c r="E296" s="33" t="str">
        <f>Cheatsheet!AN27</f>
        <v>TB</v>
      </c>
      <c r="F296" s="33">
        <f>Cheatsheet!AO27</f>
        <v>7</v>
      </c>
      <c r="G296" s="70">
        <f>Cheatsheet!AP27</f>
        <v>109.3</v>
      </c>
      <c r="H296" s="70">
        <f>Cheatsheet!AQ27</f>
        <v>-28.254545454545436</v>
      </c>
      <c r="I296" s="33" t="s">
        <v>4</v>
      </c>
      <c r="J296" s="33"/>
      <c r="K296" s="181"/>
      <c r="L296" s="181"/>
      <c r="M296" s="33"/>
      <c r="N296" s="33"/>
      <c r="O296" s="33"/>
      <c r="P296" s="33"/>
      <c r="Q296" s="33"/>
      <c r="R296" s="181"/>
      <c r="S296" s="33"/>
      <c r="T296" s="181"/>
      <c r="U296" s="181"/>
      <c r="V296" s="33"/>
      <c r="W296" s="33"/>
      <c r="X296" s="33"/>
      <c r="Y296" s="33"/>
      <c r="Z296" s="33"/>
      <c r="AA296" s="181"/>
      <c r="AB296" s="33"/>
      <c r="AC296" s="181"/>
      <c r="AD296" s="181"/>
      <c r="AE296" s="33"/>
      <c r="AF296" s="33"/>
      <c r="AG296" s="33"/>
      <c r="AH296" s="33"/>
      <c r="AI296" s="33"/>
      <c r="AJ296" s="181"/>
      <c r="AK296" s="33"/>
    </row>
    <row r="297" spans="1:37" ht="12.75" customHeight="1">
      <c r="A297" s="33">
        <f>IF(ISERROR(VLOOKUP(RANK(H297,$H$2:$H$331),$A$2:A296,1,0)),RANK(H297,$H$2:$H$331),IF(ISERROR(VLOOKUP((RANK(H297,$H$2:$H$331)+1),$A$2:A296,1,0)),(RANK(H297,$H$2:$H$331)+1),(RANK(H297,$H$2:$H$331)+2)))</f>
        <v>123</v>
      </c>
      <c r="B297" s="33">
        <f>Cheatsheet!AK28</f>
        <v>26</v>
      </c>
      <c r="C297" s="33" t="str">
        <f>Cheatsheet!AL28</f>
        <v/>
      </c>
      <c r="D297" s="33" t="str">
        <f>Cheatsheet!AM28</f>
        <v>Kai Forbath</v>
      </c>
      <c r="E297" s="33" t="str">
        <f>Cheatsheet!AN28</f>
        <v>WSH</v>
      </c>
      <c r="F297" s="33">
        <f>Cheatsheet!AO28</f>
        <v>10</v>
      </c>
      <c r="G297" s="70">
        <f>Cheatsheet!AP28</f>
        <v>107.6</v>
      </c>
      <c r="H297" s="70">
        <f>Cheatsheet!AQ28</f>
        <v>-29.954545454545439</v>
      </c>
      <c r="I297" s="33" t="s">
        <v>4</v>
      </c>
      <c r="J297" s="33"/>
      <c r="K297" s="181"/>
      <c r="L297" s="181"/>
      <c r="M297" s="33"/>
      <c r="N297" s="33"/>
      <c r="O297" s="33"/>
      <c r="P297" s="33"/>
      <c r="Q297" s="33"/>
      <c r="R297" s="181"/>
      <c r="S297" s="33"/>
      <c r="T297" s="181"/>
      <c r="U297" s="181"/>
      <c r="V297" s="33"/>
      <c r="W297" s="33"/>
      <c r="X297" s="33"/>
      <c r="Y297" s="33"/>
      <c r="Z297" s="33"/>
      <c r="AA297" s="181"/>
      <c r="AB297" s="33"/>
      <c r="AC297" s="181"/>
      <c r="AD297" s="181"/>
      <c r="AE297" s="33"/>
      <c r="AF297" s="33"/>
      <c r="AG297" s="33"/>
      <c r="AH297" s="33"/>
      <c r="AI297" s="33"/>
      <c r="AJ297" s="181"/>
      <c r="AK297" s="33"/>
    </row>
    <row r="298" spans="1:37" ht="12.75" customHeight="1">
      <c r="A298" s="33">
        <f>IF(ISERROR(VLOOKUP(RANK(H298,$H$2:$H$331),$A$2:A297,1,0)),RANK(H298,$H$2:$H$331),IF(ISERROR(VLOOKUP((RANK(H298,$H$2:$H$331)+1),$A$2:A297,1,0)),(RANK(H298,$H$2:$H$331)+1),(RANK(H298,$H$2:$H$331)+2)))</f>
        <v>128</v>
      </c>
      <c r="B298" s="33">
        <f>Cheatsheet!AK29</f>
        <v>27</v>
      </c>
      <c r="C298" s="33" t="str">
        <f>Cheatsheet!AL29</f>
        <v/>
      </c>
      <c r="D298" s="33" t="str">
        <f>Cheatsheet!AM29</f>
        <v>Randy Bullock</v>
      </c>
      <c r="E298" s="33" t="str">
        <f>Cheatsheet!AN29</f>
        <v>HOU</v>
      </c>
      <c r="F298" s="33">
        <f>Cheatsheet!AO29</f>
        <v>10</v>
      </c>
      <c r="G298" s="70">
        <f>Cheatsheet!AP29</f>
        <v>104.7</v>
      </c>
      <c r="H298" s="70">
        <f>Cheatsheet!AQ29</f>
        <v>-32.854545454545431</v>
      </c>
      <c r="I298" s="33" t="s">
        <v>4</v>
      </c>
      <c r="J298" s="33"/>
      <c r="K298" s="181"/>
      <c r="L298" s="181"/>
      <c r="M298" s="33"/>
      <c r="N298" s="33"/>
      <c r="O298" s="33"/>
      <c r="P298" s="33"/>
      <c r="Q298" s="33"/>
      <c r="R298" s="181"/>
      <c r="S298" s="33"/>
      <c r="T298" s="181"/>
      <c r="U298" s="181"/>
      <c r="V298" s="33"/>
      <c r="W298" s="33"/>
      <c r="X298" s="33"/>
      <c r="Y298" s="33"/>
      <c r="Z298" s="33"/>
      <c r="AA298" s="181"/>
      <c r="AB298" s="33"/>
      <c r="AC298" s="181"/>
      <c r="AD298" s="181"/>
      <c r="AE298" s="33"/>
      <c r="AF298" s="33"/>
      <c r="AG298" s="33"/>
      <c r="AH298" s="33"/>
      <c r="AI298" s="33"/>
      <c r="AJ298" s="181"/>
      <c r="AK298" s="33"/>
    </row>
    <row r="299" spans="1:37" ht="12.75" customHeight="1">
      <c r="A299" s="33">
        <f>IF(ISERROR(VLOOKUP(RANK(H299,$H$2:$H$331),$A$2:A298,1,0)),RANK(H299,$H$2:$H$331),IF(ISERROR(VLOOKUP((RANK(H299,$H$2:$H$331)+1),$A$2:A298,1,0)),(RANK(H299,$H$2:$H$331)+1),(RANK(H299,$H$2:$H$331)+2)))</f>
        <v>129</v>
      </c>
      <c r="B299" s="33">
        <f>Cheatsheet!AK30</f>
        <v>28</v>
      </c>
      <c r="C299" s="33" t="str">
        <f>Cheatsheet!AL30</f>
        <v/>
      </c>
      <c r="D299" s="33" t="str">
        <f>Cheatsheet!AM30</f>
        <v>Josh Scobee</v>
      </c>
      <c r="E299" s="33" t="str">
        <f>Cheatsheet!AN30</f>
        <v>JAC</v>
      </c>
      <c r="F299" s="33">
        <f>Cheatsheet!AO30</f>
        <v>11</v>
      </c>
      <c r="G299" s="70">
        <f>Cheatsheet!AP30</f>
        <v>104</v>
      </c>
      <c r="H299" s="70">
        <f>Cheatsheet!AQ30</f>
        <v>-33.554545454545433</v>
      </c>
      <c r="I299" s="33" t="s">
        <v>4</v>
      </c>
      <c r="J299" s="33"/>
      <c r="K299" s="181"/>
      <c r="L299" s="181"/>
      <c r="M299" s="33"/>
      <c r="N299" s="33"/>
      <c r="O299" s="33"/>
      <c r="P299" s="33"/>
      <c r="Q299" s="33"/>
      <c r="R299" s="181"/>
      <c r="S299" s="33"/>
      <c r="T299" s="181"/>
      <c r="U299" s="181"/>
      <c r="V299" s="33"/>
      <c r="W299" s="33"/>
      <c r="X299" s="33"/>
      <c r="Y299" s="33"/>
      <c r="Z299" s="33"/>
      <c r="AA299" s="181"/>
      <c r="AB299" s="33"/>
      <c r="AC299" s="181"/>
      <c r="AD299" s="181"/>
      <c r="AE299" s="33"/>
      <c r="AF299" s="33"/>
      <c r="AG299" s="33"/>
      <c r="AH299" s="33"/>
      <c r="AI299" s="33"/>
      <c r="AJ299" s="181"/>
      <c r="AK299" s="33"/>
    </row>
    <row r="300" spans="1:37" ht="12.75" customHeight="1">
      <c r="A300" s="33">
        <f>IF(ISERROR(VLOOKUP(RANK(H300,$H$2:$H$331),$A$2:A299,1,0)),RANK(H300,$H$2:$H$331),IF(ISERROR(VLOOKUP((RANK(H300,$H$2:$H$331)+1),$A$2:A299,1,0)),(RANK(H300,$H$2:$H$331)+1),(RANK(H300,$H$2:$H$331)+2)))</f>
        <v>142</v>
      </c>
      <c r="B300" s="33">
        <f>Cheatsheet!AK31</f>
        <v>29</v>
      </c>
      <c r="C300" s="33" t="str">
        <f>Cheatsheet!AL31</f>
        <v/>
      </c>
      <c r="D300" s="33" t="str">
        <f>Cheatsheet!AM31</f>
        <v>Maikon Bonani</v>
      </c>
      <c r="E300" s="33" t="str">
        <f>Cheatsheet!AN31</f>
        <v>TEN</v>
      </c>
      <c r="F300" s="33">
        <f>Cheatsheet!AO31</f>
        <v>9</v>
      </c>
      <c r="G300" s="70">
        <f>Cheatsheet!AP31</f>
        <v>96</v>
      </c>
      <c r="H300" s="70">
        <f>Cheatsheet!AQ31</f>
        <v>-41.554545454545433</v>
      </c>
      <c r="I300" s="33" t="s">
        <v>4</v>
      </c>
      <c r="J300" s="33"/>
      <c r="K300" s="181"/>
      <c r="L300" s="181"/>
      <c r="M300" s="33"/>
      <c r="N300" s="33"/>
      <c r="O300" s="33"/>
      <c r="P300" s="33"/>
      <c r="Q300" s="33"/>
      <c r="R300" s="181"/>
      <c r="S300" s="33"/>
      <c r="T300" s="181"/>
      <c r="U300" s="181"/>
      <c r="V300" s="33"/>
      <c r="W300" s="33"/>
      <c r="X300" s="33"/>
      <c r="Y300" s="33"/>
      <c r="Z300" s="33"/>
      <c r="AA300" s="181"/>
      <c r="AB300" s="33"/>
      <c r="AC300" s="181"/>
      <c r="AD300" s="181"/>
      <c r="AE300" s="33"/>
      <c r="AF300" s="33"/>
      <c r="AG300" s="33"/>
      <c r="AH300" s="33"/>
      <c r="AI300" s="33"/>
      <c r="AJ300" s="181"/>
      <c r="AK300" s="33"/>
    </row>
    <row r="301" spans="1:37" ht="12.75" customHeight="1">
      <c r="A301" s="33">
        <f>IF(ISERROR(VLOOKUP(RANK(H301,$H$2:$H$331),$A$2:A300,1,0)),RANK(H301,$H$2:$H$331),IF(ISERROR(VLOOKUP((RANK(H301,$H$2:$H$331)+1),$A$2:A300,1,0)),(RANK(H301,$H$2:$H$331)+1),(RANK(H301,$H$2:$H$331)+2)))</f>
        <v>145</v>
      </c>
      <c r="B301" s="33">
        <f>Cheatsheet!AK32</f>
        <v>30</v>
      </c>
      <c r="C301" s="33" t="str">
        <f>Cheatsheet!AL32</f>
        <v/>
      </c>
      <c r="D301" s="33" t="str">
        <f>Cheatsheet!AM32</f>
        <v>Billy Cundiff</v>
      </c>
      <c r="E301" s="33" t="str">
        <f>Cheatsheet!AN32</f>
        <v>CLE</v>
      </c>
      <c r="F301" s="33">
        <f>Cheatsheet!AO32</f>
        <v>4</v>
      </c>
      <c r="G301" s="70">
        <f>Cheatsheet!AP32</f>
        <v>95.1</v>
      </c>
      <c r="H301" s="70">
        <f>Cheatsheet!AQ32</f>
        <v>-42.454545454545439</v>
      </c>
      <c r="I301" s="33" t="s">
        <v>4</v>
      </c>
      <c r="J301" s="33"/>
      <c r="K301" s="181"/>
      <c r="L301" s="181"/>
      <c r="M301" s="33"/>
      <c r="N301" s="33"/>
      <c r="O301" s="33"/>
      <c r="P301" s="33"/>
      <c r="Q301" s="33"/>
      <c r="R301" s="181"/>
      <c r="S301" s="33"/>
      <c r="T301" s="181"/>
      <c r="U301" s="181"/>
      <c r="V301" s="33"/>
      <c r="W301" s="33"/>
      <c r="X301" s="33"/>
      <c r="Y301" s="33"/>
      <c r="Z301" s="33"/>
      <c r="AA301" s="181"/>
      <c r="AB301" s="33"/>
      <c r="AC301" s="181"/>
      <c r="AD301" s="181"/>
      <c r="AE301" s="33"/>
      <c r="AF301" s="33"/>
      <c r="AG301" s="33"/>
      <c r="AH301" s="33"/>
      <c r="AI301" s="33"/>
      <c r="AJ301" s="181"/>
      <c r="AK301" s="33"/>
    </row>
    <row r="302" spans="1:37" ht="12.75" customHeight="1">
      <c r="A302" s="33">
        <f>IF(ISERROR(VLOOKUP(RANK(H302,$H$2:$H$331),$A$2:A301,1,0)),RANK(H302,$H$2:$H$331),IF(ISERROR(VLOOKUP((RANK(H302,$H$2:$H$331)+1),$A$2:A301,1,0)),(RANK(H302,$H$2:$H$331)+1),(RANK(H302,$H$2:$H$331)+2)))</f>
        <v>19</v>
      </c>
      <c r="B302" s="33">
        <f>Cheatsheet!AK35</f>
        <v>1</v>
      </c>
      <c r="C302" s="33" t="str">
        <f>Cheatsheet!AL35</f>
        <v/>
      </c>
      <c r="D302" s="33" t="str">
        <f>Cheatsheet!AM35</f>
        <v>Seahawks</v>
      </c>
      <c r="E302" s="33" t="str">
        <f>Cheatsheet!AN35</f>
        <v>SEA</v>
      </c>
      <c r="F302" s="33">
        <f>Cheatsheet!AO35</f>
        <v>4</v>
      </c>
      <c r="G302" s="70">
        <f>Cheatsheet!AP35</f>
        <v>141</v>
      </c>
      <c r="H302" s="70">
        <f>Cheatsheet!AQ35</f>
        <v>29.254545454545465</v>
      </c>
      <c r="I302" s="33" t="s">
        <v>15</v>
      </c>
      <c r="J302" s="33"/>
      <c r="K302" s="181"/>
      <c r="L302" s="181"/>
      <c r="M302" s="33"/>
      <c r="N302" s="33"/>
      <c r="O302" s="33"/>
      <c r="P302" s="33"/>
      <c r="Q302" s="33"/>
      <c r="R302" s="181"/>
      <c r="S302" s="33"/>
      <c r="T302" s="181"/>
      <c r="U302" s="181"/>
      <c r="V302" s="33"/>
      <c r="W302" s="33"/>
      <c r="X302" s="33"/>
      <c r="Y302" s="33"/>
      <c r="Z302" s="33"/>
      <c r="AA302" s="181"/>
      <c r="AB302" s="33"/>
      <c r="AC302" s="181"/>
      <c r="AD302" s="181"/>
      <c r="AE302" s="33"/>
      <c r="AF302" s="33"/>
      <c r="AG302" s="33"/>
      <c r="AH302" s="33"/>
      <c r="AI302" s="33"/>
      <c r="AJ302" s="181"/>
      <c r="AK302" s="33"/>
    </row>
    <row r="303" spans="1:37" ht="12.75" customHeight="1">
      <c r="A303" s="33">
        <f>IF(ISERROR(VLOOKUP(RANK(H303,$H$2:$H$331),$A$2:A302,1,0)),RANK(H303,$H$2:$H$331),IF(ISERROR(VLOOKUP((RANK(H303,$H$2:$H$331)+1),$A$2:A302,1,0)),(RANK(H303,$H$2:$H$331)+1),(RANK(H303,$H$2:$H$331)+2)))</f>
        <v>30</v>
      </c>
      <c r="B303" s="33">
        <f>Cheatsheet!AK36</f>
        <v>2</v>
      </c>
      <c r="C303" s="33" t="str">
        <f>Cheatsheet!AL36</f>
        <v/>
      </c>
      <c r="D303" s="33" t="str">
        <f>Cheatsheet!AM36</f>
        <v>Panthers</v>
      </c>
      <c r="E303" s="33" t="str">
        <f>Cheatsheet!AN36</f>
        <v>CAR</v>
      </c>
      <c r="F303" s="33">
        <f>Cheatsheet!AO36</f>
        <v>12</v>
      </c>
      <c r="G303" s="70">
        <f>Cheatsheet!AP36</f>
        <v>124.2</v>
      </c>
      <c r="H303" s="70">
        <f>Cheatsheet!AQ36</f>
        <v>12.454545454545467</v>
      </c>
      <c r="I303" s="33" t="s">
        <v>15</v>
      </c>
      <c r="J303" s="33"/>
      <c r="K303" s="181"/>
      <c r="L303" s="181"/>
      <c r="M303" s="33"/>
      <c r="N303" s="33"/>
      <c r="O303" s="33"/>
      <c r="P303" s="33"/>
      <c r="Q303" s="33"/>
      <c r="R303" s="181"/>
      <c r="S303" s="33"/>
      <c r="T303" s="181"/>
      <c r="U303" s="181"/>
      <c r="V303" s="33"/>
      <c r="W303" s="33"/>
      <c r="X303" s="33"/>
      <c r="Y303" s="33"/>
      <c r="Z303" s="33"/>
      <c r="AA303" s="181"/>
      <c r="AB303" s="33"/>
      <c r="AC303" s="181"/>
      <c r="AD303" s="181"/>
      <c r="AE303" s="33"/>
      <c r="AF303" s="33"/>
      <c r="AG303" s="33"/>
      <c r="AH303" s="33"/>
      <c r="AI303" s="33"/>
      <c r="AJ303" s="181"/>
      <c r="AK303" s="33"/>
    </row>
    <row r="304" spans="1:37" ht="12.75" customHeight="1">
      <c r="A304" s="33">
        <f>IF(ISERROR(VLOOKUP(RANK(H304,$H$2:$H$331),$A$2:A303,1,0)),RANK(H304,$H$2:$H$331),IF(ISERROR(VLOOKUP((RANK(H304,$H$2:$H$331)+1),$A$2:A303,1,0)),(RANK(H304,$H$2:$H$331)+1),(RANK(H304,$H$2:$H$331)+2)))</f>
        <v>37</v>
      </c>
      <c r="B304" s="33">
        <f>Cheatsheet!AK37</f>
        <v>3</v>
      </c>
      <c r="C304" s="33" t="str">
        <f>Cheatsheet!AL37</f>
        <v/>
      </c>
      <c r="D304" s="33" t="str">
        <f>Cheatsheet!AM37</f>
        <v>Cardinals</v>
      </c>
      <c r="E304" s="33" t="str">
        <f>Cheatsheet!AN37</f>
        <v>ARI</v>
      </c>
      <c r="F304" s="33">
        <f>Cheatsheet!AO37</f>
        <v>4</v>
      </c>
      <c r="G304" s="70">
        <f>Cheatsheet!AP37</f>
        <v>117.3</v>
      </c>
      <c r="H304" s="70">
        <f>Cheatsheet!AQ37</f>
        <v>5.5545454545454618</v>
      </c>
      <c r="I304" s="33" t="s">
        <v>15</v>
      </c>
      <c r="J304" s="33"/>
      <c r="K304" s="181"/>
      <c r="L304" s="181"/>
      <c r="M304" s="33"/>
      <c r="N304" s="33"/>
      <c r="O304" s="33"/>
      <c r="P304" s="33"/>
      <c r="Q304" s="33"/>
      <c r="R304" s="181"/>
      <c r="S304" s="33"/>
      <c r="T304" s="181"/>
      <c r="U304" s="181"/>
      <c r="V304" s="33"/>
      <c r="W304" s="33"/>
      <c r="X304" s="33"/>
      <c r="Y304" s="33"/>
      <c r="Z304" s="33"/>
      <c r="AA304" s="181"/>
      <c r="AB304" s="33"/>
      <c r="AC304" s="181"/>
      <c r="AD304" s="181"/>
      <c r="AE304" s="33"/>
      <c r="AF304" s="33"/>
      <c r="AG304" s="33"/>
      <c r="AH304" s="33"/>
      <c r="AI304" s="33"/>
      <c r="AJ304" s="181"/>
      <c r="AK304" s="33"/>
    </row>
    <row r="305" spans="1:37" ht="12.75" customHeight="1">
      <c r="A305" s="33">
        <f>IF(ISERROR(VLOOKUP(RANK(H305,$H$2:$H$331),$A$2:A304,1,0)),RANK(H305,$H$2:$H$331),IF(ISERROR(VLOOKUP((RANK(H305,$H$2:$H$331)+1),$A$2:A304,1,0)),(RANK(H305,$H$2:$H$331)+1),(RANK(H305,$H$2:$H$331)+2)))</f>
        <v>47</v>
      </c>
      <c r="B305" s="33">
        <f>Cheatsheet!AK38</f>
        <v>4</v>
      </c>
      <c r="C305" s="33" t="str">
        <f>Cheatsheet!AL38</f>
        <v/>
      </c>
      <c r="D305" s="33" t="str">
        <f>Cheatsheet!AM38</f>
        <v>Patriots</v>
      </c>
      <c r="E305" s="33" t="str">
        <f>Cheatsheet!AN38</f>
        <v>NE</v>
      </c>
      <c r="F305" s="33">
        <f>Cheatsheet!AO38</f>
        <v>10</v>
      </c>
      <c r="G305" s="70">
        <f>Cheatsheet!AP38</f>
        <v>113.7</v>
      </c>
      <c r="H305" s="70">
        <f>Cheatsheet!AQ38</f>
        <v>1.9545454545454675</v>
      </c>
      <c r="I305" s="33" t="s">
        <v>15</v>
      </c>
      <c r="J305" s="33"/>
      <c r="K305" s="181"/>
      <c r="L305" s="181"/>
      <c r="M305" s="33"/>
      <c r="N305" s="33"/>
      <c r="O305" s="33"/>
      <c r="P305" s="33"/>
      <c r="Q305" s="33"/>
      <c r="R305" s="181"/>
      <c r="S305" s="33"/>
      <c r="T305" s="181"/>
      <c r="U305" s="181"/>
      <c r="V305" s="33"/>
      <c r="W305" s="33"/>
      <c r="X305" s="33"/>
      <c r="Y305" s="33"/>
      <c r="Z305" s="33"/>
      <c r="AA305" s="181"/>
      <c r="AB305" s="33"/>
      <c r="AC305" s="181"/>
      <c r="AD305" s="181"/>
      <c r="AE305" s="33"/>
      <c r="AF305" s="33"/>
      <c r="AG305" s="33"/>
      <c r="AH305" s="33"/>
      <c r="AI305" s="33"/>
      <c r="AJ305" s="181"/>
      <c r="AK305" s="33"/>
    </row>
    <row r="306" spans="1:37" ht="12.75" customHeight="1">
      <c r="A306" s="33">
        <f>IF(ISERROR(VLOOKUP(RANK(H306,$H$2:$H$331),$A$2:A305,1,0)),RANK(H306,$H$2:$H$331),IF(ISERROR(VLOOKUP((RANK(H306,$H$2:$H$331)+1),$A$2:A305,1,0)),(RANK(H306,$H$2:$H$331)+1),(RANK(H306,$H$2:$H$331)+2)))</f>
        <v>48</v>
      </c>
      <c r="B306" s="33">
        <f>Cheatsheet!AK39</f>
        <v>5</v>
      </c>
      <c r="C306" s="33" t="str">
        <f>Cheatsheet!AL39</f>
        <v/>
      </c>
      <c r="D306" s="33" t="str">
        <f>Cheatsheet!AM39</f>
        <v>Bengals</v>
      </c>
      <c r="E306" s="33" t="str">
        <f>Cheatsheet!AN39</f>
        <v>CIN</v>
      </c>
      <c r="F306" s="33">
        <f>Cheatsheet!AO39</f>
        <v>4</v>
      </c>
      <c r="G306" s="70">
        <f>Cheatsheet!AP39</f>
        <v>113.6</v>
      </c>
      <c r="H306" s="70">
        <f>Cheatsheet!AQ39</f>
        <v>1.8545454545454589</v>
      </c>
      <c r="I306" s="33" t="s">
        <v>15</v>
      </c>
      <c r="J306" s="33"/>
      <c r="K306" s="181"/>
      <c r="L306" s="181"/>
      <c r="M306" s="33"/>
      <c r="N306" s="33"/>
      <c r="O306" s="33"/>
      <c r="P306" s="33"/>
      <c r="Q306" s="33"/>
      <c r="R306" s="181"/>
      <c r="S306" s="33"/>
      <c r="T306" s="181"/>
      <c r="U306" s="181"/>
      <c r="V306" s="33"/>
      <c r="W306" s="33"/>
      <c r="X306" s="33"/>
      <c r="Y306" s="33"/>
      <c r="Z306" s="33"/>
      <c r="AA306" s="181"/>
      <c r="AB306" s="33"/>
      <c r="AC306" s="181"/>
      <c r="AD306" s="181"/>
      <c r="AE306" s="33"/>
      <c r="AF306" s="33"/>
      <c r="AG306" s="33"/>
      <c r="AH306" s="33"/>
      <c r="AI306" s="33"/>
      <c r="AJ306" s="181"/>
      <c r="AK306" s="33"/>
    </row>
    <row r="307" spans="1:37" ht="12.75" customHeight="1">
      <c r="A307" s="33">
        <f>IF(ISERROR(VLOOKUP(RANK(H307,$H$2:$H$331),$A$2:A306,1,0)),RANK(H307,$H$2:$H$331),IF(ISERROR(VLOOKUP((RANK(H307,$H$2:$H$331)+1),$A$2:A306,1,0)),(RANK(H307,$H$2:$H$331)+1),(RANK(H307,$H$2:$H$331)+2)))</f>
        <v>50</v>
      </c>
      <c r="B307" s="33">
        <f>Cheatsheet!AK40</f>
        <v>6</v>
      </c>
      <c r="C307" s="33" t="str">
        <f>Cheatsheet!AL40</f>
        <v/>
      </c>
      <c r="D307" s="33" t="str">
        <f>Cheatsheet!AM40</f>
        <v>Rams</v>
      </c>
      <c r="E307" s="33" t="str">
        <f>Cheatsheet!AN40</f>
        <v>STL</v>
      </c>
      <c r="F307" s="33">
        <f>Cheatsheet!AO40</f>
        <v>4</v>
      </c>
      <c r="G307" s="70">
        <f>Cheatsheet!AP40</f>
        <v>113.1</v>
      </c>
      <c r="H307" s="70">
        <f>Cheatsheet!AQ40</f>
        <v>1.3545454545454589</v>
      </c>
      <c r="I307" s="33" t="s">
        <v>15</v>
      </c>
      <c r="J307" s="33"/>
      <c r="K307" s="181"/>
      <c r="L307" s="181"/>
      <c r="M307" s="33"/>
      <c r="N307" s="33"/>
      <c r="O307" s="33"/>
      <c r="P307" s="33"/>
      <c r="Q307" s="33"/>
      <c r="R307" s="181"/>
      <c r="S307" s="33"/>
      <c r="T307" s="181"/>
      <c r="U307" s="181"/>
      <c r="V307" s="33"/>
      <c r="W307" s="33"/>
      <c r="X307" s="33"/>
      <c r="Y307" s="33"/>
      <c r="Z307" s="33"/>
      <c r="AA307" s="181"/>
      <c r="AB307" s="33"/>
      <c r="AC307" s="181"/>
      <c r="AD307" s="181"/>
      <c r="AE307" s="33"/>
      <c r="AF307" s="33"/>
      <c r="AG307" s="33"/>
      <c r="AH307" s="33"/>
      <c r="AI307" s="33"/>
      <c r="AJ307" s="181"/>
      <c r="AK307" s="33"/>
    </row>
    <row r="308" spans="1:37" ht="12.75" customHeight="1">
      <c r="A308" s="33">
        <f>IF(ISERROR(VLOOKUP(RANK(H308,$H$2:$H$331),$A$2:A307,1,0)),RANK(H308,$H$2:$H$331),IF(ISERROR(VLOOKUP((RANK(H308,$H$2:$H$331)+1),$A$2:A307,1,0)),(RANK(H308,$H$2:$H$331)+1),(RANK(H308,$H$2:$H$331)+2)))</f>
        <v>52</v>
      </c>
      <c r="B308" s="33">
        <f>Cheatsheet!AK41</f>
        <v>7</v>
      </c>
      <c r="C308" s="33" t="str">
        <f>Cheatsheet!AL41</f>
        <v/>
      </c>
      <c r="D308" s="33" t="str">
        <f>Cheatsheet!AM41</f>
        <v>49ers</v>
      </c>
      <c r="E308" s="33" t="str">
        <f>Cheatsheet!AN41</f>
        <v>SF</v>
      </c>
      <c r="F308" s="33">
        <f>Cheatsheet!AO41</f>
        <v>8</v>
      </c>
      <c r="G308" s="70">
        <f>Cheatsheet!AP41</f>
        <v>111.9</v>
      </c>
      <c r="H308" s="70">
        <f>Cheatsheet!AQ41</f>
        <v>0.15454545454547031</v>
      </c>
      <c r="I308" s="33" t="s">
        <v>15</v>
      </c>
      <c r="J308" s="33"/>
      <c r="K308" s="181"/>
      <c r="L308" s="181"/>
      <c r="M308" s="33"/>
      <c r="N308" s="33"/>
      <c r="O308" s="33"/>
      <c r="P308" s="33"/>
      <c r="Q308" s="33"/>
      <c r="R308" s="181"/>
      <c r="S308" s="33"/>
      <c r="T308" s="181"/>
      <c r="U308" s="181"/>
      <c r="V308" s="33"/>
      <c r="W308" s="33"/>
      <c r="X308" s="33"/>
      <c r="Y308" s="33"/>
      <c r="Z308" s="33"/>
      <c r="AA308" s="181"/>
      <c r="AB308" s="33"/>
      <c r="AC308" s="181"/>
      <c r="AD308" s="181"/>
      <c r="AE308" s="33"/>
      <c r="AF308" s="33"/>
      <c r="AG308" s="33"/>
      <c r="AH308" s="33"/>
      <c r="AI308" s="33"/>
      <c r="AJ308" s="181"/>
      <c r="AK308" s="33"/>
    </row>
    <row r="309" spans="1:37" ht="12.75" customHeight="1">
      <c r="A309" s="33">
        <f>IF(ISERROR(VLOOKUP(RANK(H309,$H$2:$H$331),$A$2:A308,1,0)),RANK(H309,$H$2:$H$331),IF(ISERROR(VLOOKUP((RANK(H309,$H$2:$H$331)+1),$A$2:A308,1,0)),(RANK(H309,$H$2:$H$331)+1),(RANK(H309,$H$2:$H$331)+2)))</f>
        <v>54</v>
      </c>
      <c r="B309" s="33">
        <f>Cheatsheet!AK42</f>
        <v>8</v>
      </c>
      <c r="C309" s="33" t="str">
        <f>Cheatsheet!AL42</f>
        <v/>
      </c>
      <c r="D309" s="33" t="str">
        <f>Cheatsheet!AM42</f>
        <v>Broncos</v>
      </c>
      <c r="E309" s="33" t="str">
        <f>Cheatsheet!AN42</f>
        <v>DEN</v>
      </c>
      <c r="F309" s="33">
        <f>Cheatsheet!AO42</f>
        <v>4</v>
      </c>
      <c r="G309" s="70">
        <f>Cheatsheet!AP42</f>
        <v>111.5</v>
      </c>
      <c r="H309" s="70">
        <f>Cheatsheet!AQ42</f>
        <v>-0.24545454545453538</v>
      </c>
      <c r="I309" s="33" t="s">
        <v>15</v>
      </c>
      <c r="J309" s="33"/>
      <c r="K309" s="181"/>
      <c r="L309" s="181"/>
      <c r="M309" s="33"/>
      <c r="N309" s="33"/>
      <c r="O309" s="33"/>
      <c r="P309" s="33"/>
      <c r="Q309" s="33"/>
      <c r="R309" s="181"/>
      <c r="S309" s="33"/>
      <c r="T309" s="181"/>
      <c r="U309" s="181"/>
      <c r="V309" s="33"/>
      <c r="W309" s="33"/>
      <c r="X309" s="33"/>
      <c r="Y309" s="33"/>
      <c r="Z309" s="33"/>
      <c r="AA309" s="181"/>
      <c r="AB309" s="33"/>
      <c r="AC309" s="181"/>
      <c r="AD309" s="181"/>
      <c r="AE309" s="33"/>
      <c r="AF309" s="33"/>
      <c r="AG309" s="33"/>
      <c r="AH309" s="33"/>
      <c r="AI309" s="33"/>
      <c r="AJ309" s="181"/>
      <c r="AK309" s="33"/>
    </row>
    <row r="310" spans="1:37" ht="12.75" customHeight="1">
      <c r="A310" s="33">
        <f>IF(ISERROR(VLOOKUP(RANK(H310,$H$2:$H$331),$A$2:A309,1,0)),RANK(H310,$H$2:$H$331),IF(ISERROR(VLOOKUP((RANK(H310,$H$2:$H$331)+1),$A$2:A309,1,0)),(RANK(H310,$H$2:$H$331)+1),(RANK(H310,$H$2:$H$331)+2)))</f>
        <v>73</v>
      </c>
      <c r="B310" s="33">
        <f>Cheatsheet!AK43</f>
        <v>9</v>
      </c>
      <c r="C310" s="33" t="str">
        <f>Cheatsheet!AL43</f>
        <v/>
      </c>
      <c r="D310" s="33" t="str">
        <f>Cheatsheet!AM43</f>
        <v>Chiefs</v>
      </c>
      <c r="E310" s="33" t="str">
        <f>Cheatsheet!AN43</f>
        <v>KC</v>
      </c>
      <c r="F310" s="33">
        <f>Cheatsheet!AO43</f>
        <v>6</v>
      </c>
      <c r="G310" s="70">
        <f>Cheatsheet!AP43</f>
        <v>103.1</v>
      </c>
      <c r="H310" s="70">
        <f>Cheatsheet!AQ43</f>
        <v>-8.6454545454545411</v>
      </c>
      <c r="I310" s="33" t="s">
        <v>15</v>
      </c>
      <c r="J310" s="33"/>
      <c r="K310" s="181"/>
      <c r="L310" s="181"/>
      <c r="M310" s="33"/>
      <c r="N310" s="33"/>
      <c r="O310" s="33"/>
      <c r="P310" s="33"/>
      <c r="Q310" s="33"/>
      <c r="R310" s="181"/>
      <c r="S310" s="33"/>
      <c r="T310" s="181"/>
      <c r="U310" s="181"/>
      <c r="V310" s="33"/>
      <c r="W310" s="33"/>
      <c r="X310" s="33"/>
      <c r="Y310" s="33"/>
      <c r="Z310" s="33"/>
      <c r="AA310" s="181"/>
      <c r="AB310" s="33"/>
      <c r="AC310" s="181"/>
      <c r="AD310" s="181"/>
      <c r="AE310" s="33"/>
      <c r="AF310" s="33"/>
      <c r="AG310" s="33"/>
      <c r="AH310" s="33"/>
      <c r="AI310" s="33"/>
      <c r="AJ310" s="181"/>
      <c r="AK310" s="33"/>
    </row>
    <row r="311" spans="1:37" ht="12.75" customHeight="1">
      <c r="A311" s="33">
        <f>IF(ISERROR(VLOOKUP(RANK(H311,$H$2:$H$331),$A$2:A310,1,0)),RANK(H311,$H$2:$H$331),IF(ISERROR(VLOOKUP((RANK(H311,$H$2:$H$331)+1),$A$2:A310,1,0)),(RANK(H311,$H$2:$H$331)+1),(RANK(H311,$H$2:$H$331)+2)))</f>
        <v>99</v>
      </c>
      <c r="B311" s="33">
        <f>Cheatsheet!AK44</f>
        <v>10</v>
      </c>
      <c r="C311" s="33" t="str">
        <f>Cheatsheet!AL44</f>
        <v/>
      </c>
      <c r="D311" s="33" t="str">
        <f>Cheatsheet!AM44</f>
        <v>Bills</v>
      </c>
      <c r="E311" s="33" t="str">
        <f>Cheatsheet!AN44</f>
        <v>BUF</v>
      </c>
      <c r="F311" s="33">
        <f>Cheatsheet!AO44</f>
        <v>9</v>
      </c>
      <c r="G311" s="70">
        <f>Cheatsheet!AP44</f>
        <v>90</v>
      </c>
      <c r="H311" s="70">
        <f>Cheatsheet!AQ44</f>
        <v>-21.745454545454535</v>
      </c>
      <c r="I311" s="33" t="s">
        <v>15</v>
      </c>
      <c r="J311" s="33"/>
      <c r="K311" s="181"/>
      <c r="L311" s="181"/>
      <c r="M311" s="33"/>
      <c r="N311" s="33"/>
      <c r="O311" s="33"/>
      <c r="P311" s="33"/>
      <c r="Q311" s="33"/>
      <c r="R311" s="181"/>
      <c r="S311" s="33"/>
      <c r="T311" s="181"/>
      <c r="U311" s="181"/>
      <c r="V311" s="33"/>
      <c r="W311" s="33"/>
      <c r="X311" s="33"/>
      <c r="Y311" s="33"/>
      <c r="Z311" s="33"/>
      <c r="AA311" s="181"/>
      <c r="AB311" s="33"/>
      <c r="AC311" s="181"/>
      <c r="AD311" s="181"/>
      <c r="AE311" s="33"/>
      <c r="AF311" s="33"/>
      <c r="AG311" s="33"/>
      <c r="AH311" s="33"/>
      <c r="AI311" s="33"/>
      <c r="AJ311" s="181"/>
      <c r="AK311" s="33"/>
    </row>
    <row r="312" spans="1:37" ht="12.75" customHeight="1">
      <c r="A312" s="33">
        <f>IF(ISERROR(VLOOKUP(RANK(H312,$H$2:$H$331),$A$2:A311,1,0)),RANK(H312,$H$2:$H$331),IF(ISERROR(VLOOKUP((RANK(H312,$H$2:$H$331)+1),$A$2:A311,1,0)),(RANK(H312,$H$2:$H$331)+1),(RANK(H312,$H$2:$H$331)+2)))</f>
        <v>100</v>
      </c>
      <c r="B312" s="33">
        <f>Cheatsheet!AK45</f>
        <v>11</v>
      </c>
      <c r="C312" s="33" t="str">
        <f>Cheatsheet!AL45</f>
        <v/>
      </c>
      <c r="D312" s="33" t="str">
        <f>Cheatsheet!AM45</f>
        <v>Saints</v>
      </c>
      <c r="E312" s="33" t="str">
        <f>Cheatsheet!AN45</f>
        <v>NO</v>
      </c>
      <c r="F312" s="33">
        <f>Cheatsheet!AO45</f>
        <v>6</v>
      </c>
      <c r="G312" s="70">
        <f>Cheatsheet!AP45</f>
        <v>89.8</v>
      </c>
      <c r="H312" s="70">
        <f>Cheatsheet!AQ45</f>
        <v>-21.945454545454538</v>
      </c>
      <c r="I312" s="33" t="s">
        <v>15</v>
      </c>
      <c r="J312" s="33"/>
      <c r="K312" s="181"/>
      <c r="L312" s="181"/>
      <c r="M312" s="33"/>
      <c r="N312" s="33"/>
      <c r="O312" s="33"/>
      <c r="P312" s="33"/>
      <c r="Q312" s="33"/>
      <c r="R312" s="181"/>
      <c r="S312" s="33"/>
      <c r="T312" s="181"/>
      <c r="U312" s="181"/>
      <c r="V312" s="33"/>
      <c r="W312" s="33"/>
      <c r="X312" s="33"/>
      <c r="Y312" s="33"/>
      <c r="Z312" s="33"/>
      <c r="AA312" s="181"/>
      <c r="AB312" s="33"/>
      <c r="AC312" s="181"/>
      <c r="AD312" s="181"/>
      <c r="AE312" s="33"/>
      <c r="AF312" s="33"/>
      <c r="AG312" s="33"/>
      <c r="AH312" s="33"/>
      <c r="AI312" s="33"/>
      <c r="AJ312" s="181"/>
      <c r="AK312" s="33"/>
    </row>
    <row r="313" spans="1:37" ht="12.75" customHeight="1">
      <c r="A313" s="33">
        <f>IF(ISERROR(VLOOKUP(RANK(H313,$H$2:$H$331),$A$2:A312,1,0)),RANK(H313,$H$2:$H$331),IF(ISERROR(VLOOKUP((RANK(H313,$H$2:$H$331)+1),$A$2:A312,1,0)),(RANK(H313,$H$2:$H$331)+1),(RANK(H313,$H$2:$H$331)+2)))</f>
        <v>104</v>
      </c>
      <c r="B313" s="33">
        <f>Cheatsheet!AK46</f>
        <v>12</v>
      </c>
      <c r="C313" s="33" t="str">
        <f>Cheatsheet!AL46</f>
        <v/>
      </c>
      <c r="D313" s="33" t="str">
        <f>Cheatsheet!AM46</f>
        <v>Steelers</v>
      </c>
      <c r="E313" s="33" t="str">
        <f>Cheatsheet!AN46</f>
        <v>PIT</v>
      </c>
      <c r="F313" s="33">
        <f>Cheatsheet!AO46</f>
        <v>12</v>
      </c>
      <c r="G313" s="70">
        <f>Cheatsheet!AP46</f>
        <v>87.5</v>
      </c>
      <c r="H313" s="70">
        <f>Cheatsheet!AQ46</f>
        <v>-24.245454545454535</v>
      </c>
      <c r="I313" s="33" t="s">
        <v>15</v>
      </c>
      <c r="J313" s="33"/>
      <c r="K313" s="181"/>
      <c r="L313" s="181"/>
      <c r="M313" s="33"/>
      <c r="N313" s="33"/>
      <c r="O313" s="33"/>
      <c r="P313" s="33"/>
      <c r="Q313" s="33"/>
      <c r="R313" s="181"/>
      <c r="S313" s="33"/>
      <c r="T313" s="181"/>
      <c r="U313" s="181"/>
      <c r="V313" s="33"/>
      <c r="W313" s="33"/>
      <c r="X313" s="33"/>
      <c r="Y313" s="33"/>
      <c r="Z313" s="33"/>
      <c r="AA313" s="181"/>
      <c r="AB313" s="33"/>
      <c r="AC313" s="181"/>
      <c r="AD313" s="181"/>
      <c r="AE313" s="33"/>
      <c r="AF313" s="33"/>
      <c r="AG313" s="33"/>
      <c r="AH313" s="33"/>
      <c r="AI313" s="33"/>
      <c r="AJ313" s="181"/>
      <c r="AK313" s="33"/>
    </row>
    <row r="314" spans="1:37" ht="12.75" customHeight="1">
      <c r="A314" s="33">
        <f>IF(ISERROR(VLOOKUP(RANK(H314,$H$2:$H$331),$A$2:A313,1,0)),RANK(H314,$H$2:$H$331),IF(ISERROR(VLOOKUP((RANK(H314,$H$2:$H$331)+1),$A$2:A313,1,0)),(RANK(H314,$H$2:$H$331)+1),(RANK(H314,$H$2:$H$331)+2)))</f>
        <v>106</v>
      </c>
      <c r="B314" s="33">
        <f>Cheatsheet!AK47</f>
        <v>13</v>
      </c>
      <c r="C314" s="33" t="str">
        <f>Cheatsheet!AL47</f>
        <v/>
      </c>
      <c r="D314" s="33" t="str">
        <f>Cheatsheet!AM47</f>
        <v>Browns</v>
      </c>
      <c r="E314" s="33" t="str">
        <f>Cheatsheet!AN47</f>
        <v>CLE</v>
      </c>
      <c r="F314" s="33">
        <f>Cheatsheet!AO47</f>
        <v>4</v>
      </c>
      <c r="G314" s="70">
        <f>Cheatsheet!AP47</f>
        <v>86.7</v>
      </c>
      <c r="H314" s="70">
        <f>Cheatsheet!AQ47</f>
        <v>-25.045454545454533</v>
      </c>
      <c r="I314" s="33" t="s">
        <v>15</v>
      </c>
      <c r="J314" s="33"/>
      <c r="K314" s="181"/>
      <c r="L314" s="181"/>
      <c r="M314" s="33"/>
      <c r="N314" s="33"/>
      <c r="O314" s="33"/>
      <c r="P314" s="33"/>
      <c r="Q314" s="33"/>
      <c r="R314" s="181"/>
      <c r="S314" s="33"/>
      <c r="T314" s="181"/>
      <c r="U314" s="181"/>
      <c r="V314" s="33"/>
      <c r="W314" s="33"/>
      <c r="X314" s="33"/>
      <c r="Y314" s="33"/>
      <c r="Z314" s="33"/>
      <c r="AA314" s="181"/>
      <c r="AB314" s="33"/>
      <c r="AC314" s="181"/>
      <c r="AD314" s="181"/>
      <c r="AE314" s="33"/>
      <c r="AF314" s="33"/>
      <c r="AG314" s="33"/>
      <c r="AH314" s="33"/>
      <c r="AI314" s="33"/>
      <c r="AJ314" s="181"/>
      <c r="AK314" s="33"/>
    </row>
    <row r="315" spans="1:37" ht="12.75" customHeight="1">
      <c r="A315" s="33">
        <f>IF(ISERROR(VLOOKUP(RANK(H315,$H$2:$H$331),$A$2:A314,1,0)),RANK(H315,$H$2:$H$331),IF(ISERROR(VLOOKUP((RANK(H315,$H$2:$H$331)+1),$A$2:A314,1,0)),(RANK(H315,$H$2:$H$331)+1),(RANK(H315,$H$2:$H$331)+2)))</f>
        <v>113</v>
      </c>
      <c r="B315" s="33">
        <f>Cheatsheet!AK48</f>
        <v>14</v>
      </c>
      <c r="C315" s="33" t="str">
        <f>Cheatsheet!AL48</f>
        <v/>
      </c>
      <c r="D315" s="33" t="str">
        <f>Cheatsheet!AM48</f>
        <v>Ravens</v>
      </c>
      <c r="E315" s="33" t="str">
        <f>Cheatsheet!AN48</f>
        <v>BAL</v>
      </c>
      <c r="F315" s="33">
        <f>Cheatsheet!AO48</f>
        <v>11</v>
      </c>
      <c r="G315" s="70">
        <f>Cheatsheet!AP48</f>
        <v>84.8</v>
      </c>
      <c r="H315" s="70">
        <f>Cheatsheet!AQ48</f>
        <v>-26.945454545454538</v>
      </c>
      <c r="I315" s="33" t="s">
        <v>15</v>
      </c>
      <c r="J315" s="33"/>
      <c r="K315" s="181"/>
      <c r="L315" s="181"/>
      <c r="M315" s="33"/>
      <c r="N315" s="33"/>
      <c r="O315" s="33"/>
      <c r="P315" s="33"/>
      <c r="Q315" s="33"/>
      <c r="R315" s="181"/>
      <c r="S315" s="33"/>
      <c r="T315" s="181"/>
      <c r="U315" s="181"/>
      <c r="V315" s="33"/>
      <c r="W315" s="33"/>
      <c r="X315" s="33"/>
      <c r="Y315" s="33"/>
      <c r="Z315" s="33"/>
      <c r="AA315" s="181"/>
      <c r="AB315" s="33"/>
      <c r="AC315" s="181"/>
      <c r="AD315" s="181"/>
      <c r="AE315" s="33"/>
      <c r="AF315" s="33"/>
      <c r="AG315" s="33"/>
      <c r="AH315" s="33"/>
      <c r="AI315" s="33"/>
      <c r="AJ315" s="181"/>
      <c r="AK315" s="33"/>
    </row>
    <row r="316" spans="1:37" ht="12.75" customHeight="1">
      <c r="A316" s="33">
        <f>IF(ISERROR(VLOOKUP(RANK(H316,$H$2:$H$331),$A$2:A315,1,0)),RANK(H316,$H$2:$H$331),IF(ISERROR(VLOOKUP((RANK(H316,$H$2:$H$331)+1),$A$2:A315,1,0)),(RANK(H316,$H$2:$H$331)+1),(RANK(H316,$H$2:$H$331)+2)))</f>
        <v>119</v>
      </c>
      <c r="B316" s="33">
        <f>Cheatsheet!AK49</f>
        <v>15</v>
      </c>
      <c r="C316" s="33" t="str">
        <f>Cheatsheet!AL49</f>
        <v/>
      </c>
      <c r="D316" s="33" t="str">
        <f>Cheatsheet!AM49</f>
        <v>Buccaneers</v>
      </c>
      <c r="E316" s="33" t="str">
        <f>Cheatsheet!AN49</f>
        <v>TB</v>
      </c>
      <c r="F316" s="33">
        <f>Cheatsheet!AO49</f>
        <v>7</v>
      </c>
      <c r="G316" s="70">
        <f>Cheatsheet!AP49</f>
        <v>83.2</v>
      </c>
      <c r="H316" s="70">
        <f>Cheatsheet!AQ49</f>
        <v>-28.545454545454533</v>
      </c>
      <c r="I316" s="33" t="s">
        <v>15</v>
      </c>
      <c r="J316" s="33"/>
      <c r="K316" s="181"/>
      <c r="L316" s="181"/>
      <c r="M316" s="33"/>
      <c r="N316" s="33"/>
      <c r="O316" s="33"/>
      <c r="P316" s="33"/>
      <c r="Q316" s="33"/>
      <c r="R316" s="181"/>
      <c r="S316" s="33"/>
      <c r="T316" s="181"/>
      <c r="U316" s="181"/>
      <c r="V316" s="33"/>
      <c r="W316" s="33"/>
      <c r="X316" s="33"/>
      <c r="Y316" s="33"/>
      <c r="Z316" s="33"/>
      <c r="AA316" s="181"/>
      <c r="AB316" s="33"/>
      <c r="AC316" s="181"/>
      <c r="AD316" s="181"/>
      <c r="AE316" s="33"/>
      <c r="AF316" s="33"/>
      <c r="AG316" s="33"/>
      <c r="AH316" s="33"/>
      <c r="AI316" s="33"/>
      <c r="AJ316" s="181"/>
      <c r="AK316" s="33"/>
    </row>
    <row r="317" spans="1:37" ht="12.75" customHeight="1">
      <c r="A317" s="33">
        <f>IF(ISERROR(VLOOKUP(RANK(H317,$H$2:$H$331),$A$2:A316,1,0)),RANK(H317,$H$2:$H$331),IF(ISERROR(VLOOKUP((RANK(H317,$H$2:$H$331)+1),$A$2:A316,1,0)),(RANK(H317,$H$2:$H$331)+1),(RANK(H317,$H$2:$H$331)+2)))</f>
        <v>121</v>
      </c>
      <c r="B317" s="33">
        <f>Cheatsheet!AK50</f>
        <v>16</v>
      </c>
      <c r="C317" s="33" t="str">
        <f>Cheatsheet!AL50</f>
        <v/>
      </c>
      <c r="D317" s="33" t="str">
        <f>Cheatsheet!AM50</f>
        <v>Dolphins</v>
      </c>
      <c r="E317" s="33" t="str">
        <f>Cheatsheet!AN50</f>
        <v>MIA</v>
      </c>
      <c r="F317" s="33">
        <f>Cheatsheet!AO50</f>
        <v>5</v>
      </c>
      <c r="G317" s="70">
        <f>Cheatsheet!AP50</f>
        <v>82.2</v>
      </c>
      <c r="H317" s="70">
        <f>Cheatsheet!AQ50</f>
        <v>-29.545454545454533</v>
      </c>
      <c r="I317" s="33" t="s">
        <v>15</v>
      </c>
      <c r="J317" s="33"/>
      <c r="K317" s="181"/>
      <c r="L317" s="181"/>
      <c r="M317" s="33"/>
      <c r="N317" s="33"/>
      <c r="O317" s="33"/>
      <c r="P317" s="33"/>
      <c r="Q317" s="33"/>
      <c r="R317" s="181"/>
      <c r="S317" s="33"/>
      <c r="T317" s="181"/>
      <c r="U317" s="181"/>
      <c r="V317" s="33"/>
      <c r="W317" s="33"/>
      <c r="X317" s="33"/>
      <c r="Y317" s="33"/>
      <c r="Z317" s="33"/>
      <c r="AA317" s="181"/>
      <c r="AB317" s="33"/>
      <c r="AC317" s="181"/>
      <c r="AD317" s="181"/>
      <c r="AE317" s="33"/>
      <c r="AF317" s="33"/>
      <c r="AG317" s="33"/>
      <c r="AH317" s="33"/>
      <c r="AI317" s="33"/>
      <c r="AJ317" s="181"/>
      <c r="AK317" s="33"/>
    </row>
    <row r="318" spans="1:37" ht="12.75" customHeight="1">
      <c r="A318" s="33">
        <f>IF(ISERROR(VLOOKUP(RANK(H318,$H$2:$H$331),$A$2:A317,1,0)),RANK(H318,$H$2:$H$331),IF(ISERROR(VLOOKUP((RANK(H318,$H$2:$H$331)+1),$A$2:A317,1,0)),(RANK(H318,$H$2:$H$331)+1),(RANK(H318,$H$2:$H$331)+2)))</f>
        <v>124</v>
      </c>
      <c r="B318" s="33">
        <f>Cheatsheet!AK51</f>
        <v>17</v>
      </c>
      <c r="C318" s="33" t="str">
        <f>Cheatsheet!AL51</f>
        <v/>
      </c>
      <c r="D318" s="33" t="str">
        <f>Cheatsheet!AM51</f>
        <v>Texans</v>
      </c>
      <c r="E318" s="33" t="str">
        <f>Cheatsheet!AN51</f>
        <v>HOU</v>
      </c>
      <c r="F318" s="33">
        <f>Cheatsheet!AO51</f>
        <v>10</v>
      </c>
      <c r="G318" s="70">
        <f>Cheatsheet!AP51</f>
        <v>80.5</v>
      </c>
      <c r="H318" s="70">
        <f>Cheatsheet!AQ51</f>
        <v>-31.245454545454535</v>
      </c>
      <c r="I318" s="33" t="s">
        <v>15</v>
      </c>
      <c r="J318" s="33"/>
      <c r="K318" s="181"/>
      <c r="L318" s="181"/>
      <c r="M318" s="33"/>
      <c r="N318" s="33"/>
      <c r="O318" s="33"/>
      <c r="P318" s="33"/>
      <c r="Q318" s="33"/>
      <c r="R318" s="181"/>
      <c r="S318" s="33"/>
      <c r="T318" s="181"/>
      <c r="U318" s="181"/>
      <c r="V318" s="33"/>
      <c r="W318" s="33"/>
      <c r="X318" s="33"/>
      <c r="Y318" s="33"/>
      <c r="Z318" s="33"/>
      <c r="AA318" s="181"/>
      <c r="AB318" s="33"/>
      <c r="AC318" s="181"/>
      <c r="AD318" s="181"/>
      <c r="AE318" s="33"/>
      <c r="AF318" s="33"/>
      <c r="AG318" s="33"/>
      <c r="AH318" s="33"/>
      <c r="AI318" s="33"/>
      <c r="AJ318" s="181"/>
      <c r="AK318" s="33"/>
    </row>
    <row r="319" spans="1:37" ht="12.75" customHeight="1">
      <c r="A319" s="33">
        <f>IF(ISERROR(VLOOKUP(RANK(H319,$H$2:$H$331),$A$2:A318,1,0)),RANK(H319,$H$2:$H$331),IF(ISERROR(VLOOKUP((RANK(H319,$H$2:$H$331)+1),$A$2:A318,1,0)),(RANK(H319,$H$2:$H$331)+1),(RANK(H319,$H$2:$H$331)+2)))</f>
        <v>130</v>
      </c>
      <c r="B319" s="33">
        <f>Cheatsheet!AK52</f>
        <v>18</v>
      </c>
      <c r="C319" s="33" t="str">
        <f>Cheatsheet!AL52</f>
        <v/>
      </c>
      <c r="D319" s="33" t="str">
        <f>Cheatsheet!AM52</f>
        <v>Packers</v>
      </c>
      <c r="E319" s="33" t="str">
        <f>Cheatsheet!AN52</f>
        <v>GB</v>
      </c>
      <c r="F319" s="33">
        <f>Cheatsheet!AO52</f>
        <v>9</v>
      </c>
      <c r="G319" s="70">
        <f>Cheatsheet!AP52</f>
        <v>77.900000000000006</v>
      </c>
      <c r="H319" s="70">
        <f>Cheatsheet!AQ52</f>
        <v>-33.84545454545453</v>
      </c>
      <c r="I319" s="33" t="s">
        <v>15</v>
      </c>
      <c r="J319" s="33"/>
      <c r="K319" s="181"/>
      <c r="L319" s="181"/>
      <c r="M319" s="33"/>
      <c r="N319" s="33"/>
      <c r="O319" s="33"/>
      <c r="P319" s="33"/>
      <c r="Q319" s="33"/>
      <c r="R319" s="181"/>
      <c r="S319" s="33"/>
      <c r="T319" s="181"/>
      <c r="U319" s="181"/>
      <c r="V319" s="33"/>
      <c r="W319" s="33"/>
      <c r="X319" s="33"/>
      <c r="Y319" s="33"/>
      <c r="Z319" s="33"/>
      <c r="AA319" s="181"/>
      <c r="AB319" s="33"/>
      <c r="AC319" s="181"/>
      <c r="AD319" s="181"/>
      <c r="AE319" s="33"/>
      <c r="AF319" s="33"/>
      <c r="AG319" s="33"/>
      <c r="AH319" s="33"/>
      <c r="AI319" s="33"/>
      <c r="AJ319" s="181"/>
      <c r="AK319" s="33"/>
    </row>
    <row r="320" spans="1:37" ht="12.75" customHeight="1">
      <c r="A320" s="33">
        <f>IF(ISERROR(VLOOKUP(RANK(H320,$H$2:$H$331),$A$2:A319,1,0)),RANK(H320,$H$2:$H$331),IF(ISERROR(VLOOKUP((RANK(H320,$H$2:$H$331)+1),$A$2:A319,1,0)),(RANK(H320,$H$2:$H$331)+1),(RANK(H320,$H$2:$H$331)+2)))</f>
        <v>134</v>
      </c>
      <c r="B320" s="33">
        <f>Cheatsheet!AK53</f>
        <v>19</v>
      </c>
      <c r="C320" s="33" t="str">
        <f>Cheatsheet!AL53</f>
        <v/>
      </c>
      <c r="D320" s="33" t="str">
        <f>Cheatsheet!AM53</f>
        <v>Chargers</v>
      </c>
      <c r="E320" s="33" t="str">
        <f>Cheatsheet!AN53</f>
        <v>SD</v>
      </c>
      <c r="F320" s="33">
        <f>Cheatsheet!AO53</f>
        <v>10</v>
      </c>
      <c r="G320" s="70">
        <f>Cheatsheet!AP53</f>
        <v>73.5</v>
      </c>
      <c r="H320" s="70">
        <f>Cheatsheet!AQ53</f>
        <v>-38.245454545454535</v>
      </c>
      <c r="I320" s="33" t="s">
        <v>15</v>
      </c>
      <c r="J320" s="33"/>
      <c r="K320" s="181"/>
      <c r="L320" s="181"/>
      <c r="M320" s="33"/>
      <c r="N320" s="33"/>
      <c r="O320" s="33"/>
      <c r="P320" s="33"/>
      <c r="Q320" s="33"/>
      <c r="R320" s="181"/>
      <c r="S320" s="33"/>
      <c r="T320" s="181"/>
      <c r="U320" s="181"/>
      <c r="V320" s="33"/>
      <c r="W320" s="33"/>
      <c r="X320" s="33"/>
      <c r="Y320" s="33"/>
      <c r="Z320" s="33"/>
      <c r="AA320" s="181"/>
      <c r="AB320" s="33"/>
      <c r="AC320" s="181"/>
      <c r="AD320" s="181"/>
      <c r="AE320" s="33"/>
      <c r="AF320" s="33"/>
      <c r="AG320" s="33"/>
      <c r="AH320" s="33"/>
      <c r="AI320" s="33"/>
      <c r="AJ320" s="181"/>
      <c r="AK320" s="33"/>
    </row>
    <row r="321" spans="1:37" ht="12.75" customHeight="1">
      <c r="A321" s="33">
        <f>IF(ISERROR(VLOOKUP(RANK(H321,$H$2:$H$331),$A$2:A320,1,0)),RANK(H321,$H$2:$H$331),IF(ISERROR(VLOOKUP((RANK(H321,$H$2:$H$331)+1),$A$2:A320,1,0)),(RANK(H321,$H$2:$H$331)+1),(RANK(H321,$H$2:$H$331)+2)))</f>
        <v>136</v>
      </c>
      <c r="B321" s="33">
        <f>Cheatsheet!AK54</f>
        <v>20</v>
      </c>
      <c r="C321" s="33" t="str">
        <f>Cheatsheet!AL54</f>
        <v/>
      </c>
      <c r="D321" s="33" t="str">
        <f>Cheatsheet!AM54</f>
        <v>Lions</v>
      </c>
      <c r="E321" s="33" t="str">
        <f>Cheatsheet!AN54</f>
        <v>DET</v>
      </c>
      <c r="F321" s="33">
        <f>Cheatsheet!AO54</f>
        <v>9</v>
      </c>
      <c r="G321" s="70">
        <f>Cheatsheet!AP54</f>
        <v>73.400000000000006</v>
      </c>
      <c r="H321" s="70">
        <f>Cheatsheet!AQ54</f>
        <v>-38.34545454545453</v>
      </c>
      <c r="I321" s="33" t="s">
        <v>15</v>
      </c>
      <c r="J321" s="33"/>
      <c r="K321" s="181"/>
      <c r="L321" s="181"/>
      <c r="M321" s="33"/>
      <c r="N321" s="33"/>
      <c r="O321" s="33"/>
      <c r="P321" s="33"/>
      <c r="Q321" s="33"/>
      <c r="R321" s="181"/>
      <c r="S321" s="33"/>
      <c r="T321" s="181"/>
      <c r="U321" s="181"/>
      <c r="V321" s="33"/>
      <c r="W321" s="33"/>
      <c r="X321" s="33"/>
      <c r="Y321" s="33"/>
      <c r="Z321" s="33"/>
      <c r="AA321" s="181"/>
      <c r="AB321" s="33"/>
      <c r="AC321" s="181"/>
      <c r="AD321" s="181"/>
      <c r="AE321" s="33"/>
      <c r="AF321" s="33"/>
      <c r="AG321" s="33"/>
      <c r="AH321" s="33"/>
      <c r="AI321" s="33"/>
      <c r="AJ321" s="181"/>
      <c r="AK321" s="33"/>
    </row>
    <row r="322" spans="1:37" ht="12.75" customHeight="1">
      <c r="A322" s="33">
        <f>IF(ISERROR(VLOOKUP(RANK(H322,$H$2:$H$331),$A$2:A321,1,0)),RANK(H322,$H$2:$H$331),IF(ISERROR(VLOOKUP((RANK(H322,$H$2:$H$331)+1),$A$2:A321,1,0)),(RANK(H322,$H$2:$H$331)+1),(RANK(H322,$H$2:$H$331)+2)))</f>
        <v>137</v>
      </c>
      <c r="B322" s="33">
        <f>Cheatsheet!AK55</f>
        <v>21</v>
      </c>
      <c r="C322" s="33" t="str">
        <f>Cheatsheet!AL55</f>
        <v/>
      </c>
      <c r="D322" s="33" t="str">
        <f>Cheatsheet!AM55</f>
        <v>Colts</v>
      </c>
      <c r="E322" s="33" t="str">
        <f>Cheatsheet!AN55</f>
        <v>IND</v>
      </c>
      <c r="F322" s="33">
        <f>Cheatsheet!AO55</f>
        <v>10</v>
      </c>
      <c r="G322" s="70">
        <f>Cheatsheet!AP55</f>
        <v>73.3</v>
      </c>
      <c r="H322" s="70">
        <f>Cheatsheet!AQ55</f>
        <v>-38.445454545454538</v>
      </c>
      <c r="I322" s="33" t="s">
        <v>15</v>
      </c>
      <c r="J322" s="33"/>
      <c r="K322" s="181"/>
      <c r="L322" s="181"/>
      <c r="M322" s="33"/>
      <c r="N322" s="33"/>
      <c r="O322" s="33"/>
      <c r="P322" s="33"/>
      <c r="Q322" s="33"/>
      <c r="R322" s="181"/>
      <c r="S322" s="33"/>
      <c r="T322" s="181"/>
      <c r="U322" s="181"/>
      <c r="V322" s="33"/>
      <c r="W322" s="33"/>
      <c r="X322" s="33"/>
      <c r="Y322" s="33"/>
      <c r="Z322" s="33"/>
      <c r="AA322" s="181"/>
      <c r="AB322" s="33"/>
      <c r="AC322" s="181"/>
      <c r="AD322" s="181"/>
      <c r="AE322" s="33"/>
      <c r="AF322" s="33"/>
      <c r="AG322" s="33"/>
      <c r="AH322" s="33"/>
      <c r="AI322" s="33"/>
      <c r="AJ322" s="181"/>
      <c r="AK322" s="33"/>
    </row>
    <row r="323" spans="1:37" ht="12.75" customHeight="1">
      <c r="A323" s="33">
        <f>IF(ISERROR(VLOOKUP(RANK(H323,$H$2:$H$331),$A$2:A322,1,0)),RANK(H323,$H$2:$H$331),IF(ISERROR(VLOOKUP((RANK(H323,$H$2:$H$331)+1),$A$2:A322,1,0)),(RANK(H323,$H$2:$H$331)+1),(RANK(H323,$H$2:$H$331)+2)))</f>
        <v>140</v>
      </c>
      <c r="B323" s="33">
        <f>Cheatsheet!AK56</f>
        <v>22</v>
      </c>
      <c r="C323" s="33" t="str">
        <f>Cheatsheet!AL56</f>
        <v/>
      </c>
      <c r="D323" s="33" t="str">
        <f>Cheatsheet!AM56</f>
        <v>Giants</v>
      </c>
      <c r="E323" s="33" t="str">
        <f>Cheatsheet!AN56</f>
        <v>NYG</v>
      </c>
      <c r="F323" s="33">
        <f>Cheatsheet!AO56</f>
        <v>8</v>
      </c>
      <c r="G323" s="70">
        <f>Cheatsheet!AP56</f>
        <v>71.099999999999994</v>
      </c>
      <c r="H323" s="70">
        <f>Cheatsheet!AQ56</f>
        <v>-40.645454545454541</v>
      </c>
      <c r="I323" s="33" t="s">
        <v>15</v>
      </c>
      <c r="J323" s="33"/>
      <c r="K323" s="181"/>
      <c r="L323" s="181"/>
      <c r="M323" s="33"/>
      <c r="N323" s="33"/>
      <c r="O323" s="33"/>
      <c r="P323" s="33"/>
      <c r="Q323" s="33"/>
      <c r="R323" s="181"/>
      <c r="S323" s="33"/>
      <c r="T323" s="181"/>
      <c r="U323" s="181"/>
      <c r="V323" s="33"/>
      <c r="W323" s="33"/>
      <c r="X323" s="33"/>
      <c r="Y323" s="33"/>
      <c r="Z323" s="33"/>
      <c r="AA323" s="181"/>
      <c r="AB323" s="33"/>
      <c r="AC323" s="181"/>
      <c r="AD323" s="181"/>
      <c r="AE323" s="33"/>
      <c r="AF323" s="33"/>
      <c r="AG323" s="33"/>
      <c r="AH323" s="33"/>
      <c r="AI323" s="33"/>
      <c r="AJ323" s="181"/>
      <c r="AK323" s="33"/>
    </row>
    <row r="324" spans="1:37" ht="12.75" customHeight="1">
      <c r="A324" s="33">
        <f>IF(ISERROR(VLOOKUP(RANK(H324,$H$2:$H$331),$A$2:A323,1,0)),RANK(H324,$H$2:$H$331),IF(ISERROR(VLOOKUP((RANK(H324,$H$2:$H$331)+1),$A$2:A323,1,0)),(RANK(H324,$H$2:$H$331)+1),(RANK(H324,$H$2:$H$331)+2)))</f>
        <v>146</v>
      </c>
      <c r="B324" s="33">
        <f>Cheatsheet!AK57</f>
        <v>23</v>
      </c>
      <c r="C324" s="33" t="str">
        <f>Cheatsheet!AL57</f>
        <v/>
      </c>
      <c r="D324" s="33" t="str">
        <f>Cheatsheet!AM57</f>
        <v>Bears</v>
      </c>
      <c r="E324" s="33" t="str">
        <f>Cheatsheet!AN57</f>
        <v>CHI</v>
      </c>
      <c r="F324" s="33">
        <f>Cheatsheet!AO57</f>
        <v>9</v>
      </c>
      <c r="G324" s="70">
        <f>Cheatsheet!AP57</f>
        <v>68.900000000000006</v>
      </c>
      <c r="H324" s="70">
        <f>Cheatsheet!AQ57</f>
        <v>-42.84545454545453</v>
      </c>
      <c r="I324" s="33" t="s">
        <v>15</v>
      </c>
      <c r="J324" s="33"/>
      <c r="K324" s="181"/>
      <c r="L324" s="181"/>
      <c r="M324" s="33"/>
      <c r="N324" s="33"/>
      <c r="O324" s="33"/>
      <c r="P324" s="33"/>
      <c r="Q324" s="33"/>
      <c r="R324" s="181"/>
      <c r="S324" s="33"/>
      <c r="T324" s="181"/>
      <c r="U324" s="181"/>
      <c r="V324" s="33"/>
      <c r="W324" s="33"/>
      <c r="X324" s="33"/>
      <c r="Y324" s="33"/>
      <c r="Z324" s="33"/>
      <c r="AA324" s="181"/>
      <c r="AB324" s="33"/>
      <c r="AC324" s="181"/>
      <c r="AD324" s="181"/>
      <c r="AE324" s="33"/>
      <c r="AF324" s="33"/>
      <c r="AG324" s="33"/>
      <c r="AH324" s="33"/>
      <c r="AI324" s="33"/>
      <c r="AJ324" s="181"/>
      <c r="AK324" s="33"/>
    </row>
    <row r="325" spans="1:37" ht="12.75" customHeight="1">
      <c r="A325" s="33">
        <f>IF(ISERROR(VLOOKUP(RANK(H325,$H$2:$H$331),$A$2:A324,1,0)),RANK(H325,$H$2:$H$331),IF(ISERROR(VLOOKUP((RANK(H325,$H$2:$H$331)+1),$A$2:A324,1,0)),(RANK(H325,$H$2:$H$331)+1),(RANK(H325,$H$2:$H$331)+2)))</f>
        <v>147</v>
      </c>
      <c r="B325" s="33">
        <f>Cheatsheet!AK58</f>
        <v>24</v>
      </c>
      <c r="C325" s="33" t="str">
        <f>Cheatsheet!AL58</f>
        <v/>
      </c>
      <c r="D325" s="33" t="str">
        <f>Cheatsheet!AM58</f>
        <v>Jets</v>
      </c>
      <c r="E325" s="33" t="str">
        <f>Cheatsheet!AN58</f>
        <v>NYJ</v>
      </c>
      <c r="F325" s="33">
        <f>Cheatsheet!AO58</f>
        <v>11</v>
      </c>
      <c r="G325" s="70">
        <f>Cheatsheet!AP58</f>
        <v>68.8</v>
      </c>
      <c r="H325" s="70">
        <f>Cheatsheet!AQ58</f>
        <v>-42.945454545454538</v>
      </c>
      <c r="I325" s="33" t="s">
        <v>15</v>
      </c>
      <c r="J325" s="33"/>
      <c r="K325" s="181"/>
      <c r="L325" s="181"/>
      <c r="M325" s="33"/>
      <c r="N325" s="33"/>
      <c r="O325" s="33"/>
      <c r="P325" s="33"/>
      <c r="Q325" s="33"/>
      <c r="R325" s="181"/>
      <c r="S325" s="33"/>
      <c r="T325" s="181"/>
      <c r="U325" s="181"/>
      <c r="V325" s="33"/>
      <c r="W325" s="33"/>
      <c r="X325" s="33"/>
      <c r="Y325" s="33"/>
      <c r="Z325" s="33"/>
      <c r="AA325" s="181"/>
      <c r="AB325" s="33"/>
      <c r="AC325" s="181"/>
      <c r="AD325" s="181"/>
      <c r="AE325" s="33"/>
      <c r="AF325" s="33"/>
      <c r="AG325" s="33"/>
      <c r="AH325" s="33"/>
      <c r="AI325" s="33"/>
      <c r="AJ325" s="181"/>
      <c r="AK325" s="33"/>
    </row>
    <row r="326" spans="1:37" ht="12.75" customHeight="1">
      <c r="A326" s="33">
        <f>IF(ISERROR(VLOOKUP(RANK(H326,$H$2:$H$331),$A$2:A325,1,0)),RANK(H326,$H$2:$H$331),IF(ISERROR(VLOOKUP((RANK(H326,$H$2:$H$331)+1),$A$2:A325,1,0)),(RANK(H326,$H$2:$H$331)+1),(RANK(H326,$H$2:$H$331)+2)))</f>
        <v>150</v>
      </c>
      <c r="B326" s="33">
        <f>Cheatsheet!AK59</f>
        <v>25</v>
      </c>
      <c r="C326" s="33" t="str">
        <f>Cheatsheet!AL59</f>
        <v/>
      </c>
      <c r="D326" s="33" t="str">
        <f>Cheatsheet!AM59</f>
        <v>Jaguars</v>
      </c>
      <c r="E326" s="33" t="str">
        <f>Cheatsheet!AN59</f>
        <v>JAC</v>
      </c>
      <c r="F326" s="33">
        <f>Cheatsheet!AO59</f>
        <v>11</v>
      </c>
      <c r="G326" s="70">
        <f>Cheatsheet!AP59</f>
        <v>65.7</v>
      </c>
      <c r="H326" s="70">
        <f>Cheatsheet!AQ59</f>
        <v>-46.045454545454533</v>
      </c>
      <c r="I326" s="33" t="s">
        <v>15</v>
      </c>
      <c r="J326" s="33"/>
      <c r="K326" s="181"/>
      <c r="L326" s="181"/>
      <c r="M326" s="33"/>
      <c r="N326" s="33"/>
      <c r="O326" s="33"/>
      <c r="P326" s="33"/>
      <c r="Q326" s="33"/>
      <c r="R326" s="181"/>
      <c r="S326" s="33"/>
      <c r="T326" s="181"/>
      <c r="U326" s="181"/>
      <c r="V326" s="33"/>
      <c r="W326" s="33"/>
      <c r="X326" s="33"/>
      <c r="Y326" s="33"/>
      <c r="Z326" s="33"/>
      <c r="AA326" s="181"/>
      <c r="AB326" s="33"/>
      <c r="AC326" s="181"/>
      <c r="AD326" s="181"/>
      <c r="AE326" s="33"/>
      <c r="AF326" s="33"/>
      <c r="AG326" s="33"/>
      <c r="AH326" s="33"/>
      <c r="AI326" s="33"/>
      <c r="AJ326" s="181"/>
      <c r="AK326" s="33"/>
    </row>
    <row r="327" spans="1:37" ht="12.75" customHeight="1">
      <c r="A327" s="33">
        <f>IF(ISERROR(VLOOKUP(RANK(H327,$H$2:$H$331),$A$2:A326,1,0)),RANK(H327,$H$2:$H$331),IF(ISERROR(VLOOKUP((RANK(H327,$H$2:$H$331)+1),$A$2:A326,1,0)),(RANK(H327,$H$2:$H$331)+1),(RANK(H327,$H$2:$H$331)+2)))</f>
        <v>154</v>
      </c>
      <c r="B327" s="33">
        <f>Cheatsheet!AK60</f>
        <v>26</v>
      </c>
      <c r="C327" s="33" t="str">
        <f>Cheatsheet!AL60</f>
        <v/>
      </c>
      <c r="D327" s="33" t="str">
        <f>Cheatsheet!AM60</f>
        <v>Titans</v>
      </c>
      <c r="E327" s="33" t="str">
        <f>Cheatsheet!AN60</f>
        <v>TEN</v>
      </c>
      <c r="F327" s="33">
        <f>Cheatsheet!AO60</f>
        <v>9</v>
      </c>
      <c r="G327" s="70">
        <f>Cheatsheet!AP60</f>
        <v>63.7</v>
      </c>
      <c r="H327" s="70">
        <f>Cheatsheet!AQ60</f>
        <v>-48.045454545454533</v>
      </c>
      <c r="I327" s="33" t="s">
        <v>15</v>
      </c>
      <c r="J327" s="33"/>
      <c r="K327" s="181"/>
      <c r="L327" s="181"/>
      <c r="M327" s="33"/>
      <c r="N327" s="33"/>
      <c r="O327" s="33"/>
      <c r="P327" s="33"/>
      <c r="Q327" s="33"/>
      <c r="R327" s="181"/>
      <c r="S327" s="33"/>
      <c r="T327" s="181"/>
      <c r="U327" s="181"/>
      <c r="V327" s="33"/>
      <c r="W327" s="33"/>
      <c r="X327" s="33"/>
      <c r="Y327" s="33"/>
      <c r="Z327" s="33"/>
      <c r="AA327" s="181"/>
      <c r="AB327" s="33"/>
      <c r="AC327" s="181"/>
      <c r="AD327" s="181"/>
      <c r="AE327" s="33"/>
      <c r="AF327" s="33"/>
      <c r="AG327" s="33"/>
      <c r="AH327" s="33"/>
      <c r="AI327" s="33"/>
      <c r="AJ327" s="181"/>
      <c r="AK327" s="33"/>
    </row>
    <row r="328" spans="1:37" ht="12.75" customHeight="1">
      <c r="A328" s="33">
        <f>IF(ISERROR(VLOOKUP(RANK(H328,$H$2:$H$331),$A$2:A327,1,0)),RANK(H328,$H$2:$H$331),IF(ISERROR(VLOOKUP((RANK(H328,$H$2:$H$331)+1),$A$2:A327,1,0)),(RANK(H328,$H$2:$H$331)+1),(RANK(H328,$H$2:$H$331)+2)))</f>
        <v>156</v>
      </c>
      <c r="B328" s="33">
        <f>Cheatsheet!AK61</f>
        <v>27</v>
      </c>
      <c r="C328" s="33" t="str">
        <f>Cheatsheet!AL61</f>
        <v/>
      </c>
      <c r="D328" s="33" t="str">
        <f>Cheatsheet!AM61</f>
        <v>Falcons</v>
      </c>
      <c r="E328" s="33" t="str">
        <f>Cheatsheet!AN61</f>
        <v>ATL</v>
      </c>
      <c r="F328" s="33">
        <f>Cheatsheet!AO61</f>
        <v>9</v>
      </c>
      <c r="G328" s="70">
        <f>Cheatsheet!AP61</f>
        <v>63.2</v>
      </c>
      <c r="H328" s="70">
        <f>Cheatsheet!AQ61</f>
        <v>-48.545454545454533</v>
      </c>
      <c r="I328" s="33" t="s">
        <v>15</v>
      </c>
      <c r="J328" s="33"/>
      <c r="K328" s="181"/>
      <c r="L328" s="181"/>
      <c r="M328" s="33"/>
      <c r="N328" s="33"/>
      <c r="O328" s="33"/>
      <c r="P328" s="33"/>
      <c r="Q328" s="33"/>
      <c r="R328" s="181"/>
      <c r="S328" s="33"/>
      <c r="T328" s="181"/>
      <c r="U328" s="181"/>
      <c r="V328" s="33"/>
      <c r="W328" s="33"/>
      <c r="X328" s="33"/>
      <c r="Y328" s="33"/>
      <c r="Z328" s="33"/>
      <c r="AA328" s="181"/>
      <c r="AB328" s="33"/>
      <c r="AC328" s="181"/>
      <c r="AD328" s="181"/>
      <c r="AE328" s="33"/>
      <c r="AF328" s="33"/>
      <c r="AG328" s="33"/>
      <c r="AH328" s="33"/>
      <c r="AI328" s="33"/>
      <c r="AJ328" s="181"/>
      <c r="AK328" s="33"/>
    </row>
    <row r="329" spans="1:37" ht="12.75" customHeight="1">
      <c r="A329" s="33">
        <f>IF(ISERROR(VLOOKUP(RANK(H329,$H$2:$H$331),$A$2:A328,1,0)),RANK(H329,$H$2:$H$331),IF(ISERROR(VLOOKUP((RANK(H329,$H$2:$H$331)+1),$A$2:A328,1,0)),(RANK(H329,$H$2:$H$331)+1),(RANK(H329,$H$2:$H$331)+2)))</f>
        <v>161</v>
      </c>
      <c r="B329" s="33">
        <f>Cheatsheet!AK62</f>
        <v>28</v>
      </c>
      <c r="C329" s="33" t="str">
        <f>Cheatsheet!AL62</f>
        <v/>
      </c>
      <c r="D329" s="33" t="str">
        <f>Cheatsheet!AM62</f>
        <v>Eagles</v>
      </c>
      <c r="E329" s="33" t="str">
        <f>Cheatsheet!AN62</f>
        <v>PHI</v>
      </c>
      <c r="F329" s="33">
        <f>Cheatsheet!AO62</f>
        <v>7</v>
      </c>
      <c r="G329" s="70">
        <f>Cheatsheet!AP62</f>
        <v>58.3</v>
      </c>
      <c r="H329" s="70">
        <f>Cheatsheet!AQ62</f>
        <v>-53.445454545454538</v>
      </c>
      <c r="I329" s="33" t="s">
        <v>15</v>
      </c>
      <c r="J329" s="33"/>
      <c r="K329" s="181"/>
      <c r="L329" s="181"/>
      <c r="M329" s="33"/>
      <c r="N329" s="33"/>
      <c r="O329" s="33"/>
      <c r="P329" s="33"/>
      <c r="Q329" s="33"/>
      <c r="R329" s="181"/>
      <c r="S329" s="33"/>
      <c r="T329" s="181"/>
      <c r="U329" s="181"/>
      <c r="V329" s="33"/>
      <c r="W329" s="33"/>
      <c r="X329" s="33"/>
      <c r="Y329" s="33"/>
      <c r="Z329" s="33"/>
      <c r="AA329" s="181"/>
      <c r="AB329" s="33"/>
      <c r="AC329" s="181"/>
      <c r="AD329" s="181"/>
      <c r="AE329" s="33"/>
      <c r="AF329" s="33"/>
      <c r="AG329" s="33"/>
      <c r="AH329" s="33"/>
      <c r="AI329" s="33"/>
      <c r="AJ329" s="181"/>
      <c r="AK329" s="33"/>
    </row>
    <row r="330" spans="1:37" ht="12.75" customHeight="1">
      <c r="A330" s="33">
        <f>IF(ISERROR(VLOOKUP(RANK(H330,$H$2:$H$331),$A$2:A329,1,0)),RANK(H330,$H$2:$H$331),IF(ISERROR(VLOOKUP((RANK(H330,$H$2:$H$331)+1),$A$2:A329,1,0)),(RANK(H330,$H$2:$H$331)+1),(RANK(H330,$H$2:$H$331)+2)))</f>
        <v>166</v>
      </c>
      <c r="B330" s="33">
        <f>Cheatsheet!AK63</f>
        <v>29</v>
      </c>
      <c r="C330" s="33" t="str">
        <f>Cheatsheet!AL63</f>
        <v/>
      </c>
      <c r="D330" s="33" t="str">
        <f>Cheatsheet!AM63</f>
        <v>Redskins</v>
      </c>
      <c r="E330" s="33" t="str">
        <f>Cheatsheet!AN63</f>
        <v>WSH</v>
      </c>
      <c r="F330" s="33">
        <f>Cheatsheet!AO63</f>
        <v>10</v>
      </c>
      <c r="G330" s="70">
        <f>Cheatsheet!AP63</f>
        <v>53.7</v>
      </c>
      <c r="H330" s="70">
        <f>Cheatsheet!AQ63</f>
        <v>-58.045454545454533</v>
      </c>
      <c r="I330" s="33" t="s">
        <v>15</v>
      </c>
      <c r="J330" s="33"/>
      <c r="K330" s="181"/>
      <c r="L330" s="181"/>
      <c r="M330" s="33"/>
      <c r="N330" s="33"/>
      <c r="O330" s="33"/>
      <c r="P330" s="33"/>
      <c r="Q330" s="33"/>
      <c r="R330" s="181"/>
      <c r="S330" s="33"/>
      <c r="T330" s="181"/>
      <c r="U330" s="181"/>
      <c r="V330" s="33"/>
      <c r="W330" s="33"/>
      <c r="X330" s="33"/>
      <c r="Y330" s="33"/>
      <c r="Z330" s="33"/>
      <c r="AA330" s="181"/>
      <c r="AB330" s="33"/>
      <c r="AC330" s="181"/>
      <c r="AD330" s="181"/>
      <c r="AE330" s="33"/>
      <c r="AF330" s="33"/>
      <c r="AG330" s="33"/>
      <c r="AH330" s="33"/>
      <c r="AI330" s="33"/>
      <c r="AJ330" s="181"/>
      <c r="AK330" s="33"/>
    </row>
    <row r="331" spans="1:37" ht="12.75" customHeight="1">
      <c r="A331" s="33">
        <f>IF(ISERROR(VLOOKUP(RANK(H331,$H$2:$H$331),$A$2:A330,1,0)),RANK(H331,$H$2:$H$331),IF(ISERROR(VLOOKUP((RANK(H331,$H$2:$H$331)+1),$A$2:A330,1,0)),(RANK(H331,$H$2:$H$331)+1),(RANK(H331,$H$2:$H$331)+2)))</f>
        <v>176</v>
      </c>
      <c r="B331" s="33">
        <f>Cheatsheet!AK64</f>
        <v>30</v>
      </c>
      <c r="C331" s="33" t="str">
        <f>Cheatsheet!AL64</f>
        <v/>
      </c>
      <c r="D331" s="33" t="str">
        <f>Cheatsheet!AM64</f>
        <v>Raiders</v>
      </c>
      <c r="E331" s="33" t="str">
        <f>Cheatsheet!AN64</f>
        <v>OAK</v>
      </c>
      <c r="F331" s="33">
        <f>Cheatsheet!AO64</f>
        <v>5</v>
      </c>
      <c r="G331" s="70">
        <f>Cheatsheet!AP64</f>
        <v>45.6</v>
      </c>
      <c r="H331" s="70">
        <f>Cheatsheet!AQ64</f>
        <v>-66.145454545454527</v>
      </c>
      <c r="I331" s="33" t="s">
        <v>15</v>
      </c>
      <c r="J331" s="33"/>
      <c r="K331" s="181"/>
      <c r="L331" s="181"/>
      <c r="M331" s="33"/>
      <c r="N331" s="33"/>
      <c r="O331" s="33"/>
      <c r="P331" s="33"/>
      <c r="Q331" s="33"/>
      <c r="R331" s="181"/>
      <c r="S331" s="33"/>
      <c r="T331" s="181"/>
      <c r="U331" s="181"/>
      <c r="V331" s="33"/>
      <c r="W331" s="33"/>
      <c r="X331" s="33"/>
      <c r="Y331" s="33"/>
      <c r="Z331" s="33"/>
      <c r="AA331" s="181"/>
      <c r="AB331" s="33"/>
      <c r="AC331" s="181"/>
      <c r="AD331" s="181"/>
      <c r="AE331" s="33"/>
      <c r="AF331" s="33"/>
      <c r="AG331" s="33"/>
      <c r="AH331" s="33"/>
      <c r="AI331" s="33"/>
      <c r="AJ331" s="181"/>
      <c r="AK331" s="33"/>
    </row>
    <row r="332" spans="1:37" ht="12.75" customHeight="1">
      <c r="A332" s="33"/>
      <c r="B332" s="33"/>
      <c r="C332" s="33"/>
      <c r="D332" s="33"/>
      <c r="E332" s="33"/>
      <c r="F332" s="33"/>
      <c r="G332" s="33"/>
      <c r="H332" s="70"/>
      <c r="I332" s="33"/>
      <c r="J332" s="33"/>
      <c r="K332" s="181"/>
      <c r="L332" s="181"/>
      <c r="M332" s="33"/>
      <c r="N332" s="33"/>
      <c r="O332" s="33"/>
      <c r="P332" s="33"/>
      <c r="Q332" s="33"/>
      <c r="R332" s="181"/>
      <c r="S332" s="33"/>
      <c r="T332" s="181"/>
      <c r="U332" s="181"/>
      <c r="V332" s="33"/>
      <c r="W332" s="33"/>
      <c r="X332" s="33"/>
      <c r="Y332" s="33"/>
      <c r="Z332" s="33"/>
      <c r="AA332" s="181"/>
      <c r="AB332" s="33"/>
      <c r="AC332" s="181"/>
      <c r="AD332" s="181"/>
      <c r="AE332" s="33"/>
      <c r="AF332" s="33"/>
      <c r="AG332" s="33"/>
      <c r="AH332" s="33"/>
      <c r="AI332" s="33"/>
      <c r="AJ332" s="181"/>
      <c r="AK332" s="33"/>
    </row>
    <row r="333" spans="1:37" ht="12.75" customHeight="1">
      <c r="A333" s="33"/>
      <c r="B333" s="33"/>
      <c r="C333" s="33"/>
      <c r="D333" s="33"/>
      <c r="E333" s="33"/>
      <c r="F333" s="33"/>
      <c r="G333" s="33"/>
      <c r="H333" s="70"/>
      <c r="I333" s="33"/>
      <c r="J333" s="33"/>
      <c r="K333" s="181"/>
      <c r="L333" s="181"/>
      <c r="M333" s="33"/>
      <c r="N333" s="33"/>
      <c r="O333" s="33"/>
      <c r="P333" s="33"/>
      <c r="Q333" s="33"/>
      <c r="R333" s="181"/>
      <c r="S333" s="33"/>
      <c r="T333" s="181"/>
      <c r="U333" s="181"/>
      <c r="V333" s="33"/>
      <c r="W333" s="33"/>
      <c r="X333" s="33"/>
      <c r="Y333" s="33"/>
      <c r="Z333" s="33"/>
      <c r="AA333" s="181"/>
      <c r="AB333" s="33"/>
      <c r="AC333" s="181"/>
      <c r="AD333" s="181"/>
      <c r="AE333" s="33"/>
      <c r="AF333" s="33"/>
      <c r="AG333" s="33"/>
      <c r="AH333" s="33"/>
      <c r="AI333" s="33"/>
      <c r="AJ333" s="181"/>
      <c r="AK333" s="33"/>
    </row>
    <row r="334" spans="1:37" ht="12.75" customHeight="1">
      <c r="A334" s="33"/>
      <c r="B334" s="33"/>
      <c r="C334" s="33"/>
      <c r="D334" s="33"/>
      <c r="E334" s="33"/>
      <c r="F334" s="33"/>
      <c r="G334" s="33"/>
      <c r="H334" s="70"/>
      <c r="I334" s="33"/>
      <c r="J334" s="33"/>
      <c r="K334" s="181"/>
      <c r="L334" s="181"/>
      <c r="M334" s="33"/>
      <c r="N334" s="33"/>
      <c r="O334" s="33"/>
      <c r="P334" s="33"/>
      <c r="Q334" s="33"/>
      <c r="R334" s="181"/>
      <c r="S334" s="33"/>
      <c r="T334" s="181"/>
      <c r="U334" s="181"/>
      <c r="V334" s="33"/>
      <c r="W334" s="33"/>
      <c r="X334" s="33"/>
      <c r="Y334" s="33"/>
      <c r="Z334" s="33"/>
      <c r="AA334" s="181"/>
      <c r="AB334" s="33"/>
      <c r="AC334" s="181"/>
      <c r="AD334" s="181"/>
      <c r="AE334" s="33"/>
      <c r="AF334" s="33"/>
      <c r="AG334" s="33"/>
      <c r="AH334" s="33"/>
      <c r="AI334" s="33"/>
      <c r="AJ334" s="181"/>
      <c r="AK334" s="33"/>
    </row>
    <row r="335" spans="1:37" ht="12.75" customHeight="1">
      <c r="A335" s="33"/>
      <c r="B335" s="33"/>
      <c r="C335" s="33"/>
      <c r="D335" s="33"/>
      <c r="E335" s="33"/>
      <c r="F335" s="33"/>
      <c r="G335" s="33"/>
      <c r="H335" s="70"/>
      <c r="I335" s="33"/>
      <c r="J335" s="33"/>
      <c r="K335" s="181"/>
      <c r="L335" s="181"/>
      <c r="M335" s="33"/>
      <c r="N335" s="33"/>
      <c r="O335" s="33"/>
      <c r="P335" s="33"/>
      <c r="Q335" s="33"/>
      <c r="R335" s="181"/>
      <c r="S335" s="33"/>
      <c r="T335" s="181"/>
      <c r="U335" s="181"/>
      <c r="V335" s="33"/>
      <c r="W335" s="33"/>
      <c r="X335" s="33"/>
      <c r="Y335" s="33"/>
      <c r="Z335" s="33"/>
      <c r="AA335" s="181"/>
      <c r="AB335" s="33"/>
      <c r="AC335" s="181"/>
      <c r="AD335" s="181"/>
      <c r="AE335" s="33"/>
      <c r="AF335" s="33"/>
      <c r="AG335" s="33"/>
      <c r="AH335" s="33"/>
      <c r="AI335" s="33"/>
      <c r="AJ335" s="181"/>
      <c r="AK335" s="33"/>
    </row>
    <row r="336" spans="1:37" ht="12.75" customHeight="1">
      <c r="A336" s="33"/>
      <c r="B336" s="33"/>
      <c r="C336" s="33"/>
      <c r="D336" s="33"/>
      <c r="E336" s="33"/>
      <c r="F336" s="33"/>
      <c r="G336" s="33"/>
      <c r="H336" s="70"/>
      <c r="I336" s="33"/>
      <c r="J336" s="33"/>
      <c r="K336" s="181"/>
      <c r="L336" s="181"/>
      <c r="M336" s="33"/>
      <c r="N336" s="33"/>
      <c r="O336" s="33"/>
      <c r="P336" s="33"/>
      <c r="Q336" s="33"/>
      <c r="R336" s="181"/>
      <c r="S336" s="33"/>
      <c r="T336" s="181"/>
      <c r="U336" s="181"/>
      <c r="V336" s="33"/>
      <c r="W336" s="33"/>
      <c r="X336" s="33"/>
      <c r="Y336" s="33"/>
      <c r="Z336" s="33"/>
      <c r="AA336" s="181"/>
      <c r="AB336" s="33"/>
      <c r="AC336" s="181"/>
      <c r="AD336" s="181"/>
      <c r="AE336" s="33"/>
      <c r="AF336" s="33"/>
      <c r="AG336" s="33"/>
      <c r="AH336" s="33"/>
      <c r="AI336" s="33"/>
      <c r="AJ336" s="181"/>
      <c r="AK336" s="33"/>
    </row>
    <row r="337" spans="1:37" ht="12.75" customHeight="1">
      <c r="A337" s="33"/>
      <c r="B337" s="33"/>
      <c r="C337" s="33"/>
      <c r="D337" s="33"/>
      <c r="E337" s="33"/>
      <c r="F337" s="33"/>
      <c r="G337" s="33"/>
      <c r="H337" s="70"/>
      <c r="I337" s="33"/>
      <c r="J337" s="33"/>
      <c r="K337" s="181"/>
      <c r="L337" s="181"/>
      <c r="M337" s="33"/>
      <c r="N337" s="33"/>
      <c r="O337" s="33"/>
      <c r="P337" s="33"/>
      <c r="Q337" s="33"/>
      <c r="R337" s="181"/>
      <c r="S337" s="33"/>
      <c r="T337" s="181"/>
      <c r="U337" s="181"/>
      <c r="V337" s="33"/>
      <c r="W337" s="33"/>
      <c r="X337" s="33"/>
      <c r="Y337" s="33"/>
      <c r="Z337" s="33"/>
      <c r="AA337" s="181"/>
      <c r="AB337" s="33"/>
      <c r="AC337" s="181"/>
      <c r="AD337" s="181"/>
      <c r="AE337" s="33"/>
      <c r="AF337" s="33"/>
      <c r="AG337" s="33"/>
      <c r="AH337" s="33"/>
      <c r="AI337" s="33"/>
      <c r="AJ337" s="181"/>
      <c r="AK337" s="33"/>
    </row>
    <row r="338" spans="1:37" ht="12.75" customHeight="1">
      <c r="A338" s="33"/>
      <c r="B338" s="33"/>
      <c r="C338" s="33"/>
      <c r="D338" s="33"/>
      <c r="E338" s="33"/>
      <c r="F338" s="33"/>
      <c r="G338" s="33"/>
      <c r="H338" s="70"/>
      <c r="I338" s="33"/>
      <c r="J338" s="33"/>
      <c r="K338" s="181"/>
      <c r="L338" s="181"/>
      <c r="M338" s="33"/>
      <c r="N338" s="33"/>
      <c r="O338" s="33"/>
      <c r="P338" s="33"/>
      <c r="Q338" s="33"/>
      <c r="R338" s="181"/>
      <c r="S338" s="33"/>
      <c r="T338" s="181"/>
      <c r="U338" s="181"/>
      <c r="V338" s="33"/>
      <c r="W338" s="33"/>
      <c r="X338" s="33"/>
      <c r="Y338" s="33"/>
      <c r="Z338" s="33"/>
      <c r="AA338" s="181"/>
      <c r="AB338" s="33"/>
      <c r="AC338" s="181"/>
      <c r="AD338" s="181"/>
      <c r="AE338" s="33"/>
      <c r="AF338" s="33"/>
      <c r="AG338" s="33"/>
      <c r="AH338" s="33"/>
      <c r="AI338" s="33"/>
      <c r="AJ338" s="181"/>
      <c r="AK338" s="33"/>
    </row>
    <row r="339" spans="1:37" ht="12.75" customHeight="1">
      <c r="A339" s="33"/>
      <c r="B339" s="33"/>
      <c r="C339" s="33"/>
      <c r="D339" s="33"/>
      <c r="E339" s="33"/>
      <c r="F339" s="33"/>
      <c r="G339" s="33"/>
      <c r="H339" s="70"/>
      <c r="I339" s="33"/>
      <c r="J339" s="33"/>
      <c r="K339" s="181"/>
      <c r="L339" s="181"/>
      <c r="M339" s="33"/>
      <c r="N339" s="33"/>
      <c r="O339" s="33"/>
      <c r="P339" s="33"/>
      <c r="Q339" s="33"/>
      <c r="R339" s="181"/>
      <c r="S339" s="33"/>
      <c r="T339" s="181"/>
      <c r="U339" s="181"/>
      <c r="V339" s="33"/>
      <c r="W339" s="33"/>
      <c r="X339" s="33"/>
      <c r="Y339" s="33"/>
      <c r="Z339" s="33"/>
      <c r="AA339" s="181"/>
      <c r="AB339" s="33"/>
      <c r="AC339" s="181"/>
      <c r="AD339" s="181"/>
      <c r="AE339" s="33"/>
      <c r="AF339" s="33"/>
      <c r="AG339" s="33"/>
      <c r="AH339" s="33"/>
      <c r="AI339" s="33"/>
      <c r="AJ339" s="181"/>
      <c r="AK339" s="33"/>
    </row>
    <row r="340" spans="1:37" ht="12.75" customHeight="1">
      <c r="A340" s="33"/>
      <c r="B340" s="33"/>
      <c r="C340" s="33"/>
      <c r="D340" s="33"/>
      <c r="E340" s="33"/>
      <c r="F340" s="33"/>
      <c r="G340" s="33"/>
      <c r="H340" s="70"/>
      <c r="I340" s="33"/>
      <c r="J340" s="33"/>
      <c r="K340" s="181"/>
      <c r="L340" s="181"/>
      <c r="M340" s="33"/>
      <c r="N340" s="33"/>
      <c r="O340" s="33"/>
      <c r="P340" s="33"/>
      <c r="Q340" s="33"/>
      <c r="R340" s="181"/>
      <c r="S340" s="33"/>
      <c r="T340" s="181"/>
      <c r="U340" s="181"/>
      <c r="V340" s="33"/>
      <c r="W340" s="33"/>
      <c r="X340" s="33"/>
      <c r="Y340" s="33"/>
      <c r="Z340" s="33"/>
      <c r="AA340" s="181"/>
      <c r="AB340" s="33"/>
      <c r="AC340" s="181"/>
      <c r="AD340" s="181"/>
      <c r="AE340" s="33"/>
      <c r="AF340" s="33"/>
      <c r="AG340" s="33"/>
      <c r="AH340" s="33"/>
      <c r="AI340" s="33"/>
      <c r="AJ340" s="181"/>
      <c r="AK340" s="33"/>
    </row>
    <row r="341" spans="1:37" ht="12.75" customHeight="1">
      <c r="A341" s="33"/>
      <c r="B341" s="33"/>
      <c r="C341" s="33"/>
      <c r="D341" s="33"/>
      <c r="E341" s="33"/>
      <c r="F341" s="33"/>
      <c r="G341" s="33"/>
      <c r="H341" s="70"/>
      <c r="I341" s="33"/>
      <c r="J341" s="33"/>
      <c r="K341" s="181"/>
      <c r="L341" s="181"/>
      <c r="M341" s="33"/>
      <c r="N341" s="33"/>
      <c r="O341" s="33"/>
      <c r="P341" s="33"/>
      <c r="Q341" s="33"/>
      <c r="R341" s="181"/>
      <c r="S341" s="33"/>
      <c r="T341" s="181"/>
      <c r="U341" s="181"/>
      <c r="V341" s="33"/>
      <c r="W341" s="33"/>
      <c r="X341" s="33"/>
      <c r="Y341" s="33"/>
      <c r="Z341" s="33"/>
      <c r="AA341" s="181"/>
      <c r="AB341" s="33"/>
      <c r="AC341" s="181"/>
      <c r="AD341" s="181"/>
      <c r="AE341" s="33"/>
      <c r="AF341" s="33"/>
      <c r="AG341" s="33"/>
      <c r="AH341" s="33"/>
      <c r="AI341" s="33"/>
      <c r="AJ341" s="181"/>
      <c r="AK341" s="33"/>
    </row>
    <row r="342" spans="1:37" ht="12.75" customHeight="1">
      <c r="A342" s="33"/>
      <c r="B342" s="33"/>
      <c r="C342" s="33"/>
      <c r="D342" s="33"/>
      <c r="E342" s="33"/>
      <c r="F342" s="33"/>
      <c r="G342" s="33"/>
      <c r="H342" s="70"/>
      <c r="I342" s="33"/>
      <c r="J342" s="33"/>
      <c r="K342" s="181"/>
      <c r="L342" s="181"/>
      <c r="M342" s="33"/>
      <c r="N342" s="33"/>
      <c r="O342" s="33"/>
      <c r="P342" s="33"/>
      <c r="Q342" s="33"/>
      <c r="R342" s="181"/>
      <c r="S342" s="33"/>
      <c r="T342" s="181"/>
      <c r="U342" s="181"/>
      <c r="V342" s="33"/>
      <c r="W342" s="33"/>
      <c r="X342" s="33"/>
      <c r="Y342" s="33"/>
      <c r="Z342" s="33"/>
      <c r="AA342" s="181"/>
      <c r="AB342" s="33"/>
      <c r="AC342" s="181"/>
      <c r="AD342" s="181"/>
      <c r="AE342" s="33"/>
      <c r="AF342" s="33"/>
      <c r="AG342" s="33"/>
      <c r="AH342" s="33"/>
      <c r="AI342" s="33"/>
      <c r="AJ342" s="181"/>
      <c r="AK342" s="33"/>
    </row>
    <row r="343" spans="1:37" ht="12.75" customHeight="1">
      <c r="A343" s="33"/>
      <c r="B343" s="33"/>
      <c r="C343" s="33"/>
      <c r="D343" s="33"/>
      <c r="E343" s="33"/>
      <c r="F343" s="33"/>
      <c r="G343" s="33"/>
      <c r="H343" s="70"/>
      <c r="I343" s="33"/>
      <c r="J343" s="33"/>
      <c r="K343" s="181"/>
      <c r="L343" s="181"/>
      <c r="M343" s="33"/>
      <c r="N343" s="33"/>
      <c r="O343" s="33"/>
      <c r="P343" s="33"/>
      <c r="Q343" s="33"/>
      <c r="R343" s="181"/>
      <c r="S343" s="33"/>
      <c r="T343" s="181"/>
      <c r="U343" s="181"/>
      <c r="V343" s="33"/>
      <c r="W343" s="33"/>
      <c r="X343" s="33"/>
      <c r="Y343" s="33"/>
      <c r="Z343" s="33"/>
      <c r="AA343" s="181"/>
      <c r="AB343" s="33"/>
      <c r="AC343" s="181"/>
      <c r="AD343" s="181"/>
      <c r="AE343" s="33"/>
      <c r="AF343" s="33"/>
      <c r="AG343" s="33"/>
      <c r="AH343" s="33"/>
      <c r="AI343" s="33"/>
      <c r="AJ343" s="181"/>
      <c r="AK343" s="33"/>
    </row>
    <row r="344" spans="1:37" ht="12.75" customHeight="1">
      <c r="A344" s="33"/>
      <c r="B344" s="33"/>
      <c r="C344" s="33"/>
      <c r="D344" s="33"/>
      <c r="E344" s="33"/>
      <c r="F344" s="33"/>
      <c r="G344" s="33"/>
      <c r="H344" s="70"/>
      <c r="I344" s="33"/>
      <c r="J344" s="33"/>
      <c r="K344" s="181"/>
      <c r="L344" s="181"/>
      <c r="M344" s="33"/>
      <c r="N344" s="33"/>
      <c r="O344" s="33"/>
      <c r="P344" s="33"/>
      <c r="Q344" s="33"/>
      <c r="R344" s="181"/>
      <c r="S344" s="33"/>
      <c r="T344" s="181"/>
      <c r="U344" s="181"/>
      <c r="V344" s="33"/>
      <c r="W344" s="33"/>
      <c r="X344" s="33"/>
      <c r="Y344" s="33"/>
      <c r="Z344" s="33"/>
      <c r="AA344" s="181"/>
      <c r="AB344" s="33"/>
      <c r="AC344" s="181"/>
      <c r="AD344" s="181"/>
      <c r="AE344" s="33"/>
      <c r="AF344" s="33"/>
      <c r="AG344" s="33"/>
      <c r="AH344" s="33"/>
      <c r="AI344" s="33"/>
      <c r="AJ344" s="181"/>
      <c r="AK344" s="33"/>
    </row>
    <row r="345" spans="1:37" ht="12.75" customHeight="1">
      <c r="A345" s="33"/>
      <c r="B345" s="33"/>
      <c r="C345" s="33"/>
      <c r="D345" s="33"/>
      <c r="E345" s="33"/>
      <c r="F345" s="33"/>
      <c r="G345" s="33"/>
      <c r="H345" s="70"/>
      <c r="I345" s="33"/>
      <c r="J345" s="33"/>
      <c r="K345" s="181"/>
      <c r="L345" s="181"/>
      <c r="M345" s="33"/>
      <c r="N345" s="33"/>
      <c r="O345" s="33"/>
      <c r="P345" s="33"/>
      <c r="Q345" s="33"/>
      <c r="R345" s="181"/>
      <c r="S345" s="33"/>
      <c r="T345" s="181"/>
      <c r="U345" s="181"/>
      <c r="V345" s="33"/>
      <c r="W345" s="33"/>
      <c r="X345" s="33"/>
      <c r="Y345" s="33"/>
      <c r="Z345" s="33"/>
      <c r="AA345" s="181"/>
      <c r="AB345" s="33"/>
      <c r="AC345" s="181"/>
      <c r="AD345" s="181"/>
      <c r="AE345" s="33"/>
      <c r="AF345" s="33"/>
      <c r="AG345" s="33"/>
      <c r="AH345" s="33"/>
      <c r="AI345" s="33"/>
      <c r="AJ345" s="181"/>
      <c r="AK345" s="33"/>
    </row>
    <row r="346" spans="1:37" ht="12.75" customHeight="1">
      <c r="A346" s="33"/>
      <c r="B346" s="33"/>
      <c r="C346" s="33"/>
      <c r="D346" s="33"/>
      <c r="E346" s="33"/>
      <c r="F346" s="33"/>
      <c r="G346" s="33"/>
      <c r="H346" s="70"/>
      <c r="I346" s="33"/>
      <c r="J346" s="33"/>
      <c r="K346" s="181"/>
      <c r="L346" s="181"/>
      <c r="M346" s="33"/>
      <c r="N346" s="33"/>
      <c r="O346" s="33"/>
      <c r="P346" s="33"/>
      <c r="Q346" s="33"/>
      <c r="R346" s="181"/>
      <c r="S346" s="33"/>
      <c r="T346" s="181"/>
      <c r="U346" s="181"/>
      <c r="V346" s="33"/>
      <c r="W346" s="33"/>
      <c r="X346" s="33"/>
      <c r="Y346" s="33"/>
      <c r="Z346" s="33"/>
      <c r="AA346" s="181"/>
      <c r="AB346" s="33"/>
      <c r="AC346" s="181"/>
      <c r="AD346" s="181"/>
      <c r="AE346" s="33"/>
      <c r="AF346" s="33"/>
      <c r="AG346" s="33"/>
      <c r="AH346" s="33"/>
      <c r="AI346" s="33"/>
      <c r="AJ346" s="181"/>
      <c r="AK346" s="33"/>
    </row>
    <row r="347" spans="1:37" ht="12.75" customHeight="1">
      <c r="A347" s="33"/>
      <c r="B347" s="33"/>
      <c r="C347" s="33"/>
      <c r="D347" s="33"/>
      <c r="E347" s="33"/>
      <c r="F347" s="33"/>
      <c r="G347" s="33"/>
      <c r="H347" s="70"/>
      <c r="I347" s="33"/>
      <c r="J347" s="33"/>
      <c r="K347" s="181"/>
      <c r="L347" s="181"/>
      <c r="M347" s="33"/>
      <c r="N347" s="33"/>
      <c r="O347" s="33"/>
      <c r="P347" s="33"/>
      <c r="Q347" s="33"/>
      <c r="R347" s="181"/>
      <c r="S347" s="33"/>
      <c r="T347" s="181"/>
      <c r="U347" s="181"/>
      <c r="V347" s="33"/>
      <c r="W347" s="33"/>
      <c r="X347" s="33"/>
      <c r="Y347" s="33"/>
      <c r="Z347" s="33"/>
      <c r="AA347" s="181"/>
      <c r="AB347" s="33"/>
      <c r="AC347" s="181"/>
      <c r="AD347" s="181"/>
      <c r="AE347" s="33"/>
      <c r="AF347" s="33"/>
      <c r="AG347" s="33"/>
      <c r="AH347" s="33"/>
      <c r="AI347" s="33"/>
      <c r="AJ347" s="181"/>
      <c r="AK347" s="33"/>
    </row>
  </sheetData>
  <conditionalFormatting sqref="N2 W2 AF2 N3 W3 AF3 N4 W4 AF4 N5 W5 AF5 N6 W6 AF6 N7 W7 AF7 N8 W8 AF8 N9 W9 AF9 N10 W10 AF10 N11 W11 AF11 N12 W12 AF12 N13 W13 AF13 N14 W14 AF14 N15 W15 AF15 N16 W16 AF16 N17 W17 AF17 N18 W18 AF18 N19 W19 AF19 N20 W20 AF20 N21 W21 AF21 N22 W22 AF22 N23 W23 AF23 N24 W24 AF24 N25 W25 AF25 N26 W26 AF26 N27 W27 AF27 N28 W28 AF28 N29 W29 AF29 N30 W30 AF30 N31 W31 AF31 N32 W32 AF32 N33 W33 AF33 N34 W34 AF34 N35 W35 AF35 N36 W36 AF36 N37 W37 AF37 N38 W38 AF38 N39 W39 AF39 N40 W40 AF40 N41 W41 AF41 N42 W42 AF42 N43 W43 AF43 N44 W44 AF44 N45 W45 AF45 N46 W46 AF46 N47 W47 AF47 N48 W48 AF48 N49 W49 AF49 N50 W50 AF50 N51 W51 AF51 N52 W52 AF52 N53 W53 AF53 N54 W54 AF54 N55 W55 AF55 N56 W56 AF56 N57 W57 AF57 N58 W58 AF58 N59 W59 AF59 N60 W60 AF60 N61 W61 AF61 N62 W62 AF62 N63 W63 AF63 N64 W64 AF64 N65 W65 AF65 N66 W66 AF66 N67 W67 AF67 N68 W68 AF68 N69 W69 AF69 N70 W70 AF70 N71 W71 AF71 N72 W72 AF72 N73 W73 AF73 N74 W74 AF74 N75 W75 AF75 N76 W76 AF76 N77 W77 AF77 N78 W78 AF78 N79 W79 AF79 N80 W80 AF80 N81 W81 AF81">
    <cfRule type="containsText" dxfId="8" priority="1" stopIfTrue="1" operator="containsText" text="X">
      <formula>NOT(ISERROR(SEARCH("X", N2)))</formula>
    </cfRule>
    <cfRule type="containsText" dxfId="7" priority="2" stopIfTrue="1" operator="containsText" text="Y">
      <formula>NOT(ISERROR(SEARCH("Y", N2)))</formula>
    </cfRule>
    <cfRule type="notContainsText" dxfId="6" priority="3" stopIfTrue="1" operator="notContains" text="X">
      <formula>ISERROR(SEARCH("X", N2))</formula>
    </cfRule>
  </conditionalFormatting>
  <conditionalFormatting sqref="L2 U2 AD2 L3 U3 AD3 L4 U4 AD4 L5 U5 AD5 L6 U6 AD6 L7 U7 AD7 L8 U8 AD8 L9 U9 AD9 L10 U10 AD10 L11 U11 AD11 L12 U12 AD12 L13 U13 AD13 L14 U14 AD14 L15 U15 AD15 L16 U16 AD16 L17 U17 AD17 L18 U18 AD18 L19 U19 AD19 L20 U20 AD20 L21 U21 AD21 L22 U22 AD22 L23 U23 AD23 L24 U24 AD24 L25 U25 AD25 L26 U26 AD26 L27 U27 AD27 L28 U28 AD28 L29 U29 AD29 L30 U30 AD30 L31 U31 AD31 L32 U32 AD32 L33 U33 AD33 L34 U34 AD34 L35 U35 AD35 L36 U36 AD36 L37 U37 AD37 L38 U38 AD38 L39 U39 AD39 L40 U40 AD40 L41 U41 AD41 L42 U42 AD42 L43 U43 AD43 L44 U44 AD44 L45 U45 AD45 L46 U46 AD46 L47 U47 AD47 L48 U48 AD48 L49 U49 AD49 L50 U50 AD50 L51 U51 AD51 L52 U52 AD52 L53 U53 AD53 L54 U54 AD54 L55 U55 AD55 L56 U56 AD56 L57 U57 AD57 L58 U58 AD58 L59 U59 AD59 L60 U60 AD60 L61 U61 AD61 L62 U62 AD62 L63 U63 AD63 L64 U64 AD64 L65 U65 AD65 L66 U66 AD66 L67 U67 AD67 L68 U68 AD68 L69 U69 AD69 L70 U70 AD70 L71 U71 AD71 L72 U72 AD72 L73 U73 AD73 L74 U74 AD74 L75 U75 AD75 L76 U76 AD76 L77 U77 AD77 L78 U78 AD78 L79 U79 AD79 L80 U80 AD80 L81 U81 AD81">
    <cfRule type="cellIs" dxfId="5" priority="4" stopIfTrue="1" operator="equal">
      <formula>"QB"</formula>
    </cfRule>
    <cfRule type="cellIs" dxfId="4" priority="5" stopIfTrue="1" operator="equal">
      <formula>"RB"</formula>
    </cfRule>
    <cfRule type="cellIs" dxfId="3" priority="6" stopIfTrue="1" operator="equal">
      <formula>"WR"</formula>
    </cfRule>
    <cfRule type="cellIs" dxfId="2" priority="7" stopIfTrue="1" operator="equal">
      <formula>"TE"</formula>
    </cfRule>
    <cfRule type="cellIs" dxfId="1" priority="8" stopIfTrue="1" operator="equal">
      <formula>"K"</formula>
    </cfRule>
    <cfRule type="cellIs" dxfId="0" priority="9" stopIfTrue="1" operator="equal">
      <formula>"DST"</formula>
    </cfRule>
  </conditionalFormatting>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7.1640625" defaultRowHeight="12.75" customHeight="1" x14ac:dyDescent="0"/>
  <sheetData/>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2"/>
  <sheetViews>
    <sheetView showGridLines="0" workbookViewId="0">
      <pane ySplit="3" topLeftCell="A4" activePane="bottomLeft" state="frozen"/>
      <selection pane="bottomLeft" activeCell="A4" sqref="A4"/>
    </sheetView>
  </sheetViews>
  <sheetFormatPr baseColWidth="10" defaultColWidth="17.1640625" defaultRowHeight="12.75" customHeight="1" x14ac:dyDescent="0"/>
  <cols>
    <col min="1" max="1" width="25.33203125" hidden="1" customWidth="1"/>
    <col min="2" max="2" width="17.1640625" customWidth="1"/>
    <col min="3" max="3" width="5" customWidth="1"/>
    <col min="4" max="4" width="7.83203125" customWidth="1"/>
    <col min="5" max="5" width="4.5" customWidth="1"/>
    <col min="6" max="7" width="2.5" customWidth="1"/>
    <col min="8" max="8" width="7.33203125" customWidth="1"/>
    <col min="9" max="9" width="2.5" customWidth="1"/>
    <col min="10" max="10" width="6.83203125" customWidth="1"/>
    <col min="11" max="11" width="4.5" customWidth="1"/>
    <col min="12" max="13" width="2.5" customWidth="1"/>
    <col min="14" max="14" width="7.33203125" customWidth="1"/>
    <col min="15" max="15" width="2.5" customWidth="1"/>
    <col min="16" max="16" width="9.1640625" customWidth="1"/>
    <col min="17" max="17" width="6.1640625" customWidth="1"/>
    <col min="18" max="19" width="2.5" customWidth="1"/>
    <col min="20" max="20" width="7.33203125" customWidth="1"/>
    <col min="21" max="21" width="2.5" customWidth="1"/>
    <col min="22" max="22" width="2.33203125" customWidth="1"/>
    <col min="23" max="24" width="3" customWidth="1"/>
    <col min="25" max="25" width="7.83203125" customWidth="1"/>
    <col min="26" max="26" width="5" customWidth="1"/>
    <col min="27" max="27" width="9.1640625" customWidth="1"/>
    <col min="28" max="28" width="7.5" customWidth="1"/>
    <col min="29" max="29" width="2.83203125" customWidth="1"/>
    <col min="30" max="30" width="17.1640625" customWidth="1"/>
  </cols>
  <sheetData>
    <row r="1" spans="1:30" ht="12.75" customHeight="1">
      <c r="A1" s="181"/>
      <c r="B1" s="181"/>
      <c r="C1" s="31"/>
      <c r="D1" s="221" t="s">
        <v>155</v>
      </c>
      <c r="E1" s="222"/>
      <c r="F1" s="222"/>
      <c r="G1" s="222"/>
      <c r="H1" s="222"/>
      <c r="I1" s="223"/>
      <c r="J1" s="221" t="s">
        <v>1</v>
      </c>
      <c r="K1" s="222"/>
      <c r="L1" s="222"/>
      <c r="M1" s="222"/>
      <c r="N1" s="222"/>
      <c r="O1" s="223"/>
      <c r="P1" s="221" t="s">
        <v>162</v>
      </c>
      <c r="Q1" s="222"/>
      <c r="R1" s="222"/>
      <c r="S1" s="222"/>
      <c r="T1" s="222"/>
      <c r="U1" s="222"/>
      <c r="V1" s="224"/>
      <c r="W1" s="114"/>
      <c r="X1" s="181"/>
      <c r="Y1" s="37"/>
      <c r="Z1" s="37"/>
      <c r="AA1" s="37"/>
      <c r="AB1" s="66"/>
      <c r="AC1" s="189"/>
    </row>
    <row r="2" spans="1:30" ht="12.75" customHeight="1">
      <c r="A2" s="181"/>
      <c r="B2" s="181"/>
      <c r="C2" s="31"/>
      <c r="D2" s="225" t="s">
        <v>79</v>
      </c>
      <c r="E2" s="226"/>
      <c r="F2" s="226"/>
      <c r="G2" s="226"/>
      <c r="H2" s="227" t="s">
        <v>103</v>
      </c>
      <c r="I2" s="227"/>
      <c r="J2" s="225" t="s">
        <v>79</v>
      </c>
      <c r="K2" s="226"/>
      <c r="L2" s="226"/>
      <c r="M2" s="226"/>
      <c r="N2" s="227" t="s">
        <v>103</v>
      </c>
      <c r="O2" s="227"/>
      <c r="P2" s="225" t="s">
        <v>79</v>
      </c>
      <c r="Q2" s="226"/>
      <c r="R2" s="226"/>
      <c r="S2" s="226"/>
      <c r="T2" s="226" t="s">
        <v>103</v>
      </c>
      <c r="U2" s="226"/>
      <c r="V2" s="31"/>
      <c r="W2" s="114"/>
      <c r="X2" s="181"/>
      <c r="Y2" s="37"/>
      <c r="Z2" s="37"/>
      <c r="AA2" s="37"/>
      <c r="AB2" s="66"/>
      <c r="AC2" s="189"/>
    </row>
    <row r="3" spans="1:30" ht="12.75" customHeight="1">
      <c r="A3" s="181"/>
      <c r="B3" s="181" t="s">
        <v>6</v>
      </c>
      <c r="C3" s="31" t="s">
        <v>7</v>
      </c>
      <c r="D3" s="113" t="s">
        <v>783</v>
      </c>
      <c r="E3" s="133" t="s">
        <v>784</v>
      </c>
      <c r="F3" s="133" t="s">
        <v>785</v>
      </c>
      <c r="G3" s="133" t="s">
        <v>786</v>
      </c>
      <c r="H3" s="133" t="s">
        <v>784</v>
      </c>
      <c r="I3" s="47" t="s">
        <v>785</v>
      </c>
      <c r="J3" s="113" t="s">
        <v>783</v>
      </c>
      <c r="K3" s="133" t="s">
        <v>784</v>
      </c>
      <c r="L3" s="133" t="s">
        <v>785</v>
      </c>
      <c r="M3" s="133" t="s">
        <v>786</v>
      </c>
      <c r="N3" s="133" t="s">
        <v>784</v>
      </c>
      <c r="O3" s="47" t="s">
        <v>785</v>
      </c>
      <c r="P3" s="113" t="s">
        <v>783</v>
      </c>
      <c r="Q3" s="133" t="s">
        <v>784</v>
      </c>
      <c r="R3" s="133" t="s">
        <v>785</v>
      </c>
      <c r="S3" s="133" t="s">
        <v>786</v>
      </c>
      <c r="T3" s="133" t="s">
        <v>784</v>
      </c>
      <c r="U3" s="133" t="s">
        <v>785</v>
      </c>
      <c r="V3" s="31" t="s">
        <v>787</v>
      </c>
      <c r="W3" s="114"/>
      <c r="X3" s="181"/>
      <c r="Y3" s="37" t="s">
        <v>155</v>
      </c>
      <c r="Z3" s="37" t="s">
        <v>1</v>
      </c>
      <c r="AA3" s="37" t="s">
        <v>162</v>
      </c>
      <c r="AB3" s="66" t="s">
        <v>788</v>
      </c>
      <c r="AC3" s="189" t="s">
        <v>5</v>
      </c>
    </row>
    <row r="4" spans="1:30" ht="12.75" customHeight="1">
      <c r="A4" s="33" t="str">
        <f>ESPNData!B3</f>
        <v>Peyton Manning, Den QB</v>
      </c>
      <c r="B4" s="33" t="str">
        <f t="shared" ref="B4:B35" si="0">IF(OR((A4=""),(A4=0)),"",IF(ISERROR(FIND("*",A4)),LEFT(A4,(FIND(",",A4)-1)),LEFT(A4,(FIND("*",A4)-1))))</f>
        <v>Peyton Manning</v>
      </c>
      <c r="C4" s="64" t="str">
        <f t="shared" ref="C4:C35" si="1">IF((A4=""),"",UPPER(RIGHT(LEFT(A4,(FIND("QB",A4)-2)),(LEN(LEFT(A4,(FIND("QB",A4)-2)))-(FIND(",",LEFT(A4,(FIND("QB",A4)-2)))+1)))))</f>
        <v>DEN</v>
      </c>
      <c r="D4" s="117">
        <f>IF(ISERROR(VLOOKUP($B4,FFTodayData!$B:$M,4,0)),"",VLOOKUP($B4,FFTodayData!$B:$M,4,0))</f>
        <v>437</v>
      </c>
      <c r="E4" s="33">
        <f>IF(ISERROR(VLOOKUP($B4,FFTodayData!$B:$M,6,0)),"",VLOOKUP($B4,FFTodayData!$B:$M,6,0))</f>
        <v>5152</v>
      </c>
      <c r="F4" s="33">
        <f>IF(ISERROR(VLOOKUP($B4,FFTodayData!$B:$M,7,0)),"",VLOOKUP($B4,FFTodayData!$B:$M,7,0))</f>
        <v>47</v>
      </c>
      <c r="G4" s="33">
        <f>IF(ISERROR(VLOOKUP($B4,FFTodayData!$B:$M,8,0)),"",VLOOKUP($B4,FFTodayData!$B:$M,8,0))</f>
        <v>12</v>
      </c>
      <c r="H4" s="33">
        <f>IF(ISERROR(VLOOKUP($B4,FFTodayData!$B:$M,10,0)),"",VLOOKUP($B4,FFTodayData!$B:$M,10,0))</f>
        <v>-11</v>
      </c>
      <c r="I4" s="64">
        <f>IF(ISERROR(VLOOKUP($B4,FFTodayData!$B:$M,11,0)),"",VLOOKUP($B4,FFTodayData!$B:$M,11,0))</f>
        <v>0</v>
      </c>
      <c r="J4" s="117">
        <f>VALUE(IF(ISERROR(VLOOKUP($A4,ESPNData!$B:$O,4,0)),"",IF((VLOOKUP($A4,ESPNData!$B:$O,4,0)="--/--"),0,LEFT(VLOOKUP($A4,ESPNData!$B:$O,4,0),(FIND("/",VLOOKUP($A4,ESPNData!$B:$O,4,0))-1)))))</f>
        <v>435</v>
      </c>
      <c r="K4" s="33">
        <f>IF(ISERROR(VLOOKUP($A4,ESPNData!$B:$O,5,0)),"",IF((VLOOKUP($A4,ESPNData!$B:$O,5,0)="--"),0,VLOOKUP($A4,ESPNData!$B:$O,5,0)))</f>
        <v>5210</v>
      </c>
      <c r="L4" s="33">
        <f>IF(ISERROR(VLOOKUP($A4,ESPNData!$B:$O,6,0)),"",IF((VLOOKUP($A4,ESPNData!$B:$O,6,0)="--"),0,VLOOKUP($A4,ESPNData!$B:$O,6,0)))</f>
        <v>48</v>
      </c>
      <c r="M4" s="33">
        <f>IF(ISERROR(VLOOKUP($A4,ESPNData!$B:$O,7,0)),"",IF((VLOOKUP($A4,ESPNData!$B:$O,7,0)="--"),0,VLOOKUP($A4,ESPNData!$B:$O,7,0)))</f>
        <v>12</v>
      </c>
      <c r="N4" s="33">
        <f>IF(ISERROR(VLOOKUP($A4,ESPNData!$B:$O,9,0)),"",IF((VLOOKUP($A4,ESPNData!$B:$O,9,0)="--"),0,VLOOKUP($A4,ESPNData!$B:$O,9,0)))</f>
        <v>-14</v>
      </c>
      <c r="O4" s="194">
        <f>IF(ISERROR(VLOOKUP($A4,ESPNData!$B:$O,10,0)),"",IF((VLOOKUP($A4,ESPNData!$B:$O,10,0)="--"),0,VLOOKUP($A4,ESPNData!$B:$O,10,0)))</f>
        <v>0</v>
      </c>
      <c r="P4" s="93">
        <f>IF(ISERROR(VLOOKUP($B4,SportslineData!$A:$O,4,0)),"",ROUND(VLOOKUP($B4,SportslineData!$A:$O,4,0),0))</f>
        <v>429</v>
      </c>
      <c r="Q4" s="33">
        <f>IF(ISERROR(VLOOKUP($B4,SportslineData!$A:$O,5,0)),"",VLOOKUP($B4,SportslineData!$A:$O,5,0))</f>
        <v>5340.5</v>
      </c>
      <c r="R4" s="33">
        <f>IF(ISERROR(VLOOKUP($B4,SportslineData!$A:$O,6,0)),"",ROUND(VLOOKUP($B4,SportslineData!$A:$O,6,0),0))</f>
        <v>44</v>
      </c>
      <c r="S4" s="33">
        <f>IF(ISERROR(VLOOKUP($B4,SportslineData!$A:$O,7,0)),"",ROUND(VLOOKUP($B4,SportslineData!$A:$O,7,0),0))</f>
        <v>12</v>
      </c>
      <c r="T4" s="33">
        <f>IF(ISERROR(VLOOKUP($B4,SportslineData!$A:$O,11,0)),"",VLOOKUP($B4,SportslineData!$A:$O,11,0))</f>
        <v>4</v>
      </c>
      <c r="U4" s="33">
        <f>IF(ISERROR(VLOOKUP($B4,SportslineData!$A:$O,13,0)),"",ROUND(VLOOKUP($B4,SportslineData!$A:$O,13,0),0))</f>
        <v>0</v>
      </c>
      <c r="V4" s="64">
        <f>IF(ISERROR(VLOOKUP($B4,SportslineData!$A:$O,14,0)),"",ROUND(VLOOKUP($B4,SportslineData!$A:$O,14,0),0))</f>
        <v>3</v>
      </c>
      <c r="W4" s="117"/>
      <c r="X4" s="33"/>
      <c r="Y4" s="38">
        <f>IF((E4=""),0,ROUND((((((ROUNDDOWN((E4/5),0)*Settings!$F$3)+(F4*Settings!$I$3))+(G4*Settings!$F$4))+(ROUNDDOWN((H4/5),0)*Settings!$F$7))+(I4*Settings!$I$7)),1))</f>
        <v>463</v>
      </c>
      <c r="Z4" s="38">
        <f>IF((K4=""),0,ROUND((((((ROUNDDOWN((K4/5),0)*Settings!$F$3)+(L4*Settings!$I$3))+(M4*Settings!$F$4))+(ROUNDDOWN((N4/5),0)*Settings!$F$7))+(O4*Settings!$I$7)),1))</f>
        <v>471.4</v>
      </c>
      <c r="AA4" s="38">
        <f>IF((Q4=""),0,ROUND(((((((ROUNDDOWN((Q4/5),0)*Settings!$F$3)+(R4*Settings!$I$3))+(S4*Settings!$F$4))+(ROUNDDOWN((T4/5),0)*Settings!$F$7))+(U4*Settings!$I$7))+(V4*Settings!$F$15)),1))</f>
        <v>450.6</v>
      </c>
      <c r="AB4" s="66">
        <f>ROUND((((Y4*Settings!$B$21)+(Z4*Settings!$B$22))+(AA4*Settings!$B$23)),1)</f>
        <v>461.6</v>
      </c>
      <c r="AC4" s="189">
        <f>RANK(AB4,$AB$4:$AB$102)</f>
        <v>1</v>
      </c>
      <c r="AD4" t="str">
        <f t="shared" ref="AD4:AD35" si="2">B4</f>
        <v>Peyton Manning</v>
      </c>
    </row>
    <row r="5" spans="1:30" ht="12.75" customHeight="1">
      <c r="A5" s="33" t="str">
        <f>ESPNData!B4</f>
        <v>Aaron Rodgers, GB QB</v>
      </c>
      <c r="B5" s="33" t="str">
        <f t="shared" si="0"/>
        <v>Aaron Rodgers</v>
      </c>
      <c r="C5" s="64" t="str">
        <f t="shared" si="1"/>
        <v>GB</v>
      </c>
      <c r="D5" s="117">
        <f>IF(ISERROR(VLOOKUP($B5,FFTodayData!$B:$M,4,0)),"",VLOOKUP($B5,FFTodayData!$B:$M,4,0))</f>
        <v>368</v>
      </c>
      <c r="E5" s="33">
        <f>IF(ISERROR(VLOOKUP($B5,FFTodayData!$B:$M,6,0)),"",VLOOKUP($B5,FFTodayData!$B:$M,6,0))</f>
        <v>4460</v>
      </c>
      <c r="F5" s="33">
        <f>IF(ISERROR(VLOOKUP($B5,FFTodayData!$B:$M,7,0)),"",VLOOKUP($B5,FFTodayData!$B:$M,7,0))</f>
        <v>37</v>
      </c>
      <c r="G5" s="33">
        <f>IF(ISERROR(VLOOKUP($B5,FFTodayData!$B:$M,8,0)),"",VLOOKUP($B5,FFTodayData!$B:$M,8,0))</f>
        <v>11</v>
      </c>
      <c r="H5" s="33">
        <f>IF(ISERROR(VLOOKUP($B5,FFTodayData!$B:$M,10,0)),"",VLOOKUP($B5,FFTodayData!$B:$M,10,0))</f>
        <v>228</v>
      </c>
      <c r="I5" s="64">
        <f>IF(ISERROR(VLOOKUP($B5,FFTodayData!$B:$M,11,0)),"",VLOOKUP($B5,FFTodayData!$B:$M,11,0))</f>
        <v>2</v>
      </c>
      <c r="J5" s="117">
        <f>VALUE(IF(ISERROR(VLOOKUP($A5,ESPNData!$B:$O,4,0)),"",IF((VLOOKUP($A5,ESPNData!$B:$O,4,0)="--/--"),0,LEFT(VLOOKUP($A5,ESPNData!$B:$O,4,0),(FIND("/",VLOOKUP($A5,ESPNData!$B:$O,4,0))-1)))))</f>
        <v>348</v>
      </c>
      <c r="K5" s="33">
        <f>IF(ISERROR(VLOOKUP($A5,ESPNData!$B:$O,5,0)),"",IF((VLOOKUP($A5,ESPNData!$B:$O,5,0)="--"),0,VLOOKUP($A5,ESPNData!$B:$O,5,0)))</f>
        <v>4378</v>
      </c>
      <c r="L5" s="33">
        <f>IF(ISERROR(VLOOKUP($A5,ESPNData!$B:$O,6,0)),"",IF((VLOOKUP($A5,ESPNData!$B:$O,6,0)="--"),0,VLOOKUP($A5,ESPNData!$B:$O,6,0)))</f>
        <v>39</v>
      </c>
      <c r="M5" s="33">
        <f>IF(ISERROR(VLOOKUP($A5,ESPNData!$B:$O,7,0)),"",IF((VLOOKUP($A5,ESPNData!$B:$O,7,0)="--"),0,VLOOKUP($A5,ESPNData!$B:$O,7,0)))</f>
        <v>7</v>
      </c>
      <c r="N5" s="33">
        <f>IF(ISERROR(VLOOKUP($A5,ESPNData!$B:$O,9,0)),"",IF((VLOOKUP($A5,ESPNData!$B:$O,9,0)="--"),0,VLOOKUP($A5,ESPNData!$B:$O,9,0)))</f>
        <v>225</v>
      </c>
      <c r="O5" s="194">
        <f>IF(ISERROR(VLOOKUP($A5,ESPNData!$B:$O,10,0)),"",IF((VLOOKUP($A5,ESPNData!$B:$O,10,0)="--"),0,VLOOKUP($A5,ESPNData!$B:$O,10,0)))</f>
        <v>2</v>
      </c>
      <c r="P5" s="93">
        <f>IF(ISERROR(VLOOKUP($B5,SportslineData!$A:$O,4,0)),"",ROUND(VLOOKUP($B5,SportslineData!$A:$O,4,0),0))</f>
        <v>365</v>
      </c>
      <c r="Q5" s="33">
        <f>IF(ISERROR(VLOOKUP($B5,SportslineData!$A:$O,5,0)),"",VLOOKUP($B5,SportslineData!$A:$O,5,0))</f>
        <v>4659</v>
      </c>
      <c r="R5" s="33">
        <f>IF(ISERROR(VLOOKUP($B5,SportslineData!$A:$O,6,0)),"",ROUND(VLOOKUP($B5,SportslineData!$A:$O,6,0),0))</f>
        <v>37</v>
      </c>
      <c r="S5" s="33">
        <f>IF(ISERROR(VLOOKUP($B5,SportslineData!$A:$O,7,0)),"",ROUND(VLOOKUP($B5,SportslineData!$A:$O,7,0),0))</f>
        <v>8</v>
      </c>
      <c r="T5" s="33">
        <f>IF(ISERROR(VLOOKUP($B5,SportslineData!$A:$O,11,0)),"",VLOOKUP($B5,SportslineData!$A:$O,11,0))</f>
        <v>210</v>
      </c>
      <c r="U5" s="33">
        <f>IF(ISERROR(VLOOKUP($B5,SportslineData!$A:$O,13,0)),"",ROUND(VLOOKUP($B5,SportslineData!$A:$O,13,0),0))</f>
        <v>2</v>
      </c>
      <c r="V5" s="64">
        <f>IF(ISERROR(VLOOKUP($B5,SportslineData!$A:$O,14,0)),"",ROUND(VLOOKUP($B5,SportslineData!$A:$O,14,0),0))</f>
        <v>2</v>
      </c>
      <c r="W5" s="117"/>
      <c r="X5" s="33"/>
      <c r="Y5" s="38">
        <f>IF((E5=""),0,ROUND((((((ROUNDDOWN((E5/5),0)*Settings!$F$3)+(F5*Settings!$I$3))+(G5*Settings!$F$4))+(ROUNDDOWN((H5/5),0)*Settings!$F$7))+(I5*Settings!$I$7)),1))</f>
        <v>412.9</v>
      </c>
      <c r="Z5" s="38">
        <f>IF((K5=""),0,ROUND((((((ROUNDDOWN((K5/5),0)*Settings!$F$3)+(L5*Settings!$I$3))+(M5*Settings!$F$4))+(ROUNDDOWN((N5/5),0)*Settings!$F$7))+(O5*Settings!$I$7)),1))</f>
        <v>429.5</v>
      </c>
      <c r="AA5" s="38">
        <f>IF((Q5=""),0,ROUND(((((((ROUNDDOWN((Q5/5),0)*Settings!$F$3)+(R5*Settings!$I$3))+(S5*Settings!$F$4))+(ROUNDDOWN((T5/5),0)*Settings!$F$7))+(U5*Settings!$I$7))+(V5*Settings!$F$15)),1))</f>
        <v>423.2</v>
      </c>
      <c r="AB5" s="66">
        <f>ROUND((((Y5*Settings!$B$21)+(Z5*Settings!$B$22))+(AA5*Settings!$B$23)),1)</f>
        <v>421.9</v>
      </c>
      <c r="AC5" s="66">
        <f>IF(ISERROR(VLOOKUP(RANK(AB5,$AB$4:$AB$102),AC$4:AC4,1,0)),RANK(AB5,$AB$4:$AB$102),IF(ISERROR(VLOOKUP((RANK(AB5,$AB$4:$AB$102)+1),AC$4:AC4,1,0)),(RANK(AB5,$AB$4:$AB$102)+1),IF(ISERROR(VLOOKUP((RANK(AB5,$AB$4:$AB$102)+2),AC$4:AC4,1,0)),(RANK(AB5,$AB$4:$AB$102)+2),(RANK(AB5,$AB$4:$AB$102)+3))))</f>
        <v>2</v>
      </c>
      <c r="AD5" t="str">
        <f t="shared" si="2"/>
        <v>Aaron Rodgers</v>
      </c>
    </row>
    <row r="6" spans="1:30" ht="12.75" customHeight="1">
      <c r="A6" s="33" t="str">
        <f>ESPNData!B5</f>
        <v>Drew Brees, NO QB</v>
      </c>
      <c r="B6" s="33" t="str">
        <f t="shared" si="0"/>
        <v>Drew Brees</v>
      </c>
      <c r="C6" s="64" t="str">
        <f t="shared" si="1"/>
        <v>NO</v>
      </c>
      <c r="D6" s="117">
        <f>IF(ISERROR(VLOOKUP($B6,FFTodayData!$B:$M,4,0)),"",VLOOKUP($B6,FFTodayData!$B:$M,4,0))</f>
        <v>422</v>
      </c>
      <c r="E6" s="33">
        <f>IF(ISERROR(VLOOKUP($B6,FFTodayData!$B:$M,6,0)),"",VLOOKUP($B6,FFTodayData!$B:$M,6,0))</f>
        <v>4988</v>
      </c>
      <c r="F6" s="33">
        <f>IF(ISERROR(VLOOKUP($B6,FFTodayData!$B:$M,7,0)),"",VLOOKUP($B6,FFTodayData!$B:$M,7,0))</f>
        <v>40</v>
      </c>
      <c r="G6" s="33">
        <f>IF(ISERROR(VLOOKUP($B6,FFTodayData!$B:$M,8,0)),"",VLOOKUP($B6,FFTodayData!$B:$M,8,0))</f>
        <v>13</v>
      </c>
      <c r="H6" s="33">
        <f>IF(ISERROR(VLOOKUP($B6,FFTodayData!$B:$M,10,0)),"",VLOOKUP($B6,FFTodayData!$B:$M,10,0))</f>
        <v>39</v>
      </c>
      <c r="I6" s="64">
        <f>IF(ISERROR(VLOOKUP($B6,FFTodayData!$B:$M,11,0)),"",VLOOKUP($B6,FFTodayData!$B:$M,11,0))</f>
        <v>0</v>
      </c>
      <c r="J6" s="117">
        <f>VALUE(IF(ISERROR(VLOOKUP($A6,ESPNData!$B:$O,4,0)),"",IF((VLOOKUP($A6,ESPNData!$B:$O,4,0)="--/--"),0,LEFT(VLOOKUP($A6,ESPNData!$B:$O,4,0),(FIND("/",VLOOKUP($A6,ESPNData!$B:$O,4,0))-1)))))</f>
        <v>435</v>
      </c>
      <c r="K6" s="33">
        <f>IF(ISERROR(VLOOKUP($A6,ESPNData!$B:$O,5,0)),"",IF((VLOOKUP($A6,ESPNData!$B:$O,5,0)="--"),0,VLOOKUP($A6,ESPNData!$B:$O,5,0)))</f>
        <v>4880</v>
      </c>
      <c r="L6" s="33">
        <f>IF(ISERROR(VLOOKUP($A6,ESPNData!$B:$O,6,0)),"",IF((VLOOKUP($A6,ESPNData!$B:$O,6,0)="--"),0,VLOOKUP($A6,ESPNData!$B:$O,6,0)))</f>
        <v>39</v>
      </c>
      <c r="M6" s="33">
        <f>IF(ISERROR(VLOOKUP($A6,ESPNData!$B:$O,7,0)),"",IF((VLOOKUP($A6,ESPNData!$B:$O,7,0)="--"),0,VLOOKUP($A6,ESPNData!$B:$O,7,0)))</f>
        <v>15</v>
      </c>
      <c r="N6" s="33">
        <f>IF(ISERROR(VLOOKUP($A6,ESPNData!$B:$O,9,0)),"",IF((VLOOKUP($A6,ESPNData!$B:$O,9,0)="--"),0,VLOOKUP($A6,ESPNData!$B:$O,9,0)))</f>
        <v>64</v>
      </c>
      <c r="O6" s="194">
        <f>IF(ISERROR(VLOOKUP($A6,ESPNData!$B:$O,10,0)),"",IF((VLOOKUP($A6,ESPNData!$B:$O,10,0)="--"),0,VLOOKUP($A6,ESPNData!$B:$O,10,0)))</f>
        <v>1</v>
      </c>
      <c r="P6" s="93">
        <f>IF(ISERROR(VLOOKUP($B6,SportslineData!$A:$O,4,0)),"",ROUND(VLOOKUP($B6,SportslineData!$A:$O,4,0),0))</f>
        <v>426</v>
      </c>
      <c r="Q6" s="33">
        <f>IF(ISERROR(VLOOKUP($B6,SportslineData!$A:$O,5,0)),"",VLOOKUP($B6,SportslineData!$A:$O,5,0))</f>
        <v>5136.5</v>
      </c>
      <c r="R6" s="33">
        <f>IF(ISERROR(VLOOKUP($B6,SportslineData!$A:$O,6,0)),"",ROUND(VLOOKUP($B6,SportslineData!$A:$O,6,0),0))</f>
        <v>39</v>
      </c>
      <c r="S6" s="33">
        <f>IF(ISERROR(VLOOKUP($B6,SportslineData!$A:$O,7,0)),"",ROUND(VLOOKUP($B6,SportslineData!$A:$O,7,0),0))</f>
        <v>14</v>
      </c>
      <c r="T6" s="33">
        <f>IF(ISERROR(VLOOKUP($B6,SportslineData!$A:$O,11,0)),"",VLOOKUP($B6,SportslineData!$A:$O,11,0))</f>
        <v>50.5</v>
      </c>
      <c r="U6" s="33">
        <f>IF(ISERROR(VLOOKUP($B6,SportslineData!$A:$O,13,0)),"",ROUND(VLOOKUP($B6,SportslineData!$A:$O,13,0),0))</f>
        <v>1</v>
      </c>
      <c r="V6" s="64">
        <f>IF(ISERROR(VLOOKUP($B6,SportslineData!$A:$O,14,0)),"",ROUND(VLOOKUP($B6,SportslineData!$A:$O,14,0),0))</f>
        <v>2</v>
      </c>
      <c r="W6" s="117"/>
      <c r="X6" s="33"/>
      <c r="Y6" s="38">
        <f>IF((E6=""),0,ROUND((((((ROUNDDOWN((E6/5),0)*Settings!$F$3)+(F6*Settings!$I$3))+(G6*Settings!$F$4))+(ROUNDDOWN((H6/5),0)*Settings!$F$7))+(I6*Settings!$I$7)),1))</f>
        <v>416.9</v>
      </c>
      <c r="Z6" s="38">
        <f>IF((K6=""),0,ROUND((((((ROUNDDOWN((K6/5),0)*Settings!$F$3)+(L6*Settings!$I$3))+(M6*Settings!$F$4))+(ROUNDDOWN((N6/5),0)*Settings!$F$7))+(O6*Settings!$I$7)),1))</f>
        <v>411.2</v>
      </c>
      <c r="AA6" s="38">
        <f>IF((Q6=""),0,ROUND(((((((ROUNDDOWN((Q6/5),0)*Settings!$F$3)+(R6*Settings!$I$3))+(S6*Settings!$F$4))+(ROUNDDOWN((T6/5),0)*Settings!$F$7))+(U6*Settings!$I$7))+(V6*Settings!$F$15)),1))</f>
        <v>420.4</v>
      </c>
      <c r="AB6" s="66">
        <f>ROUND((((Y6*Settings!$B$21)+(Z6*Settings!$B$22))+(AA6*Settings!$B$23)),1)</f>
        <v>416.2</v>
      </c>
      <c r="AC6" s="66">
        <f>IF(ISERROR(VLOOKUP(RANK(AB6,$AB$4:$AB$102),AC$4:AC5,1,0)),RANK(AB6,$AB$4:$AB$102),IF(ISERROR(VLOOKUP((RANK(AB6,$AB$4:$AB$102)+1),AC$4:AC5,1,0)),(RANK(AB6,$AB$4:$AB$102)+1),IF(ISERROR(VLOOKUP((RANK(AB6,$AB$4:$AB$102)+2),AC$4:AC5,1,0)),(RANK(AB6,$AB$4:$AB$102)+2),(RANK(AB6,$AB$4:$AB$102)+3))))</f>
        <v>3</v>
      </c>
      <c r="AD6" t="str">
        <f t="shared" si="2"/>
        <v>Drew Brees</v>
      </c>
    </row>
    <row r="7" spans="1:30" ht="12.75" customHeight="1">
      <c r="A7" s="33" t="str">
        <f>ESPNData!B6</f>
        <v>Matthew Stafford, Det QB</v>
      </c>
      <c r="B7" s="33" t="str">
        <f t="shared" si="0"/>
        <v>Matthew Stafford</v>
      </c>
      <c r="C7" s="64" t="str">
        <f t="shared" si="1"/>
        <v>DET</v>
      </c>
      <c r="D7" s="117">
        <f>IF(ISERROR(VLOOKUP($B7,FFTodayData!$B:$M,4,0)),"",VLOOKUP($B7,FFTodayData!$B:$M,4,0))</f>
        <v>375</v>
      </c>
      <c r="E7" s="33">
        <f>IF(ISERROR(VLOOKUP($B7,FFTodayData!$B:$M,6,0)),"",VLOOKUP($B7,FFTodayData!$B:$M,6,0))</f>
        <v>4504</v>
      </c>
      <c r="F7" s="33">
        <f>IF(ISERROR(VLOOKUP($B7,FFTodayData!$B:$M,7,0)),"",VLOOKUP($B7,FFTodayData!$B:$M,7,0))</f>
        <v>28</v>
      </c>
      <c r="G7" s="33">
        <f>IF(ISERROR(VLOOKUP($B7,FFTodayData!$B:$M,8,0)),"",VLOOKUP($B7,FFTodayData!$B:$M,8,0))</f>
        <v>16</v>
      </c>
      <c r="H7" s="33">
        <f>IF(ISERROR(VLOOKUP($B7,FFTodayData!$B:$M,10,0)),"",VLOOKUP($B7,FFTodayData!$B:$M,10,0))</f>
        <v>69</v>
      </c>
      <c r="I7" s="64">
        <f>IF(ISERROR(VLOOKUP($B7,FFTodayData!$B:$M,11,0)),"",VLOOKUP($B7,FFTodayData!$B:$M,11,0))</f>
        <v>1</v>
      </c>
      <c r="J7" s="117">
        <f>VALUE(IF(ISERROR(VLOOKUP($A7,ESPNData!$B:$O,4,0)),"",IF((VLOOKUP($A7,ESPNData!$B:$O,4,0)="--/--"),0,LEFT(VLOOKUP($A7,ESPNData!$B:$O,4,0),(FIND("/",VLOOKUP($A7,ESPNData!$B:$O,4,0))-1)))))</f>
        <v>397</v>
      </c>
      <c r="K7" s="33">
        <f>IF(ISERROR(VLOOKUP($A7,ESPNData!$B:$O,5,0)),"",IF((VLOOKUP($A7,ESPNData!$B:$O,5,0)="--"),0,VLOOKUP($A7,ESPNData!$B:$O,5,0)))</f>
        <v>4471</v>
      </c>
      <c r="L7" s="33">
        <f>IF(ISERROR(VLOOKUP($A7,ESPNData!$B:$O,6,0)),"",IF((VLOOKUP($A7,ESPNData!$B:$O,6,0)="--"),0,VLOOKUP($A7,ESPNData!$B:$O,6,0)))</f>
        <v>32</v>
      </c>
      <c r="M7" s="33">
        <f>IF(ISERROR(VLOOKUP($A7,ESPNData!$B:$O,7,0)),"",IF((VLOOKUP($A7,ESPNData!$B:$O,7,0)="--"),0,VLOOKUP($A7,ESPNData!$B:$O,7,0)))</f>
        <v>18</v>
      </c>
      <c r="N7" s="33">
        <f>IF(ISERROR(VLOOKUP($A7,ESPNData!$B:$O,9,0)),"",IF((VLOOKUP($A7,ESPNData!$B:$O,9,0)="--"),0,VLOOKUP($A7,ESPNData!$B:$O,9,0)))</f>
        <v>84</v>
      </c>
      <c r="O7" s="194">
        <f>IF(ISERROR(VLOOKUP($A7,ESPNData!$B:$O,10,0)),"",IF((VLOOKUP($A7,ESPNData!$B:$O,10,0)="--"),0,VLOOKUP($A7,ESPNData!$B:$O,10,0)))</f>
        <v>2</v>
      </c>
      <c r="P7" s="93">
        <f>IF(ISERROR(VLOOKUP($B7,SportslineData!$A:$O,4,0)),"",ROUND(VLOOKUP($B7,SportslineData!$A:$O,4,0),0))</f>
        <v>398</v>
      </c>
      <c r="Q7" s="33">
        <f>IF(ISERROR(VLOOKUP($B7,SportslineData!$A:$O,5,0)),"",VLOOKUP($B7,SportslineData!$A:$O,5,0))</f>
        <v>5025</v>
      </c>
      <c r="R7" s="33">
        <f>IF(ISERROR(VLOOKUP($B7,SportslineData!$A:$O,6,0)),"",ROUND(VLOOKUP($B7,SportslineData!$A:$O,6,0),0))</f>
        <v>37</v>
      </c>
      <c r="S7" s="33">
        <f>IF(ISERROR(VLOOKUP($B7,SportslineData!$A:$O,7,0)),"",ROUND(VLOOKUP($B7,SportslineData!$A:$O,7,0),0))</f>
        <v>17</v>
      </c>
      <c r="T7" s="33">
        <f>IF(ISERROR(VLOOKUP($B7,SportslineData!$A:$O,11,0)),"",VLOOKUP($B7,SportslineData!$A:$O,11,0))</f>
        <v>85.5</v>
      </c>
      <c r="U7" s="33">
        <f>IF(ISERROR(VLOOKUP($B7,SportslineData!$A:$O,13,0)),"",ROUND(VLOOKUP($B7,SportslineData!$A:$O,13,0),0))</f>
        <v>1</v>
      </c>
      <c r="V7" s="64">
        <f>IF(ISERROR(VLOOKUP($B7,SportslineData!$A:$O,14,0)),"",ROUND(VLOOKUP($B7,SportslineData!$A:$O,14,0),0))</f>
        <v>3</v>
      </c>
      <c r="W7" s="117"/>
      <c r="X7" s="33"/>
      <c r="Y7" s="38">
        <f>IF((E7=""),0,ROUND((((((ROUNDDOWN((E7/5),0)*Settings!$F$3)+(F7*Settings!$I$3))+(G7*Settings!$F$4))+(ROUNDDOWN((H7/5),0)*Settings!$F$7))+(I7*Settings!$I$7)),1))</f>
        <v>328.5</v>
      </c>
      <c r="Z7" s="38">
        <f>IF((K7=""),0,ROUND((((((ROUNDDOWN((K7/5),0)*Settings!$F$3)+(L7*Settings!$I$3))+(M7*Settings!$F$4))+(ROUNDDOWN((N7/5),0)*Settings!$F$7))+(O7*Settings!$I$7)),1))</f>
        <v>354.8</v>
      </c>
      <c r="AA7" s="38">
        <f>IF((Q7=""),0,ROUND(((((((ROUNDDOWN((Q7/5),0)*Settings!$F$3)+(R7*Settings!$I$3))+(S7*Settings!$F$4))+(ROUNDDOWN((T7/5),0)*Settings!$F$7))+(U7*Settings!$I$7))+(V7*Settings!$F$15)),1))</f>
        <v>400.5</v>
      </c>
      <c r="AB7" s="66">
        <f>ROUND((((Y7*Settings!$B$21)+(Z7*Settings!$B$22))+(AA7*Settings!$B$23)),1)</f>
        <v>361.7</v>
      </c>
      <c r="AC7" s="66">
        <f>IF(ISERROR(VLOOKUP(RANK(AB7,$AB$4:$AB$102),AC$4:AC6,1,0)),RANK(AB7,$AB$4:$AB$102),IF(ISERROR(VLOOKUP((RANK(AB7,$AB$4:$AB$102)+1),AC$4:AC6,1,0)),(RANK(AB7,$AB$4:$AB$102)+1),IF(ISERROR(VLOOKUP((RANK(AB7,$AB$4:$AB$102)+2),AC$4:AC6,1,0)),(RANK(AB7,$AB$4:$AB$102)+2),(RANK(AB7,$AB$4:$AB$102)+3))))</f>
        <v>4</v>
      </c>
      <c r="AD7" t="str">
        <f t="shared" si="2"/>
        <v>Matthew Stafford</v>
      </c>
    </row>
    <row r="8" spans="1:30" ht="12.75" customHeight="1">
      <c r="A8" s="33" t="str">
        <f>ESPNData!B7</f>
        <v>Cam Newton, Car QB  P</v>
      </c>
      <c r="B8" s="33" t="str">
        <f t="shared" si="0"/>
        <v>Cam Newton</v>
      </c>
      <c r="C8" s="64" t="str">
        <f t="shared" si="1"/>
        <v>CAR</v>
      </c>
      <c r="D8" s="117">
        <f>IF(ISERROR(VLOOKUP($B8,FFTodayData!$B:$M,4,0)),"",VLOOKUP($B8,FFTodayData!$B:$M,4,0))</f>
        <v>275</v>
      </c>
      <c r="E8" s="33">
        <f>IF(ISERROR(VLOOKUP($B8,FFTodayData!$B:$M,6,0)),"",VLOOKUP($B8,FFTodayData!$B:$M,6,0))</f>
        <v>3350</v>
      </c>
      <c r="F8" s="33">
        <f>IF(ISERROR(VLOOKUP($B8,FFTodayData!$B:$M,7,0)),"",VLOOKUP($B8,FFTodayData!$B:$M,7,0))</f>
        <v>22</v>
      </c>
      <c r="G8" s="33">
        <f>IF(ISERROR(VLOOKUP($B8,FFTodayData!$B:$M,8,0)),"",VLOOKUP($B8,FFTodayData!$B:$M,8,0))</f>
        <v>13</v>
      </c>
      <c r="H8" s="33">
        <f>IF(ISERROR(VLOOKUP($B8,FFTodayData!$B:$M,10,0)),"",VLOOKUP($B8,FFTodayData!$B:$M,10,0))</f>
        <v>672</v>
      </c>
      <c r="I8" s="64">
        <f>IF(ISERROR(VLOOKUP($B8,FFTodayData!$B:$M,11,0)),"",VLOOKUP($B8,FFTodayData!$B:$M,11,0))</f>
        <v>7</v>
      </c>
      <c r="J8" s="117">
        <f>VALUE(IF(ISERROR(VLOOKUP($A8,ESPNData!$B:$O,4,0)),"",IF((VLOOKUP($A8,ESPNData!$B:$O,4,0)="--/--"),0,LEFT(VLOOKUP($A8,ESPNData!$B:$O,4,0),(FIND("/",VLOOKUP($A8,ESPNData!$B:$O,4,0))-1)))))</f>
        <v>276</v>
      </c>
      <c r="K8" s="33">
        <f>IF(ISERROR(VLOOKUP($A8,ESPNData!$B:$O,5,0)),"",IF((VLOOKUP($A8,ESPNData!$B:$O,5,0)="--"),0,VLOOKUP($A8,ESPNData!$B:$O,5,0)))</f>
        <v>3365</v>
      </c>
      <c r="L8" s="33">
        <f>IF(ISERROR(VLOOKUP($A8,ESPNData!$B:$O,6,0)),"",IF((VLOOKUP($A8,ESPNData!$B:$O,6,0)="--"),0,VLOOKUP($A8,ESPNData!$B:$O,6,0)))</f>
        <v>20</v>
      </c>
      <c r="M8" s="33">
        <f>IF(ISERROR(VLOOKUP($A8,ESPNData!$B:$O,7,0)),"",IF((VLOOKUP($A8,ESPNData!$B:$O,7,0)="--"),0,VLOOKUP($A8,ESPNData!$B:$O,7,0)))</f>
        <v>15</v>
      </c>
      <c r="N8" s="33">
        <f>IF(ISERROR(VLOOKUP($A8,ESPNData!$B:$O,9,0)),"",IF((VLOOKUP($A8,ESPNData!$B:$O,9,0)="--"),0,VLOOKUP($A8,ESPNData!$B:$O,9,0)))</f>
        <v>637</v>
      </c>
      <c r="O8" s="194">
        <f>IF(ISERROR(VLOOKUP($A8,ESPNData!$B:$O,10,0)),"",IF((VLOOKUP($A8,ESPNData!$B:$O,10,0)="--"),0,VLOOKUP($A8,ESPNData!$B:$O,10,0)))</f>
        <v>8</v>
      </c>
      <c r="P8" s="93">
        <f>IF(ISERROR(VLOOKUP($B8,SportslineData!$A:$O,4,0)),"",ROUND(VLOOKUP($B8,SportslineData!$A:$O,4,0),0))</f>
        <v>304</v>
      </c>
      <c r="Q8" s="33">
        <f>IF(ISERROR(VLOOKUP($B8,SportslineData!$A:$O,5,0)),"",VLOOKUP($B8,SportslineData!$A:$O,5,0))</f>
        <v>3785.5</v>
      </c>
      <c r="R8" s="33">
        <f>IF(ISERROR(VLOOKUP($B8,SportslineData!$A:$O,6,0)),"",ROUND(VLOOKUP($B8,SportslineData!$A:$O,6,0),0))</f>
        <v>23</v>
      </c>
      <c r="S8" s="33">
        <f>IF(ISERROR(VLOOKUP($B8,SportslineData!$A:$O,7,0)),"",ROUND(VLOOKUP($B8,SportslineData!$A:$O,7,0),0))</f>
        <v>15</v>
      </c>
      <c r="T8" s="33">
        <f>IF(ISERROR(VLOOKUP($B8,SportslineData!$A:$O,11,0)),"",VLOOKUP($B8,SportslineData!$A:$O,11,0))</f>
        <v>521</v>
      </c>
      <c r="U8" s="33">
        <f>IF(ISERROR(VLOOKUP($B8,SportslineData!$A:$O,13,0)),"",ROUND(VLOOKUP($B8,SportslineData!$A:$O,13,0),0))</f>
        <v>6</v>
      </c>
      <c r="V8" s="64">
        <f>IF(ISERROR(VLOOKUP($B8,SportslineData!$A:$O,14,0)),"",ROUND(VLOOKUP($B8,SportslineData!$A:$O,14,0),0))</f>
        <v>3</v>
      </c>
      <c r="W8" s="117"/>
      <c r="X8" s="33"/>
      <c r="Y8" s="38">
        <f>IF((E8=""),0,ROUND((((((ROUNDDOWN((E8/5),0)*Settings!$F$3)+(F8*Settings!$I$3))+(G8*Settings!$F$4))+(ROUNDDOWN((H8/5),0)*Settings!$F$7))+(I8*Settings!$I$7)),1))</f>
        <v>349</v>
      </c>
      <c r="Z8" s="38">
        <f>IF((K8=""),0,ROUND((((((ROUNDDOWN((K8/5),0)*Settings!$F$3)+(L8*Settings!$I$3))+(M8*Settings!$F$4))+(ROUNDDOWN((N8/5),0)*Settings!$F$7))+(O8*Settings!$I$7)),1))</f>
        <v>336.1</v>
      </c>
      <c r="AA8" s="38">
        <f>IF((Q8=""),0,ROUND(((((((ROUNDDOWN((Q8/5),0)*Settings!$F$3)+(R8*Settings!$I$3))+(S8*Settings!$F$4))+(ROUNDDOWN((T8/5),0)*Settings!$F$7))+(U8*Settings!$I$7))+(V8*Settings!$F$15)),1))</f>
        <v>344.4</v>
      </c>
      <c r="AB8" s="66">
        <f>ROUND((((Y8*Settings!$B$21)+(Z8*Settings!$B$22))+(AA8*Settings!$B$23)),1)</f>
        <v>343.2</v>
      </c>
      <c r="AC8" s="66">
        <f>IF(ISERROR(VLOOKUP(RANK(AB8,$AB$4:$AB$102),AC$4:AC7,1,0)),RANK(AB8,$AB$4:$AB$102),IF(ISERROR(VLOOKUP((RANK(AB8,$AB$4:$AB$102)+1),AC$4:AC7,1,0)),(RANK(AB8,$AB$4:$AB$102)+1),IF(ISERROR(VLOOKUP((RANK(AB8,$AB$4:$AB$102)+2),AC$4:AC7,1,0)),(RANK(AB8,$AB$4:$AB$102)+2),(RANK(AB8,$AB$4:$AB$102)+3))))</f>
        <v>7</v>
      </c>
      <c r="AD8" t="str">
        <f t="shared" si="2"/>
        <v>Cam Newton</v>
      </c>
    </row>
    <row r="9" spans="1:30" ht="12.75" customHeight="1">
      <c r="A9" s="33" t="str">
        <f>ESPNData!B8</f>
        <v>Andrew Luck, Ind QB</v>
      </c>
      <c r="B9" s="33" t="str">
        <f t="shared" si="0"/>
        <v>Andrew Luck</v>
      </c>
      <c r="C9" s="64" t="str">
        <f t="shared" si="1"/>
        <v>IND</v>
      </c>
      <c r="D9" s="117">
        <f>IF(ISERROR(VLOOKUP($B9,FFTodayData!$B:$M,4,0)),"",VLOOKUP($B9,FFTodayData!$B:$M,4,0))</f>
        <v>360</v>
      </c>
      <c r="E9" s="33">
        <f>IF(ISERROR(VLOOKUP($B9,FFTodayData!$B:$M,6,0)),"",VLOOKUP($B9,FFTodayData!$B:$M,6,0))</f>
        <v>4255</v>
      </c>
      <c r="F9" s="33">
        <f>IF(ISERROR(VLOOKUP($B9,FFTodayData!$B:$M,7,0)),"",VLOOKUP($B9,FFTodayData!$B:$M,7,0))</f>
        <v>25</v>
      </c>
      <c r="G9" s="33">
        <f>IF(ISERROR(VLOOKUP($B9,FFTodayData!$B:$M,8,0)),"",VLOOKUP($B9,FFTodayData!$B:$M,8,0))</f>
        <v>12</v>
      </c>
      <c r="H9" s="33">
        <f>IF(ISERROR(VLOOKUP($B9,FFTodayData!$B:$M,10,0)),"",VLOOKUP($B9,FFTodayData!$B:$M,10,0))</f>
        <v>299</v>
      </c>
      <c r="I9" s="64">
        <f>IF(ISERROR(VLOOKUP($B9,FFTodayData!$B:$M,11,0)),"",VLOOKUP($B9,FFTodayData!$B:$M,11,0))</f>
        <v>3</v>
      </c>
      <c r="J9" s="117">
        <f>VALUE(IF(ISERROR(VLOOKUP($A9,ESPNData!$B:$O,4,0)),"",IF((VLOOKUP($A9,ESPNData!$B:$O,4,0)="--/--"),0,LEFT(VLOOKUP($A9,ESPNData!$B:$O,4,0),(FIND("/",VLOOKUP($A9,ESPNData!$B:$O,4,0))-1)))))</f>
        <v>357</v>
      </c>
      <c r="K9" s="33">
        <f>IF(ISERROR(VLOOKUP($A9,ESPNData!$B:$O,5,0)),"",IF((VLOOKUP($A9,ESPNData!$B:$O,5,0)="--"),0,VLOOKUP($A9,ESPNData!$B:$O,5,0)))</f>
        <v>4071</v>
      </c>
      <c r="L9" s="33">
        <f>IF(ISERROR(VLOOKUP($A9,ESPNData!$B:$O,6,0)),"",IF((VLOOKUP($A9,ESPNData!$B:$O,6,0)="--"),0,VLOOKUP($A9,ESPNData!$B:$O,6,0)))</f>
        <v>23</v>
      </c>
      <c r="M9" s="33">
        <f>IF(ISERROR(VLOOKUP($A9,ESPNData!$B:$O,7,0)),"",IF((VLOOKUP($A9,ESPNData!$B:$O,7,0)="--"),0,VLOOKUP($A9,ESPNData!$B:$O,7,0)))</f>
        <v>10</v>
      </c>
      <c r="N9" s="33">
        <f>IF(ISERROR(VLOOKUP($A9,ESPNData!$B:$O,9,0)),"",IF((VLOOKUP($A9,ESPNData!$B:$O,9,0)="--"),0,VLOOKUP($A9,ESPNData!$B:$O,9,0)))</f>
        <v>365</v>
      </c>
      <c r="O9" s="194">
        <f>IF(ISERROR(VLOOKUP($A9,ESPNData!$B:$O,10,0)),"",IF((VLOOKUP($A9,ESPNData!$B:$O,10,0)="--"),0,VLOOKUP($A9,ESPNData!$B:$O,10,0)))</f>
        <v>3</v>
      </c>
      <c r="P9" s="93">
        <f>IF(ISERROR(VLOOKUP($B9,SportslineData!$A:$O,4,0)),"",ROUND(VLOOKUP($B9,SportslineData!$A:$O,4,0),0))</f>
        <v>359</v>
      </c>
      <c r="Q9" s="33">
        <f>IF(ISERROR(VLOOKUP($B9,SportslineData!$A:$O,5,0)),"",VLOOKUP($B9,SportslineData!$A:$O,5,0))</f>
        <v>4270.5</v>
      </c>
      <c r="R9" s="33">
        <f>IF(ISERROR(VLOOKUP($B9,SportslineData!$A:$O,6,0)),"",ROUND(VLOOKUP($B9,SportslineData!$A:$O,6,0),0))</f>
        <v>28</v>
      </c>
      <c r="S9" s="33">
        <f>IF(ISERROR(VLOOKUP($B9,SportslineData!$A:$O,7,0)),"",ROUND(VLOOKUP($B9,SportslineData!$A:$O,7,0),0))</f>
        <v>12</v>
      </c>
      <c r="T9" s="33">
        <f>IF(ISERROR(VLOOKUP($B9,SportslineData!$A:$O,11,0)),"",VLOOKUP($B9,SportslineData!$A:$O,11,0))</f>
        <v>306.5</v>
      </c>
      <c r="U9" s="33">
        <f>IF(ISERROR(VLOOKUP($B9,SportslineData!$A:$O,13,0)),"",ROUND(VLOOKUP($B9,SportslineData!$A:$O,13,0),0))</f>
        <v>4</v>
      </c>
      <c r="V9" s="64">
        <f>IF(ISERROR(VLOOKUP($B9,SportslineData!$A:$O,14,0)),"",ROUND(VLOOKUP($B9,SportslineData!$A:$O,14,0),0))</f>
        <v>3</v>
      </c>
      <c r="W9" s="117"/>
      <c r="X9" s="33"/>
      <c r="Y9" s="38">
        <f>IF((E9=""),0,ROUND((((((ROUNDDOWN((E9/5),0)*Settings!$F$3)+(F9*Settings!$I$3))+(G9*Settings!$F$4))+(ROUNDDOWN((H9/5),0)*Settings!$F$7))+(I9*Settings!$I$7)),1))</f>
        <v>343.7</v>
      </c>
      <c r="Z9" s="38">
        <f>IF((K9=""),0,ROUND((((((ROUNDDOWN((K9/5),0)*Settings!$F$3)+(L9*Settings!$I$3))+(M9*Settings!$F$4))+(ROUNDDOWN((N9/5),0)*Settings!$F$7))+(O9*Settings!$I$7)),1))</f>
        <v>335.3</v>
      </c>
      <c r="AA9" s="38">
        <f>IF((Q9=""),0,ROUND(((((((ROUNDDOWN((Q9/5),0)*Settings!$F$3)+(R9*Settings!$I$3))+(S9*Settings!$F$4))+(ROUNDDOWN((T9/5),0)*Settings!$F$7))+(U9*Settings!$I$7))+(V9*Settings!$F$15)),1))</f>
        <v>366.3</v>
      </c>
      <c r="AB9" s="66">
        <f>ROUND((((Y9*Settings!$B$21)+(Z9*Settings!$B$22))+(AA9*Settings!$B$23)),1)</f>
        <v>348.6</v>
      </c>
      <c r="AC9" s="66">
        <f>IF(ISERROR(VLOOKUP(RANK(AB9,$AB$4:$AB$102),AC$4:AC8,1,0)),RANK(AB9,$AB$4:$AB$102),IF(ISERROR(VLOOKUP((RANK(AB9,$AB$4:$AB$102)+1),AC$4:AC8,1,0)),(RANK(AB9,$AB$4:$AB$102)+1),IF(ISERROR(VLOOKUP((RANK(AB9,$AB$4:$AB$102)+2),AC$4:AC8,1,0)),(RANK(AB9,$AB$4:$AB$102)+2),(RANK(AB9,$AB$4:$AB$102)+3))))</f>
        <v>6</v>
      </c>
      <c r="AD9" t="str">
        <f t="shared" si="2"/>
        <v>Andrew Luck</v>
      </c>
    </row>
    <row r="10" spans="1:30" ht="12.75" customHeight="1">
      <c r="A10" s="33" t="str">
        <f>ESPNData!B9</f>
        <v>Robert Griffin III, Wsh QB  P</v>
      </c>
      <c r="B10" s="33" t="str">
        <f t="shared" si="0"/>
        <v>Robert Griffin III</v>
      </c>
      <c r="C10" s="64" t="str">
        <f t="shared" si="1"/>
        <v>WSH</v>
      </c>
      <c r="D10" s="117">
        <f>IF(ISERROR(VLOOKUP($B10,FFTodayData!$B:$M,4,0)),"",VLOOKUP($B10,FFTodayData!$B:$M,4,0))</f>
        <v>293</v>
      </c>
      <c r="E10" s="33">
        <f>IF(ISERROR(VLOOKUP($B10,FFTodayData!$B:$M,6,0)),"",VLOOKUP($B10,FFTodayData!$B:$M,6,0))</f>
        <v>3642</v>
      </c>
      <c r="F10" s="33">
        <f>IF(ISERROR(VLOOKUP($B10,FFTodayData!$B:$M,7,0)),"",VLOOKUP($B10,FFTodayData!$B:$M,7,0))</f>
        <v>21</v>
      </c>
      <c r="G10" s="33">
        <f>IF(ISERROR(VLOOKUP($B10,FFTodayData!$B:$M,8,0)),"",VLOOKUP($B10,FFTodayData!$B:$M,8,0))</f>
        <v>14</v>
      </c>
      <c r="H10" s="33">
        <f>IF(ISERROR(VLOOKUP($B10,FFTodayData!$B:$M,10,0)),"",VLOOKUP($B10,FFTodayData!$B:$M,10,0))</f>
        <v>572</v>
      </c>
      <c r="I10" s="64">
        <f>IF(ISERROR(VLOOKUP($B10,FFTodayData!$B:$M,11,0)),"",VLOOKUP($B10,FFTodayData!$B:$M,11,0))</f>
        <v>4</v>
      </c>
      <c r="J10" s="117">
        <f>VALUE(IF(ISERROR(VLOOKUP($A10,ESPNData!$B:$O,4,0)),"",IF((VLOOKUP($A10,ESPNData!$B:$O,4,0)="--/--"),0,LEFT(VLOOKUP($A10,ESPNData!$B:$O,4,0),(FIND("/",VLOOKUP($A10,ESPNData!$B:$O,4,0))-1)))))</f>
        <v>294</v>
      </c>
      <c r="K10" s="33">
        <f>IF(ISERROR(VLOOKUP($A10,ESPNData!$B:$O,5,0)),"",IF((VLOOKUP($A10,ESPNData!$B:$O,5,0)="--"),0,VLOOKUP($A10,ESPNData!$B:$O,5,0)))</f>
        <v>3789</v>
      </c>
      <c r="L10" s="33">
        <f>IF(ISERROR(VLOOKUP($A10,ESPNData!$B:$O,6,0)),"",IF((VLOOKUP($A10,ESPNData!$B:$O,6,0)="--"),0,VLOOKUP($A10,ESPNData!$B:$O,6,0)))</f>
        <v>22</v>
      </c>
      <c r="M10" s="33">
        <f>IF(ISERROR(VLOOKUP($A10,ESPNData!$B:$O,7,0)),"",IF((VLOOKUP($A10,ESPNData!$B:$O,7,0)="--"),0,VLOOKUP($A10,ESPNData!$B:$O,7,0)))</f>
        <v>13</v>
      </c>
      <c r="N10" s="33">
        <f>IF(ISERROR(VLOOKUP($A10,ESPNData!$B:$O,9,0)),"",IF((VLOOKUP($A10,ESPNData!$B:$O,9,0)="--"),0,VLOOKUP($A10,ESPNData!$B:$O,9,0)))</f>
        <v>563</v>
      </c>
      <c r="O10" s="194">
        <f>IF(ISERROR(VLOOKUP($A10,ESPNData!$B:$O,10,0)),"",IF((VLOOKUP($A10,ESPNData!$B:$O,10,0)="--"),0,VLOOKUP($A10,ESPNData!$B:$O,10,0)))</f>
        <v>4</v>
      </c>
      <c r="P10" s="93">
        <f>IF(ISERROR(VLOOKUP($B10,SportslineData!$A:$O,4,0)),"",ROUND(VLOOKUP($B10,SportslineData!$A:$O,4,0),0))</f>
        <v>313</v>
      </c>
      <c r="Q10" s="33">
        <f>IF(ISERROR(VLOOKUP($B10,SportslineData!$A:$O,5,0)),"",VLOOKUP($B10,SportslineData!$A:$O,5,0))</f>
        <v>3899</v>
      </c>
      <c r="R10" s="33">
        <f>IF(ISERROR(VLOOKUP($B10,SportslineData!$A:$O,6,0)),"",ROUND(VLOOKUP($B10,SportslineData!$A:$O,6,0),0))</f>
        <v>25</v>
      </c>
      <c r="S10" s="33">
        <f>IF(ISERROR(VLOOKUP($B10,SportslineData!$A:$O,7,0)),"",ROUND(VLOOKUP($B10,SportslineData!$A:$O,7,0),0))</f>
        <v>12</v>
      </c>
      <c r="T10" s="33">
        <f>IF(ISERROR(VLOOKUP($B10,SportslineData!$A:$O,11,0)),"",VLOOKUP($B10,SportslineData!$A:$O,11,0))</f>
        <v>491</v>
      </c>
      <c r="U10" s="33">
        <f>IF(ISERROR(VLOOKUP($B10,SportslineData!$A:$O,13,0)),"",ROUND(VLOOKUP($B10,SportslineData!$A:$O,13,0),0))</f>
        <v>4</v>
      </c>
      <c r="V10" s="64">
        <f>IF(ISERROR(VLOOKUP($B10,SportslineData!$A:$O,14,0)),"",ROUND(VLOOKUP($B10,SportslineData!$A:$O,14,0),0))</f>
        <v>3</v>
      </c>
      <c r="W10" s="117"/>
      <c r="X10" s="33"/>
      <c r="Y10" s="38">
        <f>IF((E10=""),0,ROUND((((((ROUNDDOWN((E10/5),0)*Settings!$F$3)+(F10*Settings!$I$3))+(G10*Settings!$F$4))+(ROUNDDOWN((H10/5),0)*Settings!$F$7))+(I10*Settings!$I$7)),1))</f>
        <v>324.60000000000002</v>
      </c>
      <c r="Z10" s="38">
        <f>IF((K10=""),0,ROUND((((((ROUNDDOWN((K10/5),0)*Settings!$F$3)+(L10*Settings!$I$3))+(M10*Settings!$F$4))+(ROUNDDOWN((N10/5),0)*Settings!$F$7))+(O10*Settings!$I$7)),1))</f>
        <v>337.4</v>
      </c>
      <c r="AA10" s="38">
        <f>IF((Q10=""),0,ROUND(((((((ROUNDDOWN((Q10/5),0)*Settings!$F$3)+(R10*Settings!$I$3))+(S10*Settings!$F$4))+(ROUNDDOWN((T10/5),0)*Settings!$F$7))+(U10*Settings!$I$7))+(V10*Settings!$F$15)),1))</f>
        <v>351.8</v>
      </c>
      <c r="AB10" s="66">
        <f>ROUND((((Y10*Settings!$B$21)+(Z10*Settings!$B$22))+(AA10*Settings!$B$23)),1)</f>
        <v>338.1</v>
      </c>
      <c r="AC10" s="66">
        <f>IF(ISERROR(VLOOKUP(RANK(AB10,$AB$4:$AB$102),AC$4:AC9,1,0)),RANK(AB10,$AB$4:$AB$102),IF(ISERROR(VLOOKUP((RANK(AB10,$AB$4:$AB$102)+1),AC$4:AC9,1,0)),(RANK(AB10,$AB$4:$AB$102)+1),IF(ISERROR(VLOOKUP((RANK(AB10,$AB$4:$AB$102)+2),AC$4:AC9,1,0)),(RANK(AB10,$AB$4:$AB$102)+2),(RANK(AB10,$AB$4:$AB$102)+3))))</f>
        <v>10</v>
      </c>
      <c r="AD10" t="str">
        <f t="shared" si="2"/>
        <v>Robert Griffin III</v>
      </c>
    </row>
    <row r="11" spans="1:30" ht="12.75" customHeight="1">
      <c r="A11" s="33" t="str">
        <f>ESPNData!B10</f>
        <v>Nick Foles, Phi QB</v>
      </c>
      <c r="B11" s="33" t="str">
        <f t="shared" si="0"/>
        <v>Nick Foles</v>
      </c>
      <c r="C11" s="64" t="str">
        <f t="shared" si="1"/>
        <v>PHI</v>
      </c>
      <c r="D11" s="117">
        <f>IF(ISERROR(VLOOKUP($B11,FFTodayData!$B:$M,4,0)),"",VLOOKUP($B11,FFTodayData!$B:$M,4,0))</f>
        <v>333</v>
      </c>
      <c r="E11" s="33">
        <f>IF(ISERROR(VLOOKUP($B11,FFTodayData!$B:$M,6,0)),"",VLOOKUP($B11,FFTodayData!$B:$M,6,0))</f>
        <v>4175</v>
      </c>
      <c r="F11" s="33">
        <f>IF(ISERROR(VLOOKUP($B11,FFTodayData!$B:$M,7,0)),"",VLOOKUP($B11,FFTodayData!$B:$M,7,0))</f>
        <v>29</v>
      </c>
      <c r="G11" s="33">
        <f>IF(ISERROR(VLOOKUP($B11,FFTodayData!$B:$M,8,0)),"",VLOOKUP($B11,FFTodayData!$B:$M,8,0))</f>
        <v>11</v>
      </c>
      <c r="H11" s="33">
        <f>IF(ISERROR(VLOOKUP($B11,FFTodayData!$B:$M,10,0)),"",VLOOKUP($B11,FFTodayData!$B:$M,10,0))</f>
        <v>313</v>
      </c>
      <c r="I11" s="64">
        <f>IF(ISERROR(VLOOKUP($B11,FFTodayData!$B:$M,11,0)),"",VLOOKUP($B11,FFTodayData!$B:$M,11,0))</f>
        <v>3</v>
      </c>
      <c r="J11" s="117">
        <f>VALUE(IF(ISERROR(VLOOKUP($A11,ESPNData!$B:$O,4,0)),"",IF((VLOOKUP($A11,ESPNData!$B:$O,4,0)="--/--"),0,LEFT(VLOOKUP($A11,ESPNData!$B:$O,4,0),(FIND("/",VLOOKUP($A11,ESPNData!$B:$O,4,0))-1)))))</f>
        <v>299</v>
      </c>
      <c r="K11" s="33">
        <f>IF(ISERROR(VLOOKUP($A11,ESPNData!$B:$O,5,0)),"",IF((VLOOKUP($A11,ESPNData!$B:$O,5,0)="--"),0,VLOOKUP($A11,ESPNData!$B:$O,5,0)))</f>
        <v>3969</v>
      </c>
      <c r="L11" s="33">
        <f>IF(ISERROR(VLOOKUP($A11,ESPNData!$B:$O,6,0)),"",IF((VLOOKUP($A11,ESPNData!$B:$O,6,0)="--"),0,VLOOKUP($A11,ESPNData!$B:$O,6,0)))</f>
        <v>26</v>
      </c>
      <c r="M11" s="33">
        <f>IF(ISERROR(VLOOKUP($A11,ESPNData!$B:$O,7,0)),"",IF((VLOOKUP($A11,ESPNData!$B:$O,7,0)="--"),0,VLOOKUP($A11,ESPNData!$B:$O,7,0)))</f>
        <v>11</v>
      </c>
      <c r="N11" s="33">
        <f>IF(ISERROR(VLOOKUP($A11,ESPNData!$B:$O,9,0)),"",IF((VLOOKUP($A11,ESPNData!$B:$O,9,0)="--"),0,VLOOKUP($A11,ESPNData!$B:$O,9,0)))</f>
        <v>273</v>
      </c>
      <c r="O11" s="194">
        <f>IF(ISERROR(VLOOKUP($A11,ESPNData!$B:$O,10,0)),"",IF((VLOOKUP($A11,ESPNData!$B:$O,10,0)="--"),0,VLOOKUP($A11,ESPNData!$B:$O,10,0)))</f>
        <v>3</v>
      </c>
      <c r="P11" s="93">
        <f>IF(ISERROR(VLOOKUP($B11,SportslineData!$A:$O,4,0)),"",ROUND(VLOOKUP($B11,SportslineData!$A:$O,4,0),0))</f>
        <v>367</v>
      </c>
      <c r="Q11" s="33">
        <f>IF(ISERROR(VLOOKUP($B11,SportslineData!$A:$O,5,0)),"",VLOOKUP($B11,SportslineData!$A:$O,5,0))</f>
        <v>4512.5</v>
      </c>
      <c r="R11" s="33">
        <f>IF(ISERROR(VLOOKUP($B11,SportslineData!$A:$O,6,0)),"",ROUND(VLOOKUP($B11,SportslineData!$A:$O,6,0),0))</f>
        <v>31</v>
      </c>
      <c r="S11" s="33">
        <f>IF(ISERROR(VLOOKUP($B11,SportslineData!$A:$O,7,0)),"",ROUND(VLOOKUP($B11,SportslineData!$A:$O,7,0),0))</f>
        <v>14</v>
      </c>
      <c r="T11" s="33">
        <f>IF(ISERROR(VLOOKUP($B11,SportslineData!$A:$O,11,0)),"",VLOOKUP($B11,SportslineData!$A:$O,11,0))</f>
        <v>205</v>
      </c>
      <c r="U11" s="33">
        <f>IF(ISERROR(VLOOKUP($B11,SportslineData!$A:$O,13,0)),"",ROUND(VLOOKUP($B11,SportslineData!$A:$O,13,0),0))</f>
        <v>2</v>
      </c>
      <c r="V11" s="64">
        <f>IF(ISERROR(VLOOKUP($B11,SportslineData!$A:$O,14,0)),"",ROUND(VLOOKUP($B11,SportslineData!$A:$O,14,0),0))</f>
        <v>3</v>
      </c>
      <c r="W11" s="117"/>
      <c r="X11" s="33"/>
      <c r="Y11" s="38">
        <f>IF((E11=""),0,ROUND((((((ROUNDDOWN((E11/5),0)*Settings!$F$3)+(F11*Settings!$I$3))+(G11*Settings!$F$4))+(ROUNDDOWN((H11/5),0)*Settings!$F$7))+(I11*Settings!$I$7)),1))</f>
        <v>368</v>
      </c>
      <c r="Z11" s="38">
        <f>IF((K11=""),0,ROUND((((((ROUNDDOWN((K11/5),0)*Settings!$F$3)+(L11*Settings!$I$3))+(M11*Settings!$F$4))+(ROUNDDOWN((N11/5),0)*Settings!$F$7))+(O11*Settings!$I$7)),1))</f>
        <v>337.6</v>
      </c>
      <c r="AA11" s="38">
        <f>IF((Q11=""),0,ROUND(((((((ROUNDDOWN((Q11/5),0)*Settings!$F$3)+(R11*Settings!$I$3))+(S11*Settings!$F$4))+(ROUNDDOWN((T11/5),0)*Settings!$F$7))+(U11*Settings!$I$7))+(V11*Settings!$F$15)),1))</f>
        <v>367.9</v>
      </c>
      <c r="AB11" s="66">
        <f>ROUND((((Y11*Settings!$B$21)+(Z11*Settings!$B$22))+(AA11*Settings!$B$23)),1)</f>
        <v>357.9</v>
      </c>
      <c r="AC11" s="66">
        <f>IF(ISERROR(VLOOKUP(RANK(AB11,$AB$4:$AB$102),AC$4:AC10,1,0)),RANK(AB11,$AB$4:$AB$102),IF(ISERROR(VLOOKUP((RANK(AB11,$AB$4:$AB$102)+1),AC$4:AC10,1,0)),(RANK(AB11,$AB$4:$AB$102)+1),IF(ISERROR(VLOOKUP((RANK(AB11,$AB$4:$AB$102)+2),AC$4:AC10,1,0)),(RANK(AB11,$AB$4:$AB$102)+2),(RANK(AB11,$AB$4:$AB$102)+3))))</f>
        <v>5</v>
      </c>
      <c r="AD11" t="str">
        <f t="shared" si="2"/>
        <v>Nick Foles</v>
      </c>
    </row>
    <row r="12" spans="1:30" ht="12.75" customHeight="1">
      <c r="A12" s="33" t="str">
        <f>ESPNData!B11</f>
        <v>Colin Kaepernick, SF QB</v>
      </c>
      <c r="B12" s="33" t="str">
        <f t="shared" si="0"/>
        <v>Colin Kaepernick</v>
      </c>
      <c r="C12" s="64" t="str">
        <f t="shared" si="1"/>
        <v>SF</v>
      </c>
      <c r="D12" s="117">
        <f>IF(ISERROR(VLOOKUP($B12,FFTodayData!$B:$M,4,0)),"",VLOOKUP($B12,FFTodayData!$B:$M,4,0))</f>
        <v>280</v>
      </c>
      <c r="E12" s="33">
        <f>IF(ISERROR(VLOOKUP($B12,FFTodayData!$B:$M,6,0)),"",VLOOKUP($B12,FFTodayData!$B:$M,6,0))</f>
        <v>3558</v>
      </c>
      <c r="F12" s="33">
        <f>IF(ISERROR(VLOOKUP($B12,FFTodayData!$B:$M,7,0)),"",VLOOKUP($B12,FFTodayData!$B:$M,7,0))</f>
        <v>23</v>
      </c>
      <c r="G12" s="33">
        <f>IF(ISERROR(VLOOKUP($B12,FFTodayData!$B:$M,8,0)),"",VLOOKUP($B12,FFTodayData!$B:$M,8,0))</f>
        <v>11</v>
      </c>
      <c r="H12" s="33">
        <f>IF(ISERROR(VLOOKUP($B12,FFTodayData!$B:$M,10,0)),"",VLOOKUP($B12,FFTodayData!$B:$M,10,0))</f>
        <v>549</v>
      </c>
      <c r="I12" s="64">
        <f>IF(ISERROR(VLOOKUP($B12,FFTodayData!$B:$M,11,0)),"",VLOOKUP($B12,FFTodayData!$B:$M,11,0))</f>
        <v>3</v>
      </c>
      <c r="J12" s="117">
        <f>VALUE(IF(ISERROR(VLOOKUP($A12,ESPNData!$B:$O,4,0)),"",IF((VLOOKUP($A12,ESPNData!$B:$O,4,0)="--/--"),0,LEFT(VLOOKUP($A12,ESPNData!$B:$O,4,0),(FIND("/",VLOOKUP($A12,ESPNData!$B:$O,4,0))-1)))))</f>
        <v>248</v>
      </c>
      <c r="K12" s="33">
        <f>IF(ISERROR(VLOOKUP($A12,ESPNData!$B:$O,5,0)),"",IF((VLOOKUP($A12,ESPNData!$B:$O,5,0)="--"),0,VLOOKUP($A12,ESPNData!$B:$O,5,0)))</f>
        <v>3378</v>
      </c>
      <c r="L12" s="33">
        <f>IF(ISERROR(VLOOKUP($A12,ESPNData!$B:$O,6,0)),"",IF((VLOOKUP($A12,ESPNData!$B:$O,6,0)="--"),0,VLOOKUP($A12,ESPNData!$B:$O,6,0)))</f>
        <v>22</v>
      </c>
      <c r="M12" s="33">
        <f>IF(ISERROR(VLOOKUP($A12,ESPNData!$B:$O,7,0)),"",IF((VLOOKUP($A12,ESPNData!$B:$O,7,0)="--"),0,VLOOKUP($A12,ESPNData!$B:$O,7,0)))</f>
        <v>11</v>
      </c>
      <c r="N12" s="33">
        <f>IF(ISERROR(VLOOKUP($A12,ESPNData!$B:$O,9,0)),"",IF((VLOOKUP($A12,ESPNData!$B:$O,9,0)="--"),0,VLOOKUP($A12,ESPNData!$B:$O,9,0)))</f>
        <v>474</v>
      </c>
      <c r="O12" s="194">
        <f>IF(ISERROR(VLOOKUP($A12,ESPNData!$B:$O,10,0)),"",IF((VLOOKUP($A12,ESPNData!$B:$O,10,0)="--"),0,VLOOKUP($A12,ESPNData!$B:$O,10,0)))</f>
        <v>4</v>
      </c>
      <c r="P12" s="93">
        <f>IF(ISERROR(VLOOKUP($B12,SportslineData!$A:$O,4,0)),"",ROUND(VLOOKUP($B12,SportslineData!$A:$O,4,0),0))</f>
        <v>305</v>
      </c>
      <c r="Q12" s="33">
        <f>IF(ISERROR(VLOOKUP($B12,SportslineData!$A:$O,5,0)),"",VLOOKUP($B12,SportslineData!$A:$O,5,0))</f>
        <v>4046</v>
      </c>
      <c r="R12" s="33">
        <f>IF(ISERROR(VLOOKUP($B12,SportslineData!$A:$O,6,0)),"",ROUND(VLOOKUP($B12,SportslineData!$A:$O,6,0),0))</f>
        <v>27</v>
      </c>
      <c r="S12" s="33">
        <f>IF(ISERROR(VLOOKUP($B12,SportslineData!$A:$O,7,0)),"",ROUND(VLOOKUP($B12,SportslineData!$A:$O,7,0),0))</f>
        <v>10</v>
      </c>
      <c r="T12" s="33">
        <f>IF(ISERROR(VLOOKUP($B12,SportslineData!$A:$O,11,0)),"",VLOOKUP($B12,SportslineData!$A:$O,11,0))</f>
        <v>503</v>
      </c>
      <c r="U12" s="33">
        <f>IF(ISERROR(VLOOKUP($B12,SportslineData!$A:$O,13,0)),"",ROUND(VLOOKUP($B12,SportslineData!$A:$O,13,0),0))</f>
        <v>5</v>
      </c>
      <c r="V12" s="64">
        <f>IF(ISERROR(VLOOKUP($B12,SportslineData!$A:$O,14,0)),"",ROUND(VLOOKUP($B12,SportslineData!$A:$O,14,0),0))</f>
        <v>2</v>
      </c>
      <c r="W12" s="117"/>
      <c r="X12" s="33"/>
      <c r="Y12" s="38">
        <f>IF((E12=""),0,ROUND((((((ROUNDDOWN((E12/5),0)*Settings!$F$3)+(F12*Settings!$I$3))+(G12*Settings!$F$4))+(ROUNDDOWN((H12/5),0)*Settings!$F$7))+(I12*Settings!$I$7)),1))</f>
        <v>330.7</v>
      </c>
      <c r="Z12" s="38">
        <f>IF((K12=""),0,ROUND((((((ROUNDDOWN((K12/5),0)*Settings!$F$3)+(L12*Settings!$I$3))+(M12*Settings!$F$4))+(ROUNDDOWN((N12/5),0)*Settings!$F$7))+(O12*Settings!$I$7)),1))</f>
        <v>316</v>
      </c>
      <c r="AA12" s="38">
        <f>IF((Q12=""),0,ROUND(((((((ROUNDDOWN((Q12/5),0)*Settings!$F$3)+(R12*Settings!$I$3))+(S12*Settings!$F$4))+(ROUNDDOWN((T12/5),0)*Settings!$F$7))+(U12*Settings!$I$7))+(V12*Settings!$F$15)),1))</f>
        <v>381.8</v>
      </c>
      <c r="AB12" s="66">
        <f>ROUND((((Y12*Settings!$B$21)+(Z12*Settings!$B$22))+(AA12*Settings!$B$23)),1)</f>
        <v>343.2</v>
      </c>
      <c r="AC12" s="66">
        <f>IF(ISERROR(VLOOKUP(RANK(AB12,$AB$4:$AB$102),AC$4:AC11,1,0)),RANK(AB12,$AB$4:$AB$102),IF(ISERROR(VLOOKUP((RANK(AB12,$AB$4:$AB$102)+1),AC$4:AC11,1,0)),(RANK(AB12,$AB$4:$AB$102)+1),IF(ISERROR(VLOOKUP((RANK(AB12,$AB$4:$AB$102)+2),AC$4:AC11,1,0)),(RANK(AB12,$AB$4:$AB$102)+2),(RANK(AB12,$AB$4:$AB$102)+3))))</f>
        <v>8</v>
      </c>
      <c r="AD12" t="str">
        <f t="shared" si="2"/>
        <v>Colin Kaepernick</v>
      </c>
    </row>
    <row r="13" spans="1:30" ht="12.75" customHeight="1">
      <c r="A13" s="33" t="str">
        <f>ESPNData!B12</f>
        <v>Russell Wilson, Sea QB</v>
      </c>
      <c r="B13" s="33" t="str">
        <f t="shared" si="0"/>
        <v>Russell Wilson</v>
      </c>
      <c r="C13" s="64" t="str">
        <f t="shared" si="1"/>
        <v>SEA</v>
      </c>
      <c r="D13" s="117">
        <f>IF(ISERROR(VLOOKUP($B13,FFTodayData!$B:$M,4,0)),"",VLOOKUP($B13,FFTodayData!$B:$M,4,0))</f>
        <v>268</v>
      </c>
      <c r="E13" s="33">
        <f>IF(ISERROR(VLOOKUP($B13,FFTodayData!$B:$M,6,0)),"",VLOOKUP($B13,FFTodayData!$B:$M,6,0))</f>
        <v>3401</v>
      </c>
      <c r="F13" s="33">
        <f>IF(ISERROR(VLOOKUP($B13,FFTodayData!$B:$M,7,0)),"",VLOOKUP($B13,FFTodayData!$B:$M,7,0))</f>
        <v>26</v>
      </c>
      <c r="G13" s="33">
        <f>IF(ISERROR(VLOOKUP($B13,FFTodayData!$B:$M,8,0)),"",VLOOKUP($B13,FFTodayData!$B:$M,8,0))</f>
        <v>12</v>
      </c>
      <c r="H13" s="33">
        <f>IF(ISERROR(VLOOKUP($B13,FFTodayData!$B:$M,10,0)),"",VLOOKUP($B13,FFTodayData!$B:$M,10,0))</f>
        <v>501</v>
      </c>
      <c r="I13" s="64">
        <f>IF(ISERROR(VLOOKUP($B13,FFTodayData!$B:$M,11,0)),"",VLOOKUP($B13,FFTodayData!$B:$M,11,0))</f>
        <v>2</v>
      </c>
      <c r="J13" s="117">
        <f>VALUE(IF(ISERROR(VLOOKUP($A13,ESPNData!$B:$O,4,0)),"",IF((VLOOKUP($A13,ESPNData!$B:$O,4,0)="--/--"),0,LEFT(VLOOKUP($A13,ESPNData!$B:$O,4,0),(FIND("/",VLOOKUP($A13,ESPNData!$B:$O,4,0))-1)))))</f>
        <v>257</v>
      </c>
      <c r="K13" s="33">
        <f>IF(ISERROR(VLOOKUP($A13,ESPNData!$B:$O,5,0)),"",IF((VLOOKUP($A13,ESPNData!$B:$O,5,0)="--"),0,VLOOKUP($A13,ESPNData!$B:$O,5,0)))</f>
        <v>3264</v>
      </c>
      <c r="L13" s="33">
        <f>IF(ISERROR(VLOOKUP($A13,ESPNData!$B:$O,6,0)),"",IF((VLOOKUP($A13,ESPNData!$B:$O,6,0)="--"),0,VLOOKUP($A13,ESPNData!$B:$O,6,0)))</f>
        <v>25</v>
      </c>
      <c r="M13" s="33">
        <f>IF(ISERROR(VLOOKUP($A13,ESPNData!$B:$O,7,0)),"",IF((VLOOKUP($A13,ESPNData!$B:$O,7,0)="--"),0,VLOOKUP($A13,ESPNData!$B:$O,7,0)))</f>
        <v>10</v>
      </c>
      <c r="N13" s="33">
        <f>IF(ISERROR(VLOOKUP($A13,ESPNData!$B:$O,9,0)),"",IF((VLOOKUP($A13,ESPNData!$B:$O,9,0)="--"),0,VLOOKUP($A13,ESPNData!$B:$O,9,0)))</f>
        <v>497</v>
      </c>
      <c r="O13" s="194">
        <f>IF(ISERROR(VLOOKUP($A13,ESPNData!$B:$O,10,0)),"",IF((VLOOKUP($A13,ESPNData!$B:$O,10,0)="--"),0,VLOOKUP($A13,ESPNData!$B:$O,10,0)))</f>
        <v>3</v>
      </c>
      <c r="P13" s="93">
        <f>IF(ISERROR(VLOOKUP($B13,SportslineData!$A:$O,4,0)),"",ROUND(VLOOKUP($B13,SportslineData!$A:$O,4,0),0))</f>
        <v>285</v>
      </c>
      <c r="Q13" s="33">
        <f>IF(ISERROR(VLOOKUP($B13,SportslineData!$A:$O,5,0)),"",VLOOKUP($B13,SportslineData!$A:$O,5,0))</f>
        <v>3683</v>
      </c>
      <c r="R13" s="33">
        <f>IF(ISERROR(VLOOKUP($B13,SportslineData!$A:$O,6,0)),"",ROUND(VLOOKUP($B13,SportslineData!$A:$O,6,0),0))</f>
        <v>26</v>
      </c>
      <c r="S13" s="33">
        <f>IF(ISERROR(VLOOKUP($B13,SportslineData!$A:$O,7,0)),"",ROUND(VLOOKUP($B13,SportslineData!$A:$O,7,0),0))</f>
        <v>13</v>
      </c>
      <c r="T13" s="33">
        <f>IF(ISERROR(VLOOKUP($B13,SportslineData!$A:$O,11,0)),"",VLOOKUP($B13,SportslineData!$A:$O,11,0))</f>
        <v>430.5</v>
      </c>
      <c r="U13" s="33">
        <f>IF(ISERROR(VLOOKUP($B13,SportslineData!$A:$O,13,0)),"",ROUND(VLOOKUP($B13,SportslineData!$A:$O,13,0),0))</f>
        <v>3</v>
      </c>
      <c r="V13" s="64">
        <f>IF(ISERROR(VLOOKUP($B13,SportslineData!$A:$O,14,0)),"",ROUND(VLOOKUP($B13,SportslineData!$A:$O,14,0),0))</f>
        <v>4</v>
      </c>
      <c r="W13" s="117"/>
      <c r="X13" s="33"/>
      <c r="Y13" s="38">
        <f>IF((E13=""),0,ROUND((((((ROUNDDOWN((E13/5),0)*Settings!$F$3)+(F13*Settings!$I$3))+(G13*Settings!$F$4))+(ROUNDDOWN((H13/5),0)*Settings!$F$7))+(I13*Settings!$I$7)),1))</f>
        <v>330</v>
      </c>
      <c r="Z13" s="38">
        <f>IF((K13=""),0,ROUND((((((ROUNDDOWN((K13/5),0)*Settings!$F$3)+(L13*Settings!$I$3))+(M13*Settings!$F$4))+(ROUNDDOWN((N13/5),0)*Settings!$F$7))+(O13*Settings!$I$7)),1))</f>
        <v>327.9</v>
      </c>
      <c r="AA13" s="38">
        <f>IF((Q13=""),0,ROUND(((((((ROUNDDOWN((Q13/5),0)*Settings!$F$3)+(R13*Settings!$I$3))+(S13*Settings!$F$4))+(ROUNDDOWN((T13/5),0)*Settings!$F$7))+(U13*Settings!$I$7))+(V13*Settings!$F$15)),1))</f>
        <v>334.2</v>
      </c>
      <c r="AB13" s="66">
        <f>ROUND((((Y13*Settings!$B$21)+(Z13*Settings!$B$22))+(AA13*Settings!$B$23)),1)</f>
        <v>330.7</v>
      </c>
      <c r="AC13" s="66">
        <f>IF(ISERROR(VLOOKUP(RANK(AB13,$AB$4:$AB$102),AC$4:AC12,1,0)),RANK(AB13,$AB$4:$AB$102),IF(ISERROR(VLOOKUP((RANK(AB13,$AB$4:$AB$102)+1),AC$4:AC12,1,0)),(RANK(AB13,$AB$4:$AB$102)+1),IF(ISERROR(VLOOKUP((RANK(AB13,$AB$4:$AB$102)+2),AC$4:AC12,1,0)),(RANK(AB13,$AB$4:$AB$102)+2),(RANK(AB13,$AB$4:$AB$102)+3))))</f>
        <v>13</v>
      </c>
      <c r="AD13" t="str">
        <f t="shared" si="2"/>
        <v>Russell Wilson</v>
      </c>
    </row>
    <row r="14" spans="1:30" ht="12.75" customHeight="1">
      <c r="A14" s="33" t="str">
        <f>ESPNData!B13</f>
        <v>Matt Ryan, Atl QB</v>
      </c>
      <c r="B14" s="33" t="str">
        <f t="shared" si="0"/>
        <v>Matt Ryan</v>
      </c>
      <c r="C14" s="64" t="str">
        <f t="shared" si="1"/>
        <v>ATL</v>
      </c>
      <c r="D14" s="117">
        <f>IF(ISERROR(VLOOKUP($B14,FFTodayData!$B:$M,4,0)),"",VLOOKUP($B14,FFTodayData!$B:$M,4,0))</f>
        <v>421</v>
      </c>
      <c r="E14" s="33">
        <f>IF(ISERROR(VLOOKUP($B14,FFTodayData!$B:$M,6,0)),"",VLOOKUP($B14,FFTodayData!$B:$M,6,0))</f>
        <v>4720</v>
      </c>
      <c r="F14" s="33">
        <f>IF(ISERROR(VLOOKUP($B14,FFTodayData!$B:$M,7,0)),"",VLOOKUP($B14,FFTodayData!$B:$M,7,0))</f>
        <v>28</v>
      </c>
      <c r="G14" s="33">
        <f>IF(ISERROR(VLOOKUP($B14,FFTodayData!$B:$M,8,0)),"",VLOOKUP($B14,FFTodayData!$B:$M,8,0))</f>
        <v>16</v>
      </c>
      <c r="H14" s="33">
        <f>IF(ISERROR(VLOOKUP($B14,FFTodayData!$B:$M,10,0)),"",VLOOKUP($B14,FFTodayData!$B:$M,10,0))</f>
        <v>76</v>
      </c>
      <c r="I14" s="64">
        <f>IF(ISERROR(VLOOKUP($B14,FFTodayData!$B:$M,11,0)),"",VLOOKUP($B14,FFTodayData!$B:$M,11,0))</f>
        <v>1</v>
      </c>
      <c r="J14" s="117">
        <f>VALUE(IF(ISERROR(VLOOKUP($A14,ESPNData!$B:$O,4,0)),"",IF((VLOOKUP($A14,ESPNData!$B:$O,4,0)="--/--"),0,LEFT(VLOOKUP($A14,ESPNData!$B:$O,4,0),(FIND("/",VLOOKUP($A14,ESPNData!$B:$O,4,0))-1)))))</f>
        <v>419</v>
      </c>
      <c r="K14" s="33">
        <f>IF(ISERROR(VLOOKUP($A14,ESPNData!$B:$O,5,0)),"",IF((VLOOKUP($A14,ESPNData!$B:$O,5,0)="--"),0,VLOOKUP($A14,ESPNData!$B:$O,5,0)))</f>
        <v>4377</v>
      </c>
      <c r="L14" s="33">
        <f>IF(ISERROR(VLOOKUP($A14,ESPNData!$B:$O,6,0)),"",IF((VLOOKUP($A14,ESPNData!$B:$O,6,0)="--"),0,VLOOKUP($A14,ESPNData!$B:$O,6,0)))</f>
        <v>28</v>
      </c>
      <c r="M14" s="33">
        <f>IF(ISERROR(VLOOKUP($A14,ESPNData!$B:$O,7,0)),"",IF((VLOOKUP($A14,ESPNData!$B:$O,7,0)="--"),0,VLOOKUP($A14,ESPNData!$B:$O,7,0)))</f>
        <v>14</v>
      </c>
      <c r="N14" s="33">
        <f>IF(ISERROR(VLOOKUP($A14,ESPNData!$B:$O,9,0)),"",IF((VLOOKUP($A14,ESPNData!$B:$O,9,0)="--"),0,VLOOKUP($A14,ESPNData!$B:$O,9,0)))</f>
        <v>86</v>
      </c>
      <c r="O14" s="194">
        <f>IF(ISERROR(VLOOKUP($A14,ESPNData!$B:$O,10,0)),"",IF((VLOOKUP($A14,ESPNData!$B:$O,10,0)="--"),0,VLOOKUP($A14,ESPNData!$B:$O,10,0)))</f>
        <v>0</v>
      </c>
      <c r="P14" s="93">
        <f>IF(ISERROR(VLOOKUP($B14,SportslineData!$A:$O,4,0)),"",ROUND(VLOOKUP($B14,SportslineData!$A:$O,4,0),0))</f>
        <v>422</v>
      </c>
      <c r="Q14" s="33">
        <f>IF(ISERROR(VLOOKUP($B14,SportslineData!$A:$O,5,0)),"",VLOOKUP($B14,SportslineData!$A:$O,5,0))</f>
        <v>4796.5</v>
      </c>
      <c r="R14" s="33">
        <f>IF(ISERROR(VLOOKUP($B14,SportslineData!$A:$O,6,0)),"",ROUND(VLOOKUP($B14,SportslineData!$A:$O,6,0),0))</f>
        <v>32</v>
      </c>
      <c r="S14" s="33">
        <f>IF(ISERROR(VLOOKUP($B14,SportslineData!$A:$O,7,0)),"",ROUND(VLOOKUP($B14,SportslineData!$A:$O,7,0),0))</f>
        <v>14</v>
      </c>
      <c r="T14" s="33">
        <f>IF(ISERROR(VLOOKUP($B14,SportslineData!$A:$O,11,0)),"",VLOOKUP($B14,SportslineData!$A:$O,11,0))</f>
        <v>59.5</v>
      </c>
      <c r="U14" s="33">
        <f>IF(ISERROR(VLOOKUP($B14,SportslineData!$A:$O,13,0)),"",ROUND(VLOOKUP($B14,SportslineData!$A:$O,13,0),0))</f>
        <v>1</v>
      </c>
      <c r="V14" s="64">
        <f>IF(ISERROR(VLOOKUP($B14,SportslineData!$A:$O,14,0)),"",ROUND(VLOOKUP($B14,SportslineData!$A:$O,14,0),0))</f>
        <v>3</v>
      </c>
      <c r="W14" s="117"/>
      <c r="X14" s="33"/>
      <c r="Y14" s="38">
        <f>IF((E14=""),0,ROUND((((((ROUNDDOWN((E14/5),0)*Settings!$F$3)+(F14*Settings!$I$3))+(G14*Settings!$F$4))+(ROUNDDOWN((H14/5),0)*Settings!$F$7))+(I14*Settings!$I$7)),1))</f>
        <v>338.3</v>
      </c>
      <c r="Z14" s="38">
        <f>IF((K14=""),0,ROUND((((((ROUNDDOWN((K14/5),0)*Settings!$F$3)+(L14*Settings!$I$3))+(M14*Settings!$F$4))+(ROUNDDOWN((N14/5),0)*Settings!$F$7))+(O14*Settings!$I$7)),1))</f>
        <v>323.5</v>
      </c>
      <c r="AA14" s="38">
        <f>IF((Q14=""),0,ROUND(((((((ROUNDDOWN((Q14/5),0)*Settings!$F$3)+(R14*Settings!$I$3))+(S14*Settings!$F$4))+(ROUNDDOWN((T14/5),0)*Settings!$F$7))+(U14*Settings!$I$7))+(V14*Settings!$F$15)),1))</f>
        <v>364.3</v>
      </c>
      <c r="AB14" s="66">
        <f>ROUND((((Y14*Settings!$B$21)+(Z14*Settings!$B$22))+(AA14*Settings!$B$23)),1)</f>
        <v>342.3</v>
      </c>
      <c r="AC14" s="66">
        <f>IF(ISERROR(VLOOKUP(RANK(AB14,$AB$4:$AB$102),AC$4:AC13,1,0)),RANK(AB14,$AB$4:$AB$102),IF(ISERROR(VLOOKUP((RANK(AB14,$AB$4:$AB$102)+1),AC$4:AC13,1,0)),(RANK(AB14,$AB$4:$AB$102)+1),IF(ISERROR(VLOOKUP((RANK(AB14,$AB$4:$AB$102)+2),AC$4:AC13,1,0)),(RANK(AB14,$AB$4:$AB$102)+2),(RANK(AB14,$AB$4:$AB$102)+3))))</f>
        <v>9</v>
      </c>
      <c r="AD14" t="str">
        <f t="shared" si="2"/>
        <v>Matt Ryan</v>
      </c>
    </row>
    <row r="15" spans="1:30" ht="12.75" customHeight="1">
      <c r="A15" s="33" t="str">
        <f>ESPNData!B14</f>
        <v>Tom Brady, NE QB</v>
      </c>
      <c r="B15" s="33" t="str">
        <f t="shared" si="0"/>
        <v>Tom Brady</v>
      </c>
      <c r="C15" s="64" t="str">
        <f t="shared" si="1"/>
        <v>NE</v>
      </c>
      <c r="D15" s="117">
        <f>IF(ISERROR(VLOOKUP($B15,FFTodayData!$B:$M,4,0)),"",VLOOKUP($B15,FFTodayData!$B:$M,4,0))</f>
        <v>388</v>
      </c>
      <c r="E15" s="33">
        <f>IF(ISERROR(VLOOKUP($B15,FFTodayData!$B:$M,6,0)),"",VLOOKUP($B15,FFTodayData!$B:$M,6,0))</f>
        <v>4441</v>
      </c>
      <c r="F15" s="33">
        <f>IF(ISERROR(VLOOKUP($B15,FFTodayData!$B:$M,7,0)),"",VLOOKUP($B15,FFTodayData!$B:$M,7,0))</f>
        <v>28</v>
      </c>
      <c r="G15" s="33">
        <f>IF(ISERROR(VLOOKUP($B15,FFTodayData!$B:$M,8,0)),"",VLOOKUP($B15,FFTodayData!$B:$M,8,0))</f>
        <v>12</v>
      </c>
      <c r="H15" s="33">
        <f>IF(ISERROR(VLOOKUP($B15,FFTodayData!$B:$M,10,0)),"",VLOOKUP($B15,FFTodayData!$B:$M,10,0))</f>
        <v>22</v>
      </c>
      <c r="I15" s="64">
        <f>IF(ISERROR(VLOOKUP($B15,FFTodayData!$B:$M,11,0)),"",VLOOKUP($B15,FFTodayData!$B:$M,11,0))</f>
        <v>0</v>
      </c>
      <c r="J15" s="117">
        <f>VALUE(IF(ISERROR(VLOOKUP($A15,ESPNData!$B:$O,4,0)),"",IF((VLOOKUP($A15,ESPNData!$B:$O,4,0)="--/--"),0,LEFT(VLOOKUP($A15,ESPNData!$B:$O,4,0),(FIND("/",VLOOKUP($A15,ESPNData!$B:$O,4,0))-1)))))</f>
        <v>402</v>
      </c>
      <c r="K15" s="33">
        <f>IF(ISERROR(VLOOKUP($A15,ESPNData!$B:$O,5,0)),"",IF((VLOOKUP($A15,ESPNData!$B:$O,5,0)="--"),0,VLOOKUP($A15,ESPNData!$B:$O,5,0)))</f>
        <v>4287</v>
      </c>
      <c r="L15" s="33">
        <f>IF(ISERROR(VLOOKUP($A15,ESPNData!$B:$O,6,0)),"",IF((VLOOKUP($A15,ESPNData!$B:$O,6,0)="--"),0,VLOOKUP($A15,ESPNData!$B:$O,6,0)))</f>
        <v>26</v>
      </c>
      <c r="M15" s="33">
        <f>IF(ISERROR(VLOOKUP($A15,ESPNData!$B:$O,7,0)),"",IF((VLOOKUP($A15,ESPNData!$B:$O,7,0)="--"),0,VLOOKUP($A15,ESPNData!$B:$O,7,0)))</f>
        <v>9</v>
      </c>
      <c r="N15" s="33">
        <f>IF(ISERROR(VLOOKUP($A15,ESPNData!$B:$O,9,0)),"",IF((VLOOKUP($A15,ESPNData!$B:$O,9,0)="--"),0,VLOOKUP($A15,ESPNData!$B:$O,9,0)))</f>
        <v>21</v>
      </c>
      <c r="O15" s="194">
        <f>IF(ISERROR(VLOOKUP($A15,ESPNData!$B:$O,10,0)),"",IF((VLOOKUP($A15,ESPNData!$B:$O,10,0)="--"),0,VLOOKUP($A15,ESPNData!$B:$O,10,0)))</f>
        <v>1</v>
      </c>
      <c r="P15" s="93">
        <f>IF(ISERROR(VLOOKUP($B15,SportslineData!$A:$O,4,0)),"",ROUND(VLOOKUP($B15,SportslineData!$A:$O,4,0),0))</f>
        <v>400</v>
      </c>
      <c r="Q15" s="33">
        <f>IF(ISERROR(VLOOKUP($B15,SportslineData!$A:$O,5,0)),"",VLOOKUP($B15,SportslineData!$A:$O,5,0))</f>
        <v>4655</v>
      </c>
      <c r="R15" s="33">
        <f>IF(ISERROR(VLOOKUP($B15,SportslineData!$A:$O,6,0)),"",ROUND(VLOOKUP($B15,SportslineData!$A:$O,6,0),0))</f>
        <v>33</v>
      </c>
      <c r="S15" s="33">
        <f>IF(ISERROR(VLOOKUP($B15,SportslineData!$A:$O,7,0)),"",ROUND(VLOOKUP($B15,SportslineData!$A:$O,7,0),0))</f>
        <v>13</v>
      </c>
      <c r="T15" s="33">
        <f>IF(ISERROR(VLOOKUP($B15,SportslineData!$A:$O,11,0)),"",VLOOKUP($B15,SportslineData!$A:$O,11,0))</f>
        <v>31.5</v>
      </c>
      <c r="U15" s="33">
        <f>IF(ISERROR(VLOOKUP($B15,SportslineData!$A:$O,13,0)),"",ROUND(VLOOKUP($B15,SportslineData!$A:$O,13,0),0))</f>
        <v>2</v>
      </c>
      <c r="V15" s="64">
        <f>IF(ISERROR(VLOOKUP($B15,SportslineData!$A:$O,14,0)),"",ROUND(VLOOKUP($B15,SportslineData!$A:$O,14,0),0))</f>
        <v>3</v>
      </c>
      <c r="W15" s="117"/>
      <c r="X15" s="33"/>
      <c r="Y15" s="38">
        <f>IF((E15=""),0,ROUND((((((ROUNDDOWN((E15/5),0)*Settings!$F$3)+(F15*Settings!$I$3))+(G15*Settings!$F$4))+(ROUNDDOWN((H15/5),0)*Settings!$F$7))+(I15*Settings!$I$7)),1))</f>
        <v>323.60000000000002</v>
      </c>
      <c r="Z15" s="38">
        <f>IF((K15=""),0,ROUND((((((ROUNDDOWN((K15/5),0)*Settings!$F$3)+(L15*Settings!$I$3))+(M15*Settings!$F$4))+(ROUNDDOWN((N15/5),0)*Settings!$F$7))+(O15*Settings!$I$7)),1))</f>
        <v>317.39999999999998</v>
      </c>
      <c r="AA15" s="38">
        <f>IF((Q15=""),0,ROUND(((((((ROUNDDOWN((Q15/5),0)*Settings!$F$3)+(R15*Settings!$I$3))+(S15*Settings!$F$4))+(ROUNDDOWN((T15/5),0)*Settings!$F$7))+(U15*Settings!$I$7))+(V15*Settings!$F$15)),1))</f>
        <v>370.2</v>
      </c>
      <c r="AB15" s="66">
        <f>ROUND((((Y15*Settings!$B$21)+(Z15*Settings!$B$22))+(AA15*Settings!$B$23)),1)</f>
        <v>337.4</v>
      </c>
      <c r="AC15" s="66">
        <f>IF(ISERROR(VLOOKUP(RANK(AB15,$AB$4:$AB$102),AC$4:AC14,1,0)),RANK(AB15,$AB$4:$AB$102),IF(ISERROR(VLOOKUP((RANK(AB15,$AB$4:$AB$102)+1),AC$4:AC14,1,0)),(RANK(AB15,$AB$4:$AB$102)+1),IF(ISERROR(VLOOKUP((RANK(AB15,$AB$4:$AB$102)+2),AC$4:AC14,1,0)),(RANK(AB15,$AB$4:$AB$102)+2),(RANK(AB15,$AB$4:$AB$102)+3))))</f>
        <v>12</v>
      </c>
      <c r="AD15" t="str">
        <f t="shared" si="2"/>
        <v>Tom Brady</v>
      </c>
    </row>
    <row r="16" spans="1:30" ht="12.75" customHeight="1">
      <c r="A16" s="33" t="str">
        <f>ESPNData!B15</f>
        <v>Tony Romo, Dal QB</v>
      </c>
      <c r="B16" s="33" t="str">
        <f t="shared" si="0"/>
        <v>Tony Romo</v>
      </c>
      <c r="C16" s="64" t="str">
        <f t="shared" si="1"/>
        <v>DAL</v>
      </c>
      <c r="D16" s="117">
        <f>IF(ISERROR(VLOOKUP($B16,FFTodayData!$B:$M,4,0)),"",VLOOKUP($B16,FFTodayData!$B:$M,4,0))</f>
        <v>362</v>
      </c>
      <c r="E16" s="33">
        <f>IF(ISERROR(VLOOKUP($B16,FFTodayData!$B:$M,6,0)),"",VLOOKUP($B16,FFTodayData!$B:$M,6,0))</f>
        <v>4129</v>
      </c>
      <c r="F16" s="33">
        <f>IF(ISERROR(VLOOKUP($B16,FFTodayData!$B:$M,7,0)),"",VLOOKUP($B16,FFTodayData!$B:$M,7,0))</f>
        <v>29</v>
      </c>
      <c r="G16" s="33">
        <f>IF(ISERROR(VLOOKUP($B16,FFTodayData!$B:$M,8,0)),"",VLOOKUP($B16,FFTodayData!$B:$M,8,0))</f>
        <v>14</v>
      </c>
      <c r="H16" s="33">
        <f>IF(ISERROR(VLOOKUP($B16,FFTodayData!$B:$M,10,0)),"",VLOOKUP($B16,FFTodayData!$B:$M,10,0))</f>
        <v>50</v>
      </c>
      <c r="I16" s="64">
        <f>IF(ISERROR(VLOOKUP($B16,FFTodayData!$B:$M,11,0)),"",VLOOKUP($B16,FFTodayData!$B:$M,11,0))</f>
        <v>1</v>
      </c>
      <c r="J16" s="117">
        <f>VALUE(IF(ISERROR(VLOOKUP($A16,ESPNData!$B:$O,4,0)),"",IF((VLOOKUP($A16,ESPNData!$B:$O,4,0)="--/--"),0,LEFT(VLOOKUP($A16,ESPNData!$B:$O,4,0),(FIND("/",VLOOKUP($A16,ESPNData!$B:$O,4,0))-1)))))</f>
        <v>413</v>
      </c>
      <c r="K16" s="33">
        <f>IF(ISERROR(VLOOKUP($A16,ESPNData!$B:$O,5,0)),"",IF((VLOOKUP($A16,ESPNData!$B:$O,5,0)="--"),0,VLOOKUP($A16,ESPNData!$B:$O,5,0)))</f>
        <v>4654</v>
      </c>
      <c r="L16" s="33">
        <f>IF(ISERROR(VLOOKUP($A16,ESPNData!$B:$O,6,0)),"",IF((VLOOKUP($A16,ESPNData!$B:$O,6,0)="--"),0,VLOOKUP($A16,ESPNData!$B:$O,6,0)))</f>
        <v>28</v>
      </c>
      <c r="M16" s="33">
        <f>IF(ISERROR(VLOOKUP($A16,ESPNData!$B:$O,7,0)),"",IF((VLOOKUP($A16,ESPNData!$B:$O,7,0)="--"),0,VLOOKUP($A16,ESPNData!$B:$O,7,0)))</f>
        <v>15</v>
      </c>
      <c r="N16" s="33">
        <f>IF(ISERROR(VLOOKUP($A16,ESPNData!$B:$O,9,0)),"",IF((VLOOKUP($A16,ESPNData!$B:$O,9,0)="--"),0,VLOOKUP($A16,ESPNData!$B:$O,9,0)))</f>
        <v>29</v>
      </c>
      <c r="O16" s="194">
        <f>IF(ISERROR(VLOOKUP($A16,ESPNData!$B:$O,10,0)),"",IF((VLOOKUP($A16,ESPNData!$B:$O,10,0)="--"),0,VLOOKUP($A16,ESPNData!$B:$O,10,0)))</f>
        <v>0</v>
      </c>
      <c r="P16" s="93">
        <f>IF(ISERROR(VLOOKUP($B16,SportslineData!$A:$O,4,0)),"",ROUND(VLOOKUP($B16,SportslineData!$A:$O,4,0),0))</f>
        <v>410</v>
      </c>
      <c r="Q16" s="33">
        <f>IF(ISERROR(VLOOKUP($B16,SportslineData!$A:$O,5,0)),"",VLOOKUP($B16,SportslineData!$A:$O,5,0))</f>
        <v>4619</v>
      </c>
      <c r="R16" s="33">
        <f>IF(ISERROR(VLOOKUP($B16,SportslineData!$A:$O,6,0)),"",ROUND(VLOOKUP($B16,SportslineData!$A:$O,6,0),0))</f>
        <v>34</v>
      </c>
      <c r="S16" s="33">
        <f>IF(ISERROR(VLOOKUP($B16,SportslineData!$A:$O,7,0)),"",ROUND(VLOOKUP($B16,SportslineData!$A:$O,7,0),0))</f>
        <v>16</v>
      </c>
      <c r="T16" s="33">
        <f>IF(ISERROR(VLOOKUP($B16,SportslineData!$A:$O,11,0)),"",VLOOKUP($B16,SportslineData!$A:$O,11,0))</f>
        <v>43.5</v>
      </c>
      <c r="U16" s="33">
        <f>IF(ISERROR(VLOOKUP($B16,SportslineData!$A:$O,13,0)),"",ROUND(VLOOKUP($B16,SportslineData!$A:$O,13,0),0))</f>
        <v>1</v>
      </c>
      <c r="V16" s="64">
        <f>IF(ISERROR(VLOOKUP($B16,SportslineData!$A:$O,14,0)),"",ROUND(VLOOKUP($B16,SportslineData!$A:$O,14,0),0))</f>
        <v>3</v>
      </c>
      <c r="W16" s="117"/>
      <c r="X16" s="33"/>
      <c r="Y16" s="38">
        <f>IF((E16=""),0,ROUND((((((ROUNDDOWN((E16/5),0)*Settings!$F$3)+(F16*Settings!$I$3))+(G16*Settings!$F$4))+(ROUNDDOWN((H16/5),0)*Settings!$F$7))+(I16*Settings!$I$7)),1))</f>
        <v>322</v>
      </c>
      <c r="Z16" s="38">
        <f>IF((K16=""),0,ROUND((((((ROUNDDOWN((K16/5),0)*Settings!$F$3)+(L16*Settings!$I$3))+(M16*Settings!$F$4))+(ROUNDDOWN((N16/5),0)*Settings!$F$7))+(O16*Settings!$I$7)),1))</f>
        <v>326.5</v>
      </c>
      <c r="AA16" s="38">
        <f>IF((Q16=""),0,ROUND(((((((ROUNDDOWN((Q16/5),0)*Settings!$F$3)+(R16*Settings!$I$3))+(S16*Settings!$F$4))+(ROUNDDOWN((T16/5),0)*Settings!$F$7))+(U16*Settings!$I$7))+(V16*Settings!$F$15)),1))</f>
        <v>363.6</v>
      </c>
      <c r="AB16" s="66">
        <f>ROUND((((Y16*Settings!$B$21)+(Z16*Settings!$B$22))+(AA16*Settings!$B$23)),1)</f>
        <v>337.6</v>
      </c>
      <c r="AC16" s="66">
        <f>IF(ISERROR(VLOOKUP(RANK(AB16,$AB$4:$AB$102),AC$4:AC15,1,0)),RANK(AB16,$AB$4:$AB$102),IF(ISERROR(VLOOKUP((RANK(AB16,$AB$4:$AB$102)+1),AC$4:AC15,1,0)),(RANK(AB16,$AB$4:$AB$102)+1),IF(ISERROR(VLOOKUP((RANK(AB16,$AB$4:$AB$102)+2),AC$4:AC15,1,0)),(RANK(AB16,$AB$4:$AB$102)+2),(RANK(AB16,$AB$4:$AB$102)+3))))</f>
        <v>11</v>
      </c>
      <c r="AD16" t="str">
        <f t="shared" si="2"/>
        <v>Tony Romo</v>
      </c>
    </row>
    <row r="17" spans="1:30" ht="12.75" customHeight="1">
      <c r="A17" s="33" t="str">
        <f>ESPNData!B16</f>
        <v>Philip Rivers, SD QB</v>
      </c>
      <c r="B17" s="33" t="str">
        <f t="shared" si="0"/>
        <v>Philip Rivers</v>
      </c>
      <c r="C17" s="64" t="str">
        <f t="shared" si="1"/>
        <v>SD</v>
      </c>
      <c r="D17" s="117">
        <f>IF(ISERROR(VLOOKUP($B17,FFTodayData!$B:$M,4,0)),"",VLOOKUP($B17,FFTodayData!$B:$M,4,0))</f>
        <v>363</v>
      </c>
      <c r="E17" s="33">
        <f>IF(ISERROR(VLOOKUP($B17,FFTodayData!$B:$M,6,0)),"",VLOOKUP($B17,FFTodayData!$B:$M,6,0))</f>
        <v>4259</v>
      </c>
      <c r="F17" s="33">
        <f>IF(ISERROR(VLOOKUP($B17,FFTodayData!$B:$M,7,0)),"",VLOOKUP($B17,FFTodayData!$B:$M,7,0))</f>
        <v>29</v>
      </c>
      <c r="G17" s="33">
        <f>IF(ISERROR(VLOOKUP($B17,FFTodayData!$B:$M,8,0)),"",VLOOKUP($B17,FFTodayData!$B:$M,8,0))</f>
        <v>14</v>
      </c>
      <c r="H17" s="33">
        <f>IF(ISERROR(VLOOKUP($B17,FFTodayData!$B:$M,10,0)),"",VLOOKUP($B17,FFTodayData!$B:$M,10,0))</f>
        <v>49</v>
      </c>
      <c r="I17" s="64">
        <f>IF(ISERROR(VLOOKUP($B17,FFTodayData!$B:$M,11,0)),"",VLOOKUP($B17,FFTodayData!$B:$M,11,0))</f>
        <v>0</v>
      </c>
      <c r="J17" s="117">
        <f>VALUE(IF(ISERROR(VLOOKUP($A17,ESPNData!$B:$O,4,0)),"",IF((VLOOKUP($A17,ESPNData!$B:$O,4,0)="--/--"),0,LEFT(VLOOKUP($A17,ESPNData!$B:$O,4,0),(FIND("/",VLOOKUP($A17,ESPNData!$B:$O,4,0))-1)))))</f>
        <v>364</v>
      </c>
      <c r="K17" s="33">
        <f>IF(ISERROR(VLOOKUP($A17,ESPNData!$B:$O,5,0)),"",IF((VLOOKUP($A17,ESPNData!$B:$O,5,0)="--"),0,VLOOKUP($A17,ESPNData!$B:$O,5,0)))</f>
        <v>4392</v>
      </c>
      <c r="L17" s="33">
        <f>IF(ISERROR(VLOOKUP($A17,ESPNData!$B:$O,6,0)),"",IF((VLOOKUP($A17,ESPNData!$B:$O,6,0)="--"),0,VLOOKUP($A17,ESPNData!$B:$O,6,0)))</f>
        <v>28</v>
      </c>
      <c r="M17" s="33">
        <f>IF(ISERROR(VLOOKUP($A17,ESPNData!$B:$O,7,0)),"",IF((VLOOKUP($A17,ESPNData!$B:$O,7,0)="--"),0,VLOOKUP($A17,ESPNData!$B:$O,7,0)))</f>
        <v>12</v>
      </c>
      <c r="N17" s="33">
        <f>IF(ISERROR(VLOOKUP($A17,ESPNData!$B:$O,9,0)),"",IF((VLOOKUP($A17,ESPNData!$B:$O,9,0)="--"),0,VLOOKUP($A17,ESPNData!$B:$O,9,0)))</f>
        <v>45</v>
      </c>
      <c r="O17" s="194">
        <f>IF(ISERROR(VLOOKUP($A17,ESPNData!$B:$O,10,0)),"",IF((VLOOKUP($A17,ESPNData!$B:$O,10,0)="--"),0,VLOOKUP($A17,ESPNData!$B:$O,10,0)))</f>
        <v>0</v>
      </c>
      <c r="P17" s="93">
        <f>IF(ISERROR(VLOOKUP($B17,SportslineData!$A:$O,4,0)),"",ROUND(VLOOKUP($B17,SportslineData!$A:$O,4,0),0))</f>
        <v>377</v>
      </c>
      <c r="Q17" s="33">
        <f>IF(ISERROR(VLOOKUP($B17,SportslineData!$A:$O,5,0)),"",VLOOKUP($B17,SportslineData!$A:$O,5,0))</f>
        <v>4566.5</v>
      </c>
      <c r="R17" s="33">
        <f>IF(ISERROR(VLOOKUP($B17,SportslineData!$A:$O,6,0)),"",ROUND(VLOOKUP($B17,SportslineData!$A:$O,6,0),0))</f>
        <v>30</v>
      </c>
      <c r="S17" s="33">
        <f>IF(ISERROR(VLOOKUP($B17,SportslineData!$A:$O,7,0)),"",ROUND(VLOOKUP($B17,SportslineData!$A:$O,7,0),0))</f>
        <v>15</v>
      </c>
      <c r="T17" s="33">
        <f>IF(ISERROR(VLOOKUP($B17,SportslineData!$A:$O,11,0)),"",VLOOKUP($B17,SportslineData!$A:$O,11,0))</f>
        <v>56.5</v>
      </c>
      <c r="U17" s="33">
        <f>IF(ISERROR(VLOOKUP($B17,SportslineData!$A:$O,13,0)),"",ROUND(VLOOKUP($B17,SportslineData!$A:$O,13,0),0))</f>
        <v>0</v>
      </c>
      <c r="V17" s="64">
        <f>IF(ISERROR(VLOOKUP($B17,SportslineData!$A:$O,14,0)),"",ROUND(VLOOKUP($B17,SportslineData!$A:$O,14,0),0))</f>
        <v>4</v>
      </c>
      <c r="W17" s="117"/>
      <c r="X17" s="33"/>
      <c r="Y17" s="38">
        <f>IF((E17=""),0,ROUND((((((ROUNDDOWN((E17/5),0)*Settings!$F$3)+(F17*Settings!$I$3))+(G17*Settings!$F$4))+(ROUNDDOWN((H17/5),0)*Settings!$F$7))+(I17*Settings!$I$7)),1))</f>
        <v>320.7</v>
      </c>
      <c r="Z17" s="38">
        <f>IF((K17=""),0,ROUND((((((ROUNDDOWN((K17/5),0)*Settings!$F$3)+(L17*Settings!$I$3))+(M17*Settings!$F$4))+(ROUNDDOWN((N17/5),0)*Settings!$F$7))+(O17*Settings!$I$7)),1))</f>
        <v>324.10000000000002</v>
      </c>
      <c r="AA17" s="38">
        <f>IF((Q17=""),0,ROUND(((((((ROUNDDOWN((Q17/5),0)*Settings!$F$3)+(R17*Settings!$I$3))+(S17*Settings!$F$4))+(ROUNDDOWN((T17/5),0)*Settings!$F$7))+(U17*Settings!$I$7))+(V17*Settings!$F$15)),1))</f>
        <v>334.1</v>
      </c>
      <c r="AB17" s="66">
        <f>ROUND((((Y17*Settings!$B$21)+(Z17*Settings!$B$22))+(AA17*Settings!$B$23)),1)</f>
        <v>326.39999999999998</v>
      </c>
      <c r="AC17" s="66">
        <f>IF(ISERROR(VLOOKUP(RANK(AB17,$AB$4:$AB$102),AC$4:AC16,1,0)),RANK(AB17,$AB$4:$AB$102),IF(ISERROR(VLOOKUP((RANK(AB17,$AB$4:$AB$102)+1),AC$4:AC16,1,0)),(RANK(AB17,$AB$4:$AB$102)+1),IF(ISERROR(VLOOKUP((RANK(AB17,$AB$4:$AB$102)+2),AC$4:AC16,1,0)),(RANK(AB17,$AB$4:$AB$102)+2),(RANK(AB17,$AB$4:$AB$102)+3))))</f>
        <v>14</v>
      </c>
      <c r="AD17" t="str">
        <f t="shared" si="2"/>
        <v>Philip Rivers</v>
      </c>
    </row>
    <row r="18" spans="1:30" ht="12.75" customHeight="1">
      <c r="A18" s="33" t="str">
        <f>ESPNData!B17</f>
        <v>Jay Cutler, Chi QB</v>
      </c>
      <c r="B18" s="33" t="str">
        <f t="shared" si="0"/>
        <v>Jay Cutler</v>
      </c>
      <c r="C18" s="64" t="str">
        <f t="shared" si="1"/>
        <v>CHI</v>
      </c>
      <c r="D18" s="117">
        <f>IF(ISERROR(VLOOKUP($B18,FFTodayData!$B:$M,4,0)),"",VLOOKUP($B18,FFTodayData!$B:$M,4,0))</f>
        <v>327</v>
      </c>
      <c r="E18" s="33">
        <f>IF(ISERROR(VLOOKUP($B18,FFTodayData!$B:$M,6,0)),"",VLOOKUP($B18,FFTodayData!$B:$M,6,0))</f>
        <v>3924</v>
      </c>
      <c r="F18" s="33">
        <f>IF(ISERROR(VLOOKUP($B18,FFTodayData!$B:$M,7,0)),"",VLOOKUP($B18,FFTodayData!$B:$M,7,0))</f>
        <v>27</v>
      </c>
      <c r="G18" s="33">
        <f>IF(ISERROR(VLOOKUP($B18,FFTodayData!$B:$M,8,0)),"",VLOOKUP($B18,FFTodayData!$B:$M,8,0))</f>
        <v>15</v>
      </c>
      <c r="H18" s="33">
        <f>IF(ISERROR(VLOOKUP($B18,FFTodayData!$B:$M,10,0)),"",VLOOKUP($B18,FFTodayData!$B:$M,10,0))</f>
        <v>177</v>
      </c>
      <c r="I18" s="64">
        <f>IF(ISERROR(VLOOKUP($B18,FFTodayData!$B:$M,11,0)),"",VLOOKUP($B18,FFTodayData!$B:$M,11,0))</f>
        <v>1</v>
      </c>
      <c r="J18" s="117">
        <f>VALUE(IF(ISERROR(VLOOKUP($A18,ESPNData!$B:$O,4,0)),"",IF((VLOOKUP($A18,ESPNData!$B:$O,4,0)="--/--"),0,LEFT(VLOOKUP($A18,ESPNData!$B:$O,4,0),(FIND("/",VLOOKUP($A18,ESPNData!$B:$O,4,0))-1)))))</f>
        <v>302</v>
      </c>
      <c r="K18" s="33">
        <f>IF(ISERROR(VLOOKUP($A18,ESPNData!$B:$O,5,0)),"",IF((VLOOKUP($A18,ESPNData!$B:$O,5,0)="--"),0,VLOOKUP($A18,ESPNData!$B:$O,5,0)))</f>
        <v>3653</v>
      </c>
      <c r="L18" s="33">
        <f>IF(ISERROR(VLOOKUP($A18,ESPNData!$B:$O,6,0)),"",IF((VLOOKUP($A18,ESPNData!$B:$O,6,0)="--"),0,VLOOKUP($A18,ESPNData!$B:$O,6,0)))</f>
        <v>28</v>
      </c>
      <c r="M18" s="33">
        <f>IF(ISERROR(VLOOKUP($A18,ESPNData!$B:$O,7,0)),"",IF((VLOOKUP($A18,ESPNData!$B:$O,7,0)="--"),0,VLOOKUP($A18,ESPNData!$B:$O,7,0)))</f>
        <v>16</v>
      </c>
      <c r="N18" s="33">
        <f>IF(ISERROR(VLOOKUP($A18,ESPNData!$B:$O,9,0)),"",IF((VLOOKUP($A18,ESPNData!$B:$O,9,0)="--"),0,VLOOKUP($A18,ESPNData!$B:$O,9,0)))</f>
        <v>196</v>
      </c>
      <c r="O18" s="194">
        <f>IF(ISERROR(VLOOKUP($A18,ESPNData!$B:$O,10,0)),"",IF((VLOOKUP($A18,ESPNData!$B:$O,10,0)="--"),0,VLOOKUP($A18,ESPNData!$B:$O,10,0)))</f>
        <v>1</v>
      </c>
      <c r="P18" s="93">
        <f>IF(ISERROR(VLOOKUP($B18,SportslineData!$A:$O,4,0)),"",ROUND(VLOOKUP($B18,SportslineData!$A:$O,4,0),0))</f>
        <v>356</v>
      </c>
      <c r="Q18" s="33">
        <f>IF(ISERROR(VLOOKUP($B18,SportslineData!$A:$O,5,0)),"",VLOOKUP($B18,SportslineData!$A:$O,5,0))</f>
        <v>4187</v>
      </c>
      <c r="R18" s="33">
        <f>IF(ISERROR(VLOOKUP($B18,SportslineData!$A:$O,6,0)),"",ROUND(VLOOKUP($B18,SportslineData!$A:$O,6,0),0))</f>
        <v>32</v>
      </c>
      <c r="S18" s="33">
        <f>IF(ISERROR(VLOOKUP($B18,SportslineData!$A:$O,7,0)),"",ROUND(VLOOKUP($B18,SportslineData!$A:$O,7,0),0))</f>
        <v>14</v>
      </c>
      <c r="T18" s="33">
        <f>IF(ISERROR(VLOOKUP($B18,SportslineData!$A:$O,11,0)),"",VLOOKUP($B18,SportslineData!$A:$O,11,0))</f>
        <v>143.5</v>
      </c>
      <c r="U18" s="33">
        <f>IF(ISERROR(VLOOKUP($B18,SportslineData!$A:$O,13,0)),"",ROUND(VLOOKUP($B18,SportslineData!$A:$O,13,0),0))</f>
        <v>2</v>
      </c>
      <c r="V18" s="64">
        <f>IF(ISERROR(VLOOKUP($B18,SportslineData!$A:$O,14,0)),"",ROUND(VLOOKUP($B18,SportslineData!$A:$O,14,0),0))</f>
        <v>3</v>
      </c>
      <c r="W18" s="117"/>
      <c r="X18" s="33"/>
      <c r="Y18" s="38">
        <f>IF((E18=""),0,ROUND((((((ROUNDDOWN((E18/5),0)*Settings!$F$3)+(F18*Settings!$I$3))+(G18*Settings!$F$4))+(ROUNDDOWN((H18/5),0)*Settings!$F$7))+(I18*Settings!$I$7)),1))</f>
        <v>312.3</v>
      </c>
      <c r="Z18" s="38">
        <f>IF((K18=""),0,ROUND((((((ROUNDDOWN((K18/5),0)*Settings!$F$3)+(L18*Settings!$I$3))+(M18*Settings!$F$4))+(ROUNDDOWN((N18/5),0)*Settings!$F$7))+(O18*Settings!$I$7)),1))</f>
        <v>307.5</v>
      </c>
      <c r="AA18" s="38">
        <f>IF((Q18=""),0,ROUND(((((((ROUNDDOWN((Q18/5),0)*Settings!$F$3)+(R18*Settings!$I$3))+(S18*Settings!$F$4))+(ROUNDDOWN((T18/5),0)*Settings!$F$7))+(U18*Settings!$I$7))+(V18*Settings!$F$15)),1))</f>
        <v>354.4</v>
      </c>
      <c r="AB18" s="66">
        <f>ROUND((((Y18*Settings!$B$21)+(Z18*Settings!$B$22))+(AA18*Settings!$B$23)),1)</f>
        <v>325</v>
      </c>
      <c r="AC18" s="66">
        <f>IF(ISERROR(VLOOKUP(RANK(AB18,$AB$4:$AB$102),AC$4:AC17,1,0)),RANK(AB18,$AB$4:$AB$102),IF(ISERROR(VLOOKUP((RANK(AB18,$AB$4:$AB$102)+1),AC$4:AC17,1,0)),(RANK(AB18,$AB$4:$AB$102)+1),IF(ISERROR(VLOOKUP((RANK(AB18,$AB$4:$AB$102)+2),AC$4:AC17,1,0)),(RANK(AB18,$AB$4:$AB$102)+2),(RANK(AB18,$AB$4:$AB$102)+3))))</f>
        <v>15</v>
      </c>
      <c r="AD18" t="str">
        <f t="shared" si="2"/>
        <v>Jay Cutler</v>
      </c>
    </row>
    <row r="19" spans="1:30" ht="12.75" customHeight="1">
      <c r="A19" s="33" t="str">
        <f>ESPNData!B18</f>
        <v>Ben Roethlisberger, Pit QB</v>
      </c>
      <c r="B19" s="33" t="str">
        <f t="shared" si="0"/>
        <v>Ben Roethlisberger</v>
      </c>
      <c r="C19" s="64" t="str">
        <f t="shared" si="1"/>
        <v>PIT</v>
      </c>
      <c r="D19" s="117">
        <f>IF(ISERROR(VLOOKUP($B19,FFTodayData!$B:$M,4,0)),"",VLOOKUP($B19,FFTodayData!$B:$M,4,0))</f>
        <v>366</v>
      </c>
      <c r="E19" s="33">
        <f>IF(ISERROR(VLOOKUP($B19,FFTodayData!$B:$M,6,0)),"",VLOOKUP($B19,FFTodayData!$B:$M,6,0))</f>
        <v>4182</v>
      </c>
      <c r="F19" s="33">
        <f>IF(ISERROR(VLOOKUP($B19,FFTodayData!$B:$M,7,0)),"",VLOOKUP($B19,FFTodayData!$B:$M,7,0))</f>
        <v>26</v>
      </c>
      <c r="G19" s="33">
        <f>IF(ISERROR(VLOOKUP($B19,FFTodayData!$B:$M,8,0)),"",VLOOKUP($B19,FFTodayData!$B:$M,8,0))</f>
        <v>13</v>
      </c>
      <c r="H19" s="33">
        <f>IF(ISERROR(VLOOKUP($B19,FFTodayData!$B:$M,10,0)),"",VLOOKUP($B19,FFTodayData!$B:$M,10,0))</f>
        <v>84</v>
      </c>
      <c r="I19" s="64">
        <f>IF(ISERROR(VLOOKUP($B19,FFTodayData!$B:$M,11,0)),"",VLOOKUP($B19,FFTodayData!$B:$M,11,0))</f>
        <v>1</v>
      </c>
      <c r="J19" s="117">
        <f>VALUE(IF(ISERROR(VLOOKUP($A19,ESPNData!$B:$O,4,0)),"",IF((VLOOKUP($A19,ESPNData!$B:$O,4,0)="--/--"),0,LEFT(VLOOKUP($A19,ESPNData!$B:$O,4,0),(FIND("/",VLOOKUP($A19,ESPNData!$B:$O,4,0))-1)))))</f>
        <v>319</v>
      </c>
      <c r="K19" s="33">
        <f>IF(ISERROR(VLOOKUP($A19,ESPNData!$B:$O,5,0)),"",IF((VLOOKUP($A19,ESPNData!$B:$O,5,0)="--"),0,VLOOKUP($A19,ESPNData!$B:$O,5,0)))</f>
        <v>3744</v>
      </c>
      <c r="L19" s="33">
        <f>IF(ISERROR(VLOOKUP($A19,ESPNData!$B:$O,6,0)),"",IF((VLOOKUP($A19,ESPNData!$B:$O,6,0)="--"),0,VLOOKUP($A19,ESPNData!$B:$O,6,0)))</f>
        <v>26</v>
      </c>
      <c r="M19" s="33">
        <f>IF(ISERROR(VLOOKUP($A19,ESPNData!$B:$O,7,0)),"",IF((VLOOKUP($A19,ESPNData!$B:$O,7,0)="--"),0,VLOOKUP($A19,ESPNData!$B:$O,7,0)))</f>
        <v>13</v>
      </c>
      <c r="N19" s="33">
        <f>IF(ISERROR(VLOOKUP($A19,ESPNData!$B:$O,9,0)),"",IF((VLOOKUP($A19,ESPNData!$B:$O,9,0)="--"),0,VLOOKUP($A19,ESPNData!$B:$O,9,0)))</f>
        <v>100</v>
      </c>
      <c r="O19" s="194">
        <f>IF(ISERROR(VLOOKUP($A19,ESPNData!$B:$O,10,0)),"",IF((VLOOKUP($A19,ESPNData!$B:$O,10,0)="--"),0,VLOOKUP($A19,ESPNData!$B:$O,10,0)))</f>
        <v>1</v>
      </c>
      <c r="P19" s="93">
        <f>IF(ISERROR(VLOOKUP($B19,SportslineData!$A:$O,4,0)),"",ROUND(VLOOKUP($B19,SportslineData!$A:$O,4,0),0))</f>
        <v>391</v>
      </c>
      <c r="Q19" s="33">
        <f>IF(ISERROR(VLOOKUP($B19,SportslineData!$A:$O,5,0)),"",VLOOKUP($B19,SportslineData!$A:$O,5,0))</f>
        <v>4471</v>
      </c>
      <c r="R19" s="33">
        <f>IF(ISERROR(VLOOKUP($B19,SportslineData!$A:$O,6,0)),"",ROUND(VLOOKUP($B19,SportslineData!$A:$O,6,0),0))</f>
        <v>30</v>
      </c>
      <c r="S19" s="33">
        <f>IF(ISERROR(VLOOKUP($B19,SportslineData!$A:$O,7,0)),"",ROUND(VLOOKUP($B19,SportslineData!$A:$O,7,0),0))</f>
        <v>15</v>
      </c>
      <c r="T19" s="33">
        <f>IF(ISERROR(VLOOKUP($B19,SportslineData!$A:$O,11,0)),"",VLOOKUP($B19,SportslineData!$A:$O,11,0))</f>
        <v>89.5</v>
      </c>
      <c r="U19" s="33">
        <f>IF(ISERROR(VLOOKUP($B19,SportslineData!$A:$O,13,0)),"",ROUND(VLOOKUP($B19,SportslineData!$A:$O,13,0),0))</f>
        <v>1</v>
      </c>
      <c r="V19" s="64">
        <f>IF(ISERROR(VLOOKUP($B19,SportslineData!$A:$O,14,0)),"",ROUND(VLOOKUP($B19,SportslineData!$A:$O,14,0),0))</f>
        <v>4</v>
      </c>
      <c r="W19" s="117"/>
      <c r="X19" s="33"/>
      <c r="Y19" s="38">
        <f>IF((E19=""),0,ROUND((((((ROUNDDOWN((E19/5),0)*Settings!$F$3)+(F19*Settings!$I$3))+(G19*Settings!$F$4))+(ROUNDDOWN((H19/5),0)*Settings!$F$7))+(I19*Settings!$I$7)),1))</f>
        <v>311.2</v>
      </c>
      <c r="Z19" s="38">
        <f>IF((K19=""),0,ROUND((((((ROUNDDOWN((K19/5),0)*Settings!$F$3)+(L19*Settings!$I$3))+(M19*Settings!$F$4))+(ROUNDDOWN((N19/5),0)*Settings!$F$7))+(O19*Settings!$I$7)),1))</f>
        <v>295.60000000000002</v>
      </c>
      <c r="AA19" s="38">
        <f>IF((Q19=""),0,ROUND(((((((ROUNDDOWN((Q19/5),0)*Settings!$F$3)+(R19*Settings!$I$3))+(S19*Settings!$F$4))+(ROUNDDOWN((T19/5),0)*Settings!$F$7))+(U19*Settings!$I$7))+(V19*Settings!$F$15)),1))</f>
        <v>339.3</v>
      </c>
      <c r="AB19" s="66">
        <f>ROUND((((Y19*Settings!$B$21)+(Z19*Settings!$B$22))+(AA19*Settings!$B$23)),1)</f>
        <v>315.60000000000002</v>
      </c>
      <c r="AC19" s="66">
        <f>IF(ISERROR(VLOOKUP(RANK(AB19,$AB$4:$AB$102),AC$4:AC18,1,0)),RANK(AB19,$AB$4:$AB$102),IF(ISERROR(VLOOKUP((RANK(AB19,$AB$4:$AB$102)+1),AC$4:AC18,1,0)),(RANK(AB19,$AB$4:$AB$102)+1),IF(ISERROR(VLOOKUP((RANK(AB19,$AB$4:$AB$102)+2),AC$4:AC18,1,0)),(RANK(AB19,$AB$4:$AB$102)+2),(RANK(AB19,$AB$4:$AB$102)+3))))</f>
        <v>16</v>
      </c>
      <c r="AD19" t="str">
        <f t="shared" si="2"/>
        <v>Ben Roethlisberger</v>
      </c>
    </row>
    <row r="20" spans="1:30" ht="12.75" customHeight="1">
      <c r="A20" s="33" t="str">
        <f>ESPNData!B19</f>
        <v>Andy Dalton, Cin QB</v>
      </c>
      <c r="B20" s="33" t="str">
        <f t="shared" si="0"/>
        <v>Andy Dalton</v>
      </c>
      <c r="C20" s="64" t="str">
        <f t="shared" si="1"/>
        <v>CIN</v>
      </c>
      <c r="D20" s="117">
        <f>IF(ISERROR(VLOOKUP($B20,FFTodayData!$B:$M,4,0)),"",VLOOKUP($B20,FFTodayData!$B:$M,4,0))</f>
        <v>337</v>
      </c>
      <c r="E20" s="33">
        <f>IF(ISERROR(VLOOKUP($B20,FFTodayData!$B:$M,6,0)),"",VLOOKUP($B20,FFTodayData!$B:$M,6,0))</f>
        <v>3755</v>
      </c>
      <c r="F20" s="33">
        <f>IF(ISERROR(VLOOKUP($B20,FFTodayData!$B:$M,7,0)),"",VLOOKUP($B20,FFTodayData!$B:$M,7,0))</f>
        <v>25</v>
      </c>
      <c r="G20" s="33">
        <f>IF(ISERROR(VLOOKUP($B20,FFTodayData!$B:$M,8,0)),"",VLOOKUP($B20,FFTodayData!$B:$M,8,0))</f>
        <v>14</v>
      </c>
      <c r="H20" s="33">
        <f>IF(ISERROR(VLOOKUP($B20,FFTodayData!$B:$M,10,0)),"",VLOOKUP($B20,FFTodayData!$B:$M,10,0))</f>
        <v>164</v>
      </c>
      <c r="I20" s="64">
        <f>IF(ISERROR(VLOOKUP($B20,FFTodayData!$B:$M,11,0)),"",VLOOKUP($B20,FFTodayData!$B:$M,11,0))</f>
        <v>1</v>
      </c>
      <c r="J20" s="117">
        <f>VALUE(IF(ISERROR(VLOOKUP($A20,ESPNData!$B:$O,4,0)),"",IF((VLOOKUP($A20,ESPNData!$B:$O,4,0)="--/--"),0,LEFT(VLOOKUP($A20,ESPNData!$B:$O,4,0),(FIND("/",VLOOKUP($A20,ESPNData!$B:$O,4,0))-1)))))</f>
        <v>317</v>
      </c>
      <c r="K20" s="33">
        <f>IF(ISERROR(VLOOKUP($A20,ESPNData!$B:$O,5,0)),"",IF((VLOOKUP($A20,ESPNData!$B:$O,5,0)="--"),0,VLOOKUP($A20,ESPNData!$B:$O,5,0)))</f>
        <v>3562</v>
      </c>
      <c r="L20" s="33">
        <f>IF(ISERROR(VLOOKUP($A20,ESPNData!$B:$O,6,0)),"",IF((VLOOKUP($A20,ESPNData!$B:$O,6,0)="--"),0,VLOOKUP($A20,ESPNData!$B:$O,6,0)))</f>
        <v>27</v>
      </c>
      <c r="M20" s="33">
        <f>IF(ISERROR(VLOOKUP($A20,ESPNData!$B:$O,7,0)),"",IF((VLOOKUP($A20,ESPNData!$B:$O,7,0)="--"),0,VLOOKUP($A20,ESPNData!$B:$O,7,0)))</f>
        <v>15</v>
      </c>
      <c r="N20" s="33">
        <f>IF(ISERROR(VLOOKUP($A20,ESPNData!$B:$O,9,0)),"",IF((VLOOKUP($A20,ESPNData!$B:$O,9,0)="--"),0,VLOOKUP($A20,ESPNData!$B:$O,9,0)))</f>
        <v>137</v>
      </c>
      <c r="O20" s="194">
        <f>IF(ISERROR(VLOOKUP($A20,ESPNData!$B:$O,10,0)),"",IF((VLOOKUP($A20,ESPNData!$B:$O,10,0)="--"),0,VLOOKUP($A20,ESPNData!$B:$O,10,0)))</f>
        <v>2</v>
      </c>
      <c r="P20" s="93">
        <f>IF(ISERROR(VLOOKUP($B20,SportslineData!$A:$O,4,0)),"",ROUND(VLOOKUP($B20,SportslineData!$A:$O,4,0),0))</f>
        <v>335</v>
      </c>
      <c r="Q20" s="33">
        <f>IF(ISERROR(VLOOKUP($B20,SportslineData!$A:$O,5,0)),"",VLOOKUP($B20,SportslineData!$A:$O,5,0))</f>
        <v>3913.5</v>
      </c>
      <c r="R20" s="33">
        <f>IF(ISERROR(VLOOKUP($B20,SportslineData!$A:$O,6,0)),"",ROUND(VLOOKUP($B20,SportslineData!$A:$O,6,0),0))</f>
        <v>29</v>
      </c>
      <c r="S20" s="33">
        <f>IF(ISERROR(VLOOKUP($B20,SportslineData!$A:$O,7,0)),"",ROUND(VLOOKUP($B20,SportslineData!$A:$O,7,0),0))</f>
        <v>16</v>
      </c>
      <c r="T20" s="33">
        <f>IF(ISERROR(VLOOKUP($B20,SportslineData!$A:$O,11,0)),"",VLOOKUP($B20,SportslineData!$A:$O,11,0))</f>
        <v>147</v>
      </c>
      <c r="U20" s="33">
        <f>IF(ISERROR(VLOOKUP($B20,SportslineData!$A:$O,13,0)),"",ROUND(VLOOKUP($B20,SportslineData!$A:$O,13,0),0))</f>
        <v>2</v>
      </c>
      <c r="V20" s="64">
        <f>IF(ISERROR(VLOOKUP($B20,SportslineData!$A:$O,14,0)),"",ROUND(VLOOKUP($B20,SportslineData!$A:$O,14,0),0))</f>
        <v>3</v>
      </c>
      <c r="W20" s="117"/>
      <c r="X20" s="33"/>
      <c r="Y20" s="38">
        <f>IF((E20=""),0,ROUND((((((ROUNDDOWN((E20/5),0)*Settings!$F$3)+(F20*Settings!$I$3))+(G20*Settings!$F$4))+(ROUNDDOWN((H20/5),0)*Settings!$F$7))+(I20*Settings!$I$7)),1))</f>
        <v>294.2</v>
      </c>
      <c r="Z20" s="38">
        <f>IF((K20=""),0,ROUND((((((ROUNDDOWN((K20/5),0)*Settings!$F$3)+(L20*Settings!$I$3))+(M20*Settings!$F$4))+(ROUNDDOWN((N20/5),0)*Settings!$F$7))+(O20*Settings!$I$7)),1))</f>
        <v>299.89999999999998</v>
      </c>
      <c r="AA20" s="38">
        <f>IF((Q20=""),0,ROUND(((((((ROUNDDOWN((Q20/5),0)*Settings!$F$3)+(R20*Settings!$I$3))+(S20*Settings!$F$4))+(ROUNDDOWN((T20/5),0)*Settings!$F$7))+(U20*Settings!$I$7))+(V20*Settings!$F$15)),1))</f>
        <v>321.89999999999998</v>
      </c>
      <c r="AB20" s="66">
        <f>ROUND((((Y20*Settings!$B$21)+(Z20*Settings!$B$22))+(AA20*Settings!$B$23)),1)</f>
        <v>305.5</v>
      </c>
      <c r="AC20" s="66">
        <f>IF(ISERROR(VLOOKUP(RANK(AB20,$AB$4:$AB$102),AC$4:AC19,1,0)),RANK(AB20,$AB$4:$AB$102),IF(ISERROR(VLOOKUP((RANK(AB20,$AB$4:$AB$102)+1),AC$4:AC19,1,0)),(RANK(AB20,$AB$4:$AB$102)+1),IF(ISERROR(VLOOKUP((RANK(AB20,$AB$4:$AB$102)+2),AC$4:AC19,1,0)),(RANK(AB20,$AB$4:$AB$102)+2),(RANK(AB20,$AB$4:$AB$102)+3))))</f>
        <v>17</v>
      </c>
      <c r="AD20" t="str">
        <f t="shared" si="2"/>
        <v>Andy Dalton</v>
      </c>
    </row>
    <row r="21" spans="1:30" ht="12.75" customHeight="1">
      <c r="A21" s="33" t="str">
        <f>ESPNData!B20</f>
        <v>Eli Manning, NYG QB</v>
      </c>
      <c r="B21" s="33" t="str">
        <f t="shared" si="0"/>
        <v>Eli Manning</v>
      </c>
      <c r="C21" s="64" t="str">
        <f t="shared" si="1"/>
        <v>NYG</v>
      </c>
      <c r="D21" s="117">
        <f>IF(ISERROR(VLOOKUP($B21,FFTodayData!$B:$M,4,0)),"",VLOOKUP($B21,FFTodayData!$B:$M,4,0))</f>
        <v>343</v>
      </c>
      <c r="E21" s="33">
        <f>IF(ISERROR(VLOOKUP($B21,FFTodayData!$B:$M,6,0)),"",VLOOKUP($B21,FFTodayData!$B:$M,6,0))</f>
        <v>4011</v>
      </c>
      <c r="F21" s="33">
        <f>IF(ISERROR(VLOOKUP($B21,FFTodayData!$B:$M,7,0)),"",VLOOKUP($B21,FFTodayData!$B:$M,7,0))</f>
        <v>23</v>
      </c>
      <c r="G21" s="33">
        <f>IF(ISERROR(VLOOKUP($B21,FFTodayData!$B:$M,8,0)),"",VLOOKUP($B21,FFTodayData!$B:$M,8,0))</f>
        <v>18</v>
      </c>
      <c r="H21" s="33">
        <f>IF(ISERROR(VLOOKUP($B21,FFTodayData!$B:$M,10,0)),"",VLOOKUP($B21,FFTodayData!$B:$M,10,0))</f>
        <v>33</v>
      </c>
      <c r="I21" s="64">
        <f>IF(ISERROR(VLOOKUP($B21,FFTodayData!$B:$M,11,0)),"",VLOOKUP($B21,FFTodayData!$B:$M,11,0))</f>
        <v>0</v>
      </c>
      <c r="J21" s="117">
        <f>VALUE(IF(ISERROR(VLOOKUP($A21,ESPNData!$B:$O,4,0)),"",IF((VLOOKUP($A21,ESPNData!$B:$O,4,0)="--/--"),0,LEFT(VLOOKUP($A21,ESPNData!$B:$O,4,0),(FIND("/",VLOOKUP($A21,ESPNData!$B:$O,4,0))-1)))))</f>
        <v>340</v>
      </c>
      <c r="K21" s="33">
        <f>IF(ISERROR(VLOOKUP($A21,ESPNData!$B:$O,5,0)),"",IF((VLOOKUP($A21,ESPNData!$B:$O,5,0)="--"),0,VLOOKUP($A21,ESPNData!$B:$O,5,0)))</f>
        <v>3912</v>
      </c>
      <c r="L21" s="33">
        <f>IF(ISERROR(VLOOKUP($A21,ESPNData!$B:$O,6,0)),"",IF((VLOOKUP($A21,ESPNData!$B:$O,6,0)="--"),0,VLOOKUP($A21,ESPNData!$B:$O,6,0)))</f>
        <v>25</v>
      </c>
      <c r="M21" s="33">
        <f>IF(ISERROR(VLOOKUP($A21,ESPNData!$B:$O,7,0)),"",IF((VLOOKUP($A21,ESPNData!$B:$O,7,0)="--"),0,VLOOKUP($A21,ESPNData!$B:$O,7,0)))</f>
        <v>16</v>
      </c>
      <c r="N21" s="33">
        <f>IF(ISERROR(VLOOKUP($A21,ESPNData!$B:$O,9,0)),"",IF((VLOOKUP($A21,ESPNData!$B:$O,9,0)="--"),0,VLOOKUP($A21,ESPNData!$B:$O,9,0)))</f>
        <v>27</v>
      </c>
      <c r="O21" s="194">
        <f>IF(ISERROR(VLOOKUP($A21,ESPNData!$B:$O,10,0)),"",IF((VLOOKUP($A21,ESPNData!$B:$O,10,0)="--"),0,VLOOKUP($A21,ESPNData!$B:$O,10,0)))</f>
        <v>0</v>
      </c>
      <c r="P21" s="93">
        <f>IF(ISERROR(VLOOKUP($B21,SportslineData!$A:$O,4,0)),"",ROUND(VLOOKUP($B21,SportslineData!$A:$O,4,0),0))</f>
        <v>331</v>
      </c>
      <c r="Q21" s="33">
        <f>IF(ISERROR(VLOOKUP($B21,SportslineData!$A:$O,5,0)),"",VLOOKUP($B21,SportslineData!$A:$O,5,0))</f>
        <v>3951.5</v>
      </c>
      <c r="R21" s="33">
        <f>IF(ISERROR(VLOOKUP($B21,SportslineData!$A:$O,6,0)),"",ROUND(VLOOKUP($B21,SportslineData!$A:$O,6,0),0))</f>
        <v>26</v>
      </c>
      <c r="S21" s="33">
        <f>IF(ISERROR(VLOOKUP($B21,SportslineData!$A:$O,7,0)),"",ROUND(VLOOKUP($B21,SportslineData!$A:$O,7,0),0))</f>
        <v>15</v>
      </c>
      <c r="T21" s="33">
        <f>IF(ISERROR(VLOOKUP($B21,SportslineData!$A:$O,11,0)),"",VLOOKUP($B21,SportslineData!$A:$O,11,0))</f>
        <v>23</v>
      </c>
      <c r="U21" s="33">
        <f>IF(ISERROR(VLOOKUP($B21,SportslineData!$A:$O,13,0)),"",ROUND(VLOOKUP($B21,SportslineData!$A:$O,13,0),0))</f>
        <v>0</v>
      </c>
      <c r="V21" s="64">
        <f>IF(ISERROR(VLOOKUP($B21,SportslineData!$A:$O,14,0)),"",ROUND(VLOOKUP($B21,SportslineData!$A:$O,14,0),0))</f>
        <v>2</v>
      </c>
      <c r="W21" s="117"/>
      <c r="X21" s="33"/>
      <c r="Y21" s="38">
        <f>IF((E21=""),0,ROUND((((((ROUNDDOWN((E21/5),0)*Settings!$F$3)+(F21*Settings!$I$3))+(G21*Settings!$F$4))+(ROUNDDOWN((H21/5),0)*Settings!$F$7))+(I21*Settings!$I$7)),1))</f>
        <v>265.39999999999998</v>
      </c>
      <c r="Z21" s="38">
        <f>IF((K21=""),0,ROUND((((((ROUNDDOWN((K21/5),0)*Settings!$F$3)+(L21*Settings!$I$3))+(M21*Settings!$F$4))+(ROUNDDOWN((N21/5),0)*Settings!$F$7))+(O21*Settings!$I$7)),1))</f>
        <v>276.89999999999998</v>
      </c>
      <c r="AA21" s="38">
        <f>IF((Q21=""),0,ROUND(((((((ROUNDDOWN((Q21/5),0)*Settings!$F$3)+(R21*Settings!$I$3))+(S21*Settings!$F$4))+(ROUNDDOWN((T21/5),0)*Settings!$F$7))+(U21*Settings!$I$7))+(V21*Settings!$F$15)),1))</f>
        <v>284</v>
      </c>
      <c r="AB21" s="66">
        <f>ROUND((((Y21*Settings!$B$21)+(Z21*Settings!$B$22))+(AA21*Settings!$B$23)),1)</f>
        <v>275.5</v>
      </c>
      <c r="AC21" s="66">
        <f>IF(ISERROR(VLOOKUP(RANK(AB21,$AB$4:$AB$102),AC$4:AC20,1,0)),RANK(AB21,$AB$4:$AB$102),IF(ISERROR(VLOOKUP((RANK(AB21,$AB$4:$AB$102)+1),AC$4:AC20,1,0)),(RANK(AB21,$AB$4:$AB$102)+1),IF(ISERROR(VLOOKUP((RANK(AB21,$AB$4:$AB$102)+2),AC$4:AC20,1,0)),(RANK(AB21,$AB$4:$AB$102)+2),(RANK(AB21,$AB$4:$AB$102)+3))))</f>
        <v>22</v>
      </c>
      <c r="AD21" t="str">
        <f t="shared" si="2"/>
        <v>Eli Manning</v>
      </c>
    </row>
    <row r="22" spans="1:30" ht="12.75" customHeight="1">
      <c r="A22" s="33" t="str">
        <f>ESPNData!B21</f>
        <v>Carson Palmer, Ari QB</v>
      </c>
      <c r="B22" s="33" t="str">
        <f t="shared" si="0"/>
        <v>Carson Palmer</v>
      </c>
      <c r="C22" s="64" t="str">
        <f t="shared" si="1"/>
        <v>ARI</v>
      </c>
      <c r="D22" s="117">
        <f>IF(ISERROR(VLOOKUP($B22,FFTodayData!$B:$M,4,0)),"",VLOOKUP($B22,FFTodayData!$B:$M,4,0))</f>
        <v>357</v>
      </c>
      <c r="E22" s="33">
        <f>IF(ISERROR(VLOOKUP($B22,FFTodayData!$B:$M,6,0)),"",VLOOKUP($B22,FFTodayData!$B:$M,6,0))</f>
        <v>4150</v>
      </c>
      <c r="F22" s="33">
        <f>IF(ISERROR(VLOOKUP($B22,FFTodayData!$B:$M,7,0)),"",VLOOKUP($B22,FFTodayData!$B:$M,7,0))</f>
        <v>23</v>
      </c>
      <c r="G22" s="33">
        <f>IF(ISERROR(VLOOKUP($B22,FFTodayData!$B:$M,8,0)),"",VLOOKUP($B22,FFTodayData!$B:$M,8,0))</f>
        <v>17</v>
      </c>
      <c r="H22" s="33">
        <f>IF(ISERROR(VLOOKUP($B22,FFTodayData!$B:$M,10,0)),"",VLOOKUP($B22,FFTodayData!$B:$M,10,0))</f>
        <v>17</v>
      </c>
      <c r="I22" s="64">
        <f>IF(ISERROR(VLOOKUP($B22,FFTodayData!$B:$M,11,0)),"",VLOOKUP($B22,FFTodayData!$B:$M,11,0))</f>
        <v>0</v>
      </c>
      <c r="J22" s="117">
        <f>VALUE(IF(ISERROR(VLOOKUP($A22,ESPNData!$B:$O,4,0)),"",IF((VLOOKUP($A22,ESPNData!$B:$O,4,0)="--/--"),0,LEFT(VLOOKUP($A22,ESPNData!$B:$O,4,0),(FIND("/",VLOOKUP($A22,ESPNData!$B:$O,4,0))-1)))))</f>
        <v>346</v>
      </c>
      <c r="K22" s="33">
        <f>IF(ISERROR(VLOOKUP($A22,ESPNData!$B:$O,5,0)),"",IF((VLOOKUP($A22,ESPNData!$B:$O,5,0)="--"),0,VLOOKUP($A22,ESPNData!$B:$O,5,0)))</f>
        <v>4191</v>
      </c>
      <c r="L22" s="33">
        <f>IF(ISERROR(VLOOKUP($A22,ESPNData!$B:$O,6,0)),"",IF((VLOOKUP($A22,ESPNData!$B:$O,6,0)="--"),0,VLOOKUP($A22,ESPNData!$B:$O,6,0)))</f>
        <v>23</v>
      </c>
      <c r="M22" s="33">
        <f>IF(ISERROR(VLOOKUP($A22,ESPNData!$B:$O,7,0)),"",IF((VLOOKUP($A22,ESPNData!$B:$O,7,0)="--"),0,VLOOKUP($A22,ESPNData!$B:$O,7,0)))</f>
        <v>17</v>
      </c>
      <c r="N22" s="33">
        <f>IF(ISERROR(VLOOKUP($A22,ESPNData!$B:$O,9,0)),"",IF((VLOOKUP($A22,ESPNData!$B:$O,9,0)="--"),0,VLOOKUP($A22,ESPNData!$B:$O,9,0)))</f>
        <v>23</v>
      </c>
      <c r="O22" s="194">
        <f>IF(ISERROR(VLOOKUP($A22,ESPNData!$B:$O,10,0)),"",IF((VLOOKUP($A22,ESPNData!$B:$O,10,0)="--"),0,VLOOKUP($A22,ESPNData!$B:$O,10,0)))</f>
        <v>0</v>
      </c>
      <c r="P22" s="93">
        <f>IF(ISERROR(VLOOKUP($B22,SportslineData!$A:$O,4,0)),"",ROUND(VLOOKUP($B22,SportslineData!$A:$O,4,0),0))</f>
        <v>357</v>
      </c>
      <c r="Q22" s="33">
        <f>IF(ISERROR(VLOOKUP($B22,SportslineData!$A:$O,5,0)),"",VLOOKUP($B22,SportslineData!$A:$O,5,0))</f>
        <v>4461.5</v>
      </c>
      <c r="R22" s="33">
        <f>IF(ISERROR(VLOOKUP($B22,SportslineData!$A:$O,6,0)),"",ROUND(VLOOKUP($B22,SportslineData!$A:$O,6,0),0))</f>
        <v>32</v>
      </c>
      <c r="S22" s="33">
        <f>IF(ISERROR(VLOOKUP($B22,SportslineData!$A:$O,7,0)),"",ROUND(VLOOKUP($B22,SportslineData!$A:$O,7,0),0))</f>
        <v>22</v>
      </c>
      <c r="T22" s="33">
        <f>IF(ISERROR(VLOOKUP($B22,SportslineData!$A:$O,11,0)),"",VLOOKUP($B22,SportslineData!$A:$O,11,0))</f>
        <v>8</v>
      </c>
      <c r="U22" s="33">
        <f>IF(ISERROR(VLOOKUP($B22,SportslineData!$A:$O,13,0)),"",ROUND(VLOOKUP($B22,SportslineData!$A:$O,13,0),0))</f>
        <v>0</v>
      </c>
      <c r="V22" s="64">
        <f>IF(ISERROR(VLOOKUP($B22,SportslineData!$A:$O,14,0)),"",ROUND(VLOOKUP($B22,SportslineData!$A:$O,14,0),0))</f>
        <v>4</v>
      </c>
      <c r="W22" s="117"/>
      <c r="X22" s="33"/>
      <c r="Y22" s="38">
        <f>IF((E22=""),0,ROUND((((((ROUNDDOWN((E22/5),0)*Settings!$F$3)+(F22*Settings!$I$3))+(G22*Settings!$F$4))+(ROUNDDOWN((H22/5),0)*Settings!$F$7))+(I22*Settings!$I$7)),1))</f>
        <v>271.5</v>
      </c>
      <c r="Z22" s="38">
        <f>IF((K22=""),0,ROUND((((((ROUNDDOWN((K22/5),0)*Settings!$F$3)+(L22*Settings!$I$3))+(M22*Settings!$F$4))+(ROUNDDOWN((N22/5),0)*Settings!$F$7))+(O22*Settings!$I$7)),1))</f>
        <v>273.60000000000002</v>
      </c>
      <c r="AA22" s="38">
        <f>IF((Q22=""),0,ROUND(((((((ROUNDDOWN((Q22/5),0)*Settings!$F$3)+(R22*Settings!$I$3))+(S22*Settings!$F$4))+(ROUNDDOWN((T22/5),0)*Settings!$F$7))+(U22*Settings!$I$7))+(V22*Settings!$F$15)),1))</f>
        <v>322.89999999999998</v>
      </c>
      <c r="AB22" s="66">
        <f>ROUND((((Y22*Settings!$B$21)+(Z22*Settings!$B$22))+(AA22*Settings!$B$23)),1)</f>
        <v>289.7</v>
      </c>
      <c r="AC22" s="66">
        <f>IF(ISERROR(VLOOKUP(RANK(AB22,$AB$4:$AB$102),AC$4:AC21,1,0)),RANK(AB22,$AB$4:$AB$102),IF(ISERROR(VLOOKUP((RANK(AB22,$AB$4:$AB$102)+1),AC$4:AC21,1,0)),(RANK(AB22,$AB$4:$AB$102)+1),IF(ISERROR(VLOOKUP((RANK(AB22,$AB$4:$AB$102)+2),AC$4:AC21,1,0)),(RANK(AB22,$AB$4:$AB$102)+2),(RANK(AB22,$AB$4:$AB$102)+3))))</f>
        <v>20</v>
      </c>
      <c r="AD22" t="str">
        <f t="shared" si="2"/>
        <v>Carson Palmer</v>
      </c>
    </row>
    <row r="23" spans="1:30" ht="12.75" customHeight="1">
      <c r="A23" s="33" t="str">
        <f>ESPNData!B22</f>
        <v>Josh McCown, TB QB</v>
      </c>
      <c r="B23" s="33" t="str">
        <f t="shared" si="0"/>
        <v>Josh McCown</v>
      </c>
      <c r="C23" s="64" t="str">
        <f t="shared" si="1"/>
        <v>TB</v>
      </c>
      <c r="D23" s="117">
        <f>IF(ISERROR(VLOOKUP($B23,FFTodayData!$B:$M,4,0)),"",VLOOKUP($B23,FFTodayData!$B:$M,4,0))</f>
        <v>231</v>
      </c>
      <c r="E23" s="33">
        <f>IF(ISERROR(VLOOKUP($B23,FFTodayData!$B:$M,6,0)),"",VLOOKUP($B23,FFTodayData!$B:$M,6,0))</f>
        <v>2759</v>
      </c>
      <c r="F23" s="33">
        <f>IF(ISERROR(VLOOKUP($B23,FFTodayData!$B:$M,7,0)),"",VLOOKUP($B23,FFTodayData!$B:$M,7,0))</f>
        <v>16</v>
      </c>
      <c r="G23" s="33">
        <f>IF(ISERROR(VLOOKUP($B23,FFTodayData!$B:$M,8,0)),"",VLOOKUP($B23,FFTodayData!$B:$M,8,0))</f>
        <v>14</v>
      </c>
      <c r="H23" s="33">
        <f>IF(ISERROR(VLOOKUP($B23,FFTodayData!$B:$M,10,0)),"",VLOOKUP($B23,FFTodayData!$B:$M,10,0))</f>
        <v>129</v>
      </c>
      <c r="I23" s="64">
        <f>IF(ISERROR(VLOOKUP($B23,FFTodayData!$B:$M,11,0)),"",VLOOKUP($B23,FFTodayData!$B:$M,11,0))</f>
        <v>1</v>
      </c>
      <c r="J23" s="117">
        <f>VALUE(IF(ISERROR(VLOOKUP($A23,ESPNData!$B:$O,4,0)),"",IF((VLOOKUP($A23,ESPNData!$B:$O,4,0)="--/--"),0,LEFT(VLOOKUP($A23,ESPNData!$B:$O,4,0),(FIND("/",VLOOKUP($A23,ESPNData!$B:$O,4,0))-1)))))</f>
        <v>246</v>
      </c>
      <c r="K23" s="33">
        <f>IF(ISERROR(VLOOKUP($A23,ESPNData!$B:$O,5,0)),"",IF((VLOOKUP($A23,ESPNData!$B:$O,5,0)="--"),0,VLOOKUP($A23,ESPNData!$B:$O,5,0)))</f>
        <v>3365</v>
      </c>
      <c r="L23" s="33">
        <f>IF(ISERROR(VLOOKUP($A23,ESPNData!$B:$O,6,0)),"",IF((VLOOKUP($A23,ESPNData!$B:$O,6,0)="--"),0,VLOOKUP($A23,ESPNData!$B:$O,6,0)))</f>
        <v>22</v>
      </c>
      <c r="M23" s="33">
        <f>IF(ISERROR(VLOOKUP($A23,ESPNData!$B:$O,7,0)),"",IF((VLOOKUP($A23,ESPNData!$B:$O,7,0)="--"),0,VLOOKUP($A23,ESPNData!$B:$O,7,0)))</f>
        <v>10</v>
      </c>
      <c r="N23" s="33">
        <f>IF(ISERROR(VLOOKUP($A23,ESPNData!$B:$O,9,0)),"",IF((VLOOKUP($A23,ESPNData!$B:$O,9,0)="--"),0,VLOOKUP($A23,ESPNData!$B:$O,9,0)))</f>
        <v>87</v>
      </c>
      <c r="O23" s="194">
        <f>IF(ISERROR(VLOOKUP($A23,ESPNData!$B:$O,10,0)),"",IF((VLOOKUP($A23,ESPNData!$B:$O,10,0)="--"),0,VLOOKUP($A23,ESPNData!$B:$O,10,0)))</f>
        <v>1</v>
      </c>
      <c r="P23" s="93">
        <f>IF(ISERROR(VLOOKUP($B23,SportslineData!$A:$O,4,0)),"",ROUND(VLOOKUP($B23,SportslineData!$A:$O,4,0),0))</f>
        <v>297</v>
      </c>
      <c r="Q23" s="33">
        <f>IF(ISERROR(VLOOKUP($B23,SportslineData!$A:$O,5,0)),"",VLOOKUP($B23,SportslineData!$A:$O,5,0))</f>
        <v>3553</v>
      </c>
      <c r="R23" s="33">
        <f>IF(ISERROR(VLOOKUP($B23,SportslineData!$A:$O,6,0)),"",ROUND(VLOOKUP($B23,SportslineData!$A:$O,6,0),0))</f>
        <v>25</v>
      </c>
      <c r="S23" s="33">
        <f>IF(ISERROR(VLOOKUP($B23,SportslineData!$A:$O,7,0)),"",ROUND(VLOOKUP($B23,SportslineData!$A:$O,7,0),0))</f>
        <v>13</v>
      </c>
      <c r="T23" s="33">
        <f>IF(ISERROR(VLOOKUP($B23,SportslineData!$A:$O,11,0)),"",VLOOKUP($B23,SportslineData!$A:$O,11,0))</f>
        <v>109.5</v>
      </c>
      <c r="U23" s="33">
        <f>IF(ISERROR(VLOOKUP($B23,SportslineData!$A:$O,13,0)),"",ROUND(VLOOKUP($B23,SportslineData!$A:$O,13,0),0))</f>
        <v>2</v>
      </c>
      <c r="V23" s="64">
        <f>IF(ISERROR(VLOOKUP($B23,SportslineData!$A:$O,14,0)),"",ROUND(VLOOKUP($B23,SportslineData!$A:$O,14,0),0))</f>
        <v>2</v>
      </c>
      <c r="W23" s="117"/>
      <c r="X23" s="33"/>
      <c r="Y23" s="38">
        <f>IF((E23=""),0,ROUND((((((ROUNDDOWN((E23/5),0)*Settings!$F$3)+(F23*Settings!$I$3))+(G23*Settings!$F$4))+(ROUNDDOWN((H23/5),0)*Settings!$F$7))+(I23*Settings!$I$7)),1))</f>
        <v>196.7</v>
      </c>
      <c r="Z23" s="38">
        <f>IF((K23=""),0,ROUND((((((ROUNDDOWN((K23/5),0)*Settings!$F$3)+(L23*Settings!$I$3))+(M23*Settings!$F$4))+(ROUNDDOWN((N23/5),0)*Settings!$F$7))+(O23*Settings!$I$7)),1))</f>
        <v>261.10000000000002</v>
      </c>
      <c r="AA23" s="38">
        <f>IF((Q23=""),0,ROUND(((((((ROUNDDOWN((Q23/5),0)*Settings!$F$3)+(R23*Settings!$I$3))+(S23*Settings!$F$4))+(ROUNDDOWN((T23/5),0)*Settings!$F$7))+(U23*Settings!$I$7))+(V23*Settings!$F$15)),1))</f>
        <v>286.5</v>
      </c>
      <c r="AB23" s="66">
        <f>ROUND((((Y23*Settings!$B$21)+(Z23*Settings!$B$22))+(AA23*Settings!$B$23)),1)</f>
        <v>248.5</v>
      </c>
      <c r="AC23" s="66">
        <f>IF(ISERROR(VLOOKUP(RANK(AB23,$AB$4:$AB$102),AC$4:AC22,1,0)),RANK(AB23,$AB$4:$AB$102),IF(ISERROR(VLOOKUP((RANK(AB23,$AB$4:$AB$102)+1),AC$4:AC22,1,0)),(RANK(AB23,$AB$4:$AB$102)+1),IF(ISERROR(VLOOKUP((RANK(AB23,$AB$4:$AB$102)+2),AC$4:AC22,1,0)),(RANK(AB23,$AB$4:$AB$102)+2),(RANK(AB23,$AB$4:$AB$102)+3))))</f>
        <v>24</v>
      </c>
      <c r="AD23" t="str">
        <f t="shared" si="2"/>
        <v>Josh McCown</v>
      </c>
    </row>
    <row r="24" spans="1:30" ht="12.75" customHeight="1">
      <c r="A24" s="33" t="str">
        <f>ESPNData!B23</f>
        <v>Joe Flacco, Bal QB</v>
      </c>
      <c r="B24" s="33" t="str">
        <f t="shared" si="0"/>
        <v>Joe Flacco</v>
      </c>
      <c r="C24" s="64" t="str">
        <f t="shared" si="1"/>
        <v>BAL</v>
      </c>
      <c r="D24" s="117">
        <f>IF(ISERROR(VLOOKUP($B24,FFTodayData!$B:$M,4,0)),"",VLOOKUP($B24,FFTodayData!$B:$M,4,0))</f>
        <v>340</v>
      </c>
      <c r="E24" s="33">
        <f>IF(ISERROR(VLOOKUP($B24,FFTodayData!$B:$M,6,0)),"",VLOOKUP($B24,FFTodayData!$B:$M,6,0))</f>
        <v>3914</v>
      </c>
      <c r="F24" s="33">
        <f>IF(ISERROR(VLOOKUP($B24,FFTodayData!$B:$M,7,0)),"",VLOOKUP($B24,FFTodayData!$B:$M,7,0))</f>
        <v>22</v>
      </c>
      <c r="G24" s="33">
        <f>IF(ISERROR(VLOOKUP($B24,FFTodayData!$B:$M,8,0)),"",VLOOKUP($B24,FFTodayData!$B:$M,8,0))</f>
        <v>16</v>
      </c>
      <c r="H24" s="33">
        <f>IF(ISERROR(VLOOKUP($B24,FFTodayData!$B:$M,10,0)),"",VLOOKUP($B24,FFTodayData!$B:$M,10,0))</f>
        <v>84</v>
      </c>
      <c r="I24" s="64">
        <f>IF(ISERROR(VLOOKUP($B24,FFTodayData!$B:$M,11,0)),"",VLOOKUP($B24,FFTodayData!$B:$M,11,0))</f>
        <v>1</v>
      </c>
      <c r="J24" s="117">
        <f>VALUE(IF(ISERROR(VLOOKUP($A24,ESPNData!$B:$O,4,0)),"",IF((VLOOKUP($A24,ESPNData!$B:$O,4,0)="--/--"),0,LEFT(VLOOKUP($A24,ESPNData!$B:$O,4,0),(FIND("/",VLOOKUP($A24,ESPNData!$B:$O,4,0))-1)))))</f>
        <v>329</v>
      </c>
      <c r="K24" s="33">
        <f>IF(ISERROR(VLOOKUP($A24,ESPNData!$B:$O,5,0)),"",IF((VLOOKUP($A24,ESPNData!$B:$O,5,0)="--"),0,VLOOKUP($A24,ESPNData!$B:$O,5,0)))</f>
        <v>3905</v>
      </c>
      <c r="L24" s="33">
        <f>IF(ISERROR(VLOOKUP($A24,ESPNData!$B:$O,6,0)),"",IF((VLOOKUP($A24,ESPNData!$B:$O,6,0)="--"),0,VLOOKUP($A24,ESPNData!$B:$O,6,0)))</f>
        <v>22</v>
      </c>
      <c r="M24" s="33">
        <f>IF(ISERROR(VLOOKUP($A24,ESPNData!$B:$O,7,0)),"",IF((VLOOKUP($A24,ESPNData!$B:$O,7,0)="--"),0,VLOOKUP($A24,ESPNData!$B:$O,7,0)))</f>
        <v>18</v>
      </c>
      <c r="N24" s="33">
        <f>IF(ISERROR(VLOOKUP($A24,ESPNData!$B:$O,9,0)),"",IF((VLOOKUP($A24,ESPNData!$B:$O,9,0)="--"),0,VLOOKUP($A24,ESPNData!$B:$O,9,0)))</f>
        <v>61</v>
      </c>
      <c r="O24" s="194">
        <f>IF(ISERROR(VLOOKUP($A24,ESPNData!$B:$O,10,0)),"",IF((VLOOKUP($A24,ESPNData!$B:$O,10,0)="--"),0,VLOOKUP($A24,ESPNData!$B:$O,10,0)))</f>
        <v>1</v>
      </c>
      <c r="P24" s="93">
        <f>IF(ISERROR(VLOOKUP($B24,SportslineData!$A:$O,4,0)),"",ROUND(VLOOKUP($B24,SportslineData!$A:$O,4,0),0))</f>
        <v>344</v>
      </c>
      <c r="Q24" s="33">
        <f>IF(ISERROR(VLOOKUP($B24,SportslineData!$A:$O,5,0)),"",VLOOKUP($B24,SportslineData!$A:$O,5,0))</f>
        <v>4023.5</v>
      </c>
      <c r="R24" s="33">
        <f>IF(ISERROR(VLOOKUP($B24,SportslineData!$A:$O,6,0)),"",ROUND(VLOOKUP($B24,SportslineData!$A:$O,6,0),0))</f>
        <v>26</v>
      </c>
      <c r="S24" s="33">
        <f>IF(ISERROR(VLOOKUP($B24,SportslineData!$A:$O,7,0)),"",ROUND(VLOOKUP($B24,SportslineData!$A:$O,7,0),0))</f>
        <v>17</v>
      </c>
      <c r="T24" s="33">
        <f>IF(ISERROR(VLOOKUP($B24,SportslineData!$A:$O,11,0)),"",VLOOKUP($B24,SportslineData!$A:$O,11,0))</f>
        <v>87.5</v>
      </c>
      <c r="U24" s="33">
        <f>IF(ISERROR(VLOOKUP($B24,SportslineData!$A:$O,13,0)),"",ROUND(VLOOKUP($B24,SportslineData!$A:$O,13,0),0))</f>
        <v>1</v>
      </c>
      <c r="V24" s="64">
        <f>IF(ISERROR(VLOOKUP($B24,SportslineData!$A:$O,14,0)),"",ROUND(VLOOKUP($B24,SportslineData!$A:$O,14,0),0))</f>
        <v>3</v>
      </c>
      <c r="W24" s="117"/>
      <c r="X24" s="33"/>
      <c r="Y24" s="38">
        <f>IF((E24=""),0,ROUND((((((ROUNDDOWN((E24/5),0)*Settings!$F$3)+(F24*Settings!$I$3))+(G24*Settings!$F$4))+(ROUNDDOWN((H24/5),0)*Settings!$F$7))+(I24*Settings!$I$7)),1))</f>
        <v>270.39999999999998</v>
      </c>
      <c r="Z24" s="38">
        <f>IF((K24=""),0,ROUND((((((ROUNDDOWN((K24/5),0)*Settings!$F$3)+(L24*Settings!$I$3))+(M24*Settings!$F$4))+(ROUNDDOWN((N24/5),0)*Settings!$F$7))+(O24*Settings!$I$7)),1))</f>
        <v>264.2</v>
      </c>
      <c r="AA24" s="38">
        <f>IF((Q24=""),0,ROUND(((((((ROUNDDOWN((Q24/5),0)*Settings!$F$3)+(R24*Settings!$I$3))+(S24*Settings!$F$4))+(ROUNDDOWN((T24/5),0)*Settings!$F$7))+(U24*Settings!$I$7))+(V24*Settings!$F$15)),1))</f>
        <v>294.3</v>
      </c>
      <c r="AB24" s="66">
        <f>ROUND((((Y24*Settings!$B$21)+(Z24*Settings!$B$22))+(AA24*Settings!$B$23)),1)</f>
        <v>276.5</v>
      </c>
      <c r="AC24" s="66">
        <f>IF(ISERROR(VLOOKUP(RANK(AB24,$AB$4:$AB$102),AC$4:AC23,1,0)),RANK(AB24,$AB$4:$AB$102),IF(ISERROR(VLOOKUP((RANK(AB24,$AB$4:$AB$102)+1),AC$4:AC23,1,0)),(RANK(AB24,$AB$4:$AB$102)+1),IF(ISERROR(VLOOKUP((RANK(AB24,$AB$4:$AB$102)+2),AC$4:AC23,1,0)),(RANK(AB24,$AB$4:$AB$102)+2),(RANK(AB24,$AB$4:$AB$102)+3))))</f>
        <v>21</v>
      </c>
      <c r="AD24" t="str">
        <f t="shared" si="2"/>
        <v>Joe Flacco</v>
      </c>
    </row>
    <row r="25" spans="1:30" ht="12.75" customHeight="1">
      <c r="A25" s="33" t="str">
        <f>ESPNData!B24</f>
        <v>Ryan Tannehill, Mia QB</v>
      </c>
      <c r="B25" s="33" t="str">
        <f t="shared" si="0"/>
        <v>Ryan Tannehill</v>
      </c>
      <c r="C25" s="64" t="str">
        <f t="shared" si="1"/>
        <v>MIA</v>
      </c>
      <c r="D25" s="117">
        <f>IF(ISERROR(VLOOKUP($B25,FFTodayData!$B:$M,4,0)),"",VLOOKUP($B25,FFTodayData!$B:$M,4,0))</f>
        <v>326</v>
      </c>
      <c r="E25" s="33">
        <f>IF(ISERROR(VLOOKUP($B25,FFTodayData!$B:$M,6,0)),"",VLOOKUP($B25,FFTodayData!$B:$M,6,0))</f>
        <v>3750</v>
      </c>
      <c r="F25" s="33">
        <f>IF(ISERROR(VLOOKUP($B25,FFTodayData!$B:$M,7,0)),"",VLOOKUP($B25,FFTodayData!$B:$M,7,0))</f>
        <v>22</v>
      </c>
      <c r="G25" s="33">
        <f>IF(ISERROR(VLOOKUP($B25,FFTodayData!$B:$M,8,0)),"",VLOOKUP($B25,FFTodayData!$B:$M,8,0))</f>
        <v>16</v>
      </c>
      <c r="H25" s="33">
        <f>IF(ISERROR(VLOOKUP($B25,FFTodayData!$B:$M,10,0)),"",VLOOKUP($B25,FFTodayData!$B:$M,10,0))</f>
        <v>229</v>
      </c>
      <c r="I25" s="64">
        <f>IF(ISERROR(VLOOKUP($B25,FFTodayData!$B:$M,11,0)),"",VLOOKUP($B25,FFTodayData!$B:$M,11,0))</f>
        <v>1</v>
      </c>
      <c r="J25" s="117">
        <f>VALUE(IF(ISERROR(VLOOKUP($A25,ESPNData!$B:$O,4,0)),"",IF((VLOOKUP($A25,ESPNData!$B:$O,4,0)="--/--"),0,LEFT(VLOOKUP($A25,ESPNData!$B:$O,4,0),(FIND("/",VLOOKUP($A25,ESPNData!$B:$O,4,0))-1)))))</f>
        <v>325</v>
      </c>
      <c r="K25" s="33">
        <f>IF(ISERROR(VLOOKUP($A25,ESPNData!$B:$O,5,0)),"",IF((VLOOKUP($A25,ESPNData!$B:$O,5,0)="--"),0,VLOOKUP($A25,ESPNData!$B:$O,5,0)))</f>
        <v>3672</v>
      </c>
      <c r="L25" s="33">
        <f>IF(ISERROR(VLOOKUP($A25,ESPNData!$B:$O,6,0)),"",IF((VLOOKUP($A25,ESPNData!$B:$O,6,0)="--"),0,VLOOKUP($A25,ESPNData!$B:$O,6,0)))</f>
        <v>23</v>
      </c>
      <c r="M25" s="33">
        <f>IF(ISERROR(VLOOKUP($A25,ESPNData!$B:$O,7,0)),"",IF((VLOOKUP($A25,ESPNData!$B:$O,7,0)="--"),0,VLOOKUP($A25,ESPNData!$B:$O,7,0)))</f>
        <v>17</v>
      </c>
      <c r="N25" s="33">
        <f>IF(ISERROR(VLOOKUP($A25,ESPNData!$B:$O,9,0)),"",IF((VLOOKUP($A25,ESPNData!$B:$O,9,0)="--"),0,VLOOKUP($A25,ESPNData!$B:$O,9,0)))</f>
        <v>209</v>
      </c>
      <c r="O25" s="194">
        <f>IF(ISERROR(VLOOKUP($A25,ESPNData!$B:$O,10,0)),"",IF((VLOOKUP($A25,ESPNData!$B:$O,10,0)="--"),0,VLOOKUP($A25,ESPNData!$B:$O,10,0)))</f>
        <v>1</v>
      </c>
      <c r="P25" s="93">
        <f>IF(ISERROR(VLOOKUP($B25,SportslineData!$A:$O,4,0)),"",ROUND(VLOOKUP($B25,SportslineData!$A:$O,4,0),0))</f>
        <v>367</v>
      </c>
      <c r="Q25" s="33">
        <f>IF(ISERROR(VLOOKUP($B25,SportslineData!$A:$O,5,0)),"",VLOOKUP($B25,SportslineData!$A:$O,5,0))</f>
        <v>4303</v>
      </c>
      <c r="R25" s="33">
        <f>IF(ISERROR(VLOOKUP($B25,SportslineData!$A:$O,6,0)),"",ROUND(VLOOKUP($B25,SportslineData!$A:$O,6,0),0))</f>
        <v>24</v>
      </c>
      <c r="S25" s="33">
        <f>IF(ISERROR(VLOOKUP($B25,SportslineData!$A:$O,7,0)),"",ROUND(VLOOKUP($B25,SportslineData!$A:$O,7,0),0))</f>
        <v>17</v>
      </c>
      <c r="T25" s="33">
        <f>IF(ISERROR(VLOOKUP($B25,SportslineData!$A:$O,11,0)),"",VLOOKUP($B25,SportslineData!$A:$O,11,0))</f>
        <v>252.5</v>
      </c>
      <c r="U25" s="33">
        <f>IF(ISERROR(VLOOKUP($B25,SportslineData!$A:$O,13,0)),"",ROUND(VLOOKUP($B25,SportslineData!$A:$O,13,0),0))</f>
        <v>2</v>
      </c>
      <c r="V25" s="64">
        <f>IF(ISERROR(VLOOKUP($B25,SportslineData!$A:$O,14,0)),"",ROUND(VLOOKUP($B25,SportslineData!$A:$O,14,0),0))</f>
        <v>4</v>
      </c>
      <c r="W25" s="117"/>
      <c r="X25" s="33"/>
      <c r="Y25" s="38">
        <f>IF((E25=""),0,ROUND((((((ROUNDDOWN((E25/5),0)*Settings!$F$3)+(F25*Settings!$I$3))+(G25*Settings!$F$4))+(ROUNDDOWN((H25/5),0)*Settings!$F$7))+(I25*Settings!$I$7)),1))</f>
        <v>278.5</v>
      </c>
      <c r="Z25" s="38">
        <f>IF((K25=""),0,ROUND((((((ROUNDDOWN((K25/5),0)*Settings!$F$3)+(L25*Settings!$I$3))+(M25*Settings!$F$4))+(ROUNDDOWN((N25/5),0)*Settings!$F$7))+(O25*Settings!$I$7)),1))</f>
        <v>277.3</v>
      </c>
      <c r="AA25" s="38">
        <f>IF((Q25=""),0,ROUND(((((((ROUNDDOWN((Q25/5),0)*Settings!$F$3)+(R25*Settings!$I$3))+(S25*Settings!$F$4))+(ROUNDDOWN((T25/5),0)*Settings!$F$7))+(U25*Settings!$I$7))+(V25*Settings!$F$15)),1))</f>
        <v>315</v>
      </c>
      <c r="AB25" s="66">
        <f>ROUND((((Y25*Settings!$B$21)+(Z25*Settings!$B$22))+(AA25*Settings!$B$23)),1)</f>
        <v>290.5</v>
      </c>
      <c r="AC25" s="66">
        <f>IF(ISERROR(VLOOKUP(RANK(AB25,$AB$4:$AB$102),AC$4:AC24,1,0)),RANK(AB25,$AB$4:$AB$102),IF(ISERROR(VLOOKUP((RANK(AB25,$AB$4:$AB$102)+1),AC$4:AC24,1,0)),(RANK(AB25,$AB$4:$AB$102)+1),IF(ISERROR(VLOOKUP((RANK(AB25,$AB$4:$AB$102)+2),AC$4:AC24,1,0)),(RANK(AB25,$AB$4:$AB$102)+2),(RANK(AB25,$AB$4:$AB$102)+3))))</f>
        <v>19</v>
      </c>
      <c r="AD25" t="str">
        <f t="shared" si="2"/>
        <v>Ryan Tannehill</v>
      </c>
    </row>
    <row r="26" spans="1:30" ht="12.75" customHeight="1">
      <c r="A26" s="33" t="str">
        <f>ESPNData!B25</f>
        <v>Johnny Manziel, Cle QB</v>
      </c>
      <c r="B26" s="33" t="str">
        <f t="shared" si="0"/>
        <v>Johnny Manziel</v>
      </c>
      <c r="C26" s="64" t="str">
        <f t="shared" si="1"/>
        <v>CLE</v>
      </c>
      <c r="D26" s="117">
        <f>IF(ISERROR(VLOOKUP($B26,FFTodayData!$B:$M,4,0)),"",VLOOKUP($B26,FFTodayData!$B:$M,4,0))</f>
        <v>261</v>
      </c>
      <c r="E26" s="33">
        <f>IF(ISERROR(VLOOKUP($B26,FFTodayData!$B:$M,6,0)),"",VLOOKUP($B26,FFTodayData!$B:$M,6,0))</f>
        <v>2825</v>
      </c>
      <c r="F26" s="33">
        <f>IF(ISERROR(VLOOKUP($B26,FFTodayData!$B:$M,7,0)),"",VLOOKUP($B26,FFTodayData!$B:$M,7,0))</f>
        <v>13</v>
      </c>
      <c r="G26" s="33">
        <f>IF(ISERROR(VLOOKUP($B26,FFTodayData!$B:$M,8,0)),"",VLOOKUP($B26,FFTodayData!$B:$M,8,0))</f>
        <v>14</v>
      </c>
      <c r="H26" s="33">
        <f>IF(ISERROR(VLOOKUP($B26,FFTodayData!$B:$M,10,0)),"",VLOOKUP($B26,FFTodayData!$B:$M,10,0))</f>
        <v>313</v>
      </c>
      <c r="I26" s="64">
        <f>IF(ISERROR(VLOOKUP($B26,FFTodayData!$B:$M,11,0)),"",VLOOKUP($B26,FFTodayData!$B:$M,11,0))</f>
        <v>2</v>
      </c>
      <c r="J26" s="117">
        <f>VALUE(IF(ISERROR(VLOOKUP($A26,ESPNData!$B:$O,4,0)),"",IF((VLOOKUP($A26,ESPNData!$B:$O,4,0)="--/--"),0,LEFT(VLOOKUP($A26,ESPNData!$B:$O,4,0),(FIND("/",VLOOKUP($A26,ESPNData!$B:$O,4,0))-1)))))</f>
        <v>195</v>
      </c>
      <c r="K26" s="33">
        <f>IF(ISERROR(VLOOKUP($A26,ESPNData!$B:$O,5,0)),"",IF((VLOOKUP($A26,ESPNData!$B:$O,5,0)="--"),0,VLOOKUP($A26,ESPNData!$B:$O,5,0)))</f>
        <v>2456</v>
      </c>
      <c r="L26" s="33">
        <f>IF(ISERROR(VLOOKUP($A26,ESPNData!$B:$O,6,0)),"",IF((VLOOKUP($A26,ESPNData!$B:$O,6,0)="--"),0,VLOOKUP($A26,ESPNData!$B:$O,6,0)))</f>
        <v>12</v>
      </c>
      <c r="M26" s="33">
        <f>IF(ISERROR(VLOOKUP($A26,ESPNData!$B:$O,7,0)),"",IF((VLOOKUP($A26,ESPNData!$B:$O,7,0)="--"),0,VLOOKUP($A26,ESPNData!$B:$O,7,0)))</f>
        <v>15</v>
      </c>
      <c r="N26" s="33">
        <f>IF(ISERROR(VLOOKUP($A26,ESPNData!$B:$O,9,0)),"",IF((VLOOKUP($A26,ESPNData!$B:$O,9,0)="--"),0,VLOOKUP($A26,ESPNData!$B:$O,9,0)))</f>
        <v>351</v>
      </c>
      <c r="O26" s="194">
        <f>IF(ISERROR(VLOOKUP($A26,ESPNData!$B:$O,10,0)),"",IF((VLOOKUP($A26,ESPNData!$B:$O,10,0)="--"),0,VLOOKUP($A26,ESPNData!$B:$O,10,0)))</f>
        <v>5</v>
      </c>
      <c r="P26" s="93">
        <f>IF(ISERROR(VLOOKUP($B26,SportslineData!$A:$O,4,0)),"",ROUND(VLOOKUP($B26,SportslineData!$A:$O,4,0),0))</f>
        <v>250</v>
      </c>
      <c r="Q26" s="33">
        <f>IF(ISERROR(VLOOKUP($B26,SportslineData!$A:$O,5,0)),"",VLOOKUP($B26,SportslineData!$A:$O,5,0))</f>
        <v>2961</v>
      </c>
      <c r="R26" s="33">
        <f>IF(ISERROR(VLOOKUP($B26,SportslineData!$A:$O,6,0)),"",ROUND(VLOOKUP($B26,SportslineData!$A:$O,6,0),0))</f>
        <v>15</v>
      </c>
      <c r="S26" s="33">
        <f>IF(ISERROR(VLOOKUP($B26,SportslineData!$A:$O,7,0)),"",ROUND(VLOOKUP($B26,SportslineData!$A:$O,7,0),0))</f>
        <v>13</v>
      </c>
      <c r="T26" s="33">
        <f>IF(ISERROR(VLOOKUP($B26,SportslineData!$A:$O,11,0)),"",VLOOKUP($B26,SportslineData!$A:$O,11,0))</f>
        <v>466</v>
      </c>
      <c r="U26" s="33">
        <f>IF(ISERROR(VLOOKUP($B26,SportslineData!$A:$O,13,0)),"",ROUND(VLOOKUP($B26,SportslineData!$A:$O,13,0),0))</f>
        <v>4</v>
      </c>
      <c r="V26" s="64">
        <f>IF(ISERROR(VLOOKUP($B26,SportslineData!$A:$O,14,0)),"",ROUND(VLOOKUP($B26,SportslineData!$A:$O,14,0),0))</f>
        <v>3</v>
      </c>
      <c r="W26" s="117"/>
      <c r="X26" s="33"/>
      <c r="Y26" s="38">
        <f>IF((E26=""),0,ROUND((((((ROUNDDOWN((E26/5),0)*Settings!$F$3)+(F26*Settings!$I$3))+(G26*Settings!$F$4))+(ROUNDDOWN((H26/5),0)*Settings!$F$7))+(I26*Settings!$I$7)),1))</f>
        <v>206</v>
      </c>
      <c r="Z26" s="38">
        <f>IF((K26=""),0,ROUND((((((ROUNDDOWN((K26/5),0)*Settings!$F$3)+(L26*Settings!$I$3))+(M26*Settings!$F$4))+(ROUNDDOWN((N26/5),0)*Settings!$F$7))+(O26*Settings!$I$7)),1))</f>
        <v>205.2</v>
      </c>
      <c r="AA26" s="38">
        <f>IF((Q26=""),0,ROUND(((((((ROUNDDOWN((Q26/5),0)*Settings!$F$3)+(R26*Settings!$I$3))+(S26*Settings!$F$4))+(ROUNDDOWN((T26/5),0)*Settings!$F$7))+(U26*Settings!$I$7))+(V26*Settings!$F$15)),1))</f>
        <v>249.9</v>
      </c>
      <c r="AB26" s="66">
        <f>ROUND((((Y26*Settings!$B$21)+(Z26*Settings!$B$22))+(AA26*Settings!$B$23)),1)</f>
        <v>220.7</v>
      </c>
      <c r="AC26" s="66">
        <f>IF(ISERROR(VLOOKUP(RANK(AB26,$AB$4:$AB$102),AC$4:AC25,1,0)),RANK(AB26,$AB$4:$AB$102),IF(ISERROR(VLOOKUP((RANK(AB26,$AB$4:$AB$102)+1),AC$4:AC25,1,0)),(RANK(AB26,$AB$4:$AB$102)+1),IF(ISERROR(VLOOKUP((RANK(AB26,$AB$4:$AB$102)+2),AC$4:AC25,1,0)),(RANK(AB26,$AB$4:$AB$102)+2),(RANK(AB26,$AB$4:$AB$102)+3))))</f>
        <v>26</v>
      </c>
      <c r="AD26" t="str">
        <f t="shared" si="2"/>
        <v>Johnny Manziel</v>
      </c>
    </row>
    <row r="27" spans="1:30" ht="12.75" customHeight="1">
      <c r="A27" s="33" t="str">
        <f>ESPNData!B26</f>
        <v>Alex Smith, KC QB</v>
      </c>
      <c r="B27" s="33" t="str">
        <f t="shared" si="0"/>
        <v>Alex Smith</v>
      </c>
      <c r="C27" s="64" t="str">
        <f t="shared" si="1"/>
        <v>KC</v>
      </c>
      <c r="D27" s="117">
        <f>IF(ISERROR(VLOOKUP($B27,FFTodayData!$B:$M,4,0)),"",VLOOKUP($B27,FFTodayData!$B:$M,4,0))</f>
        <v>316</v>
      </c>
      <c r="E27" s="33">
        <f>IF(ISERROR(VLOOKUP($B27,FFTodayData!$B:$M,6,0)),"",VLOOKUP($B27,FFTodayData!$B:$M,6,0))</f>
        <v>3579</v>
      </c>
      <c r="F27" s="33">
        <f>IF(ISERROR(VLOOKUP($B27,FFTodayData!$B:$M,7,0)),"",VLOOKUP($B27,FFTodayData!$B:$M,7,0))</f>
        <v>25</v>
      </c>
      <c r="G27" s="33">
        <f>IF(ISERROR(VLOOKUP($B27,FFTodayData!$B:$M,8,0)),"",VLOOKUP($B27,FFTodayData!$B:$M,8,0))</f>
        <v>10</v>
      </c>
      <c r="H27" s="33">
        <f>IF(ISERROR(VLOOKUP($B27,FFTodayData!$B:$M,10,0)),"",VLOOKUP($B27,FFTodayData!$B:$M,10,0))</f>
        <v>389</v>
      </c>
      <c r="I27" s="64">
        <f>IF(ISERROR(VLOOKUP($B27,FFTodayData!$B:$M,11,0)),"",VLOOKUP($B27,FFTodayData!$B:$M,11,0))</f>
        <v>1</v>
      </c>
      <c r="J27" s="117">
        <f>VALUE(IF(ISERROR(VLOOKUP($A27,ESPNData!$B:$O,4,0)),"",IF((VLOOKUP($A27,ESPNData!$B:$O,4,0)="--/--"),0,LEFT(VLOOKUP($A27,ESPNData!$B:$O,4,0),(FIND("/",VLOOKUP($A27,ESPNData!$B:$O,4,0))-1)))))</f>
        <v>304</v>
      </c>
      <c r="K27" s="33">
        <f>IF(ISERROR(VLOOKUP($A27,ESPNData!$B:$O,5,0)),"",IF((VLOOKUP($A27,ESPNData!$B:$O,5,0)="--"),0,VLOOKUP($A27,ESPNData!$B:$O,5,0)))</f>
        <v>3122</v>
      </c>
      <c r="L27" s="33">
        <f>IF(ISERROR(VLOOKUP($A27,ESPNData!$B:$O,6,0)),"",IF((VLOOKUP($A27,ESPNData!$B:$O,6,0)="--"),0,VLOOKUP($A27,ESPNData!$B:$O,6,0)))</f>
        <v>18</v>
      </c>
      <c r="M27" s="33">
        <f>IF(ISERROR(VLOOKUP($A27,ESPNData!$B:$O,7,0)),"",IF((VLOOKUP($A27,ESPNData!$B:$O,7,0)="--"),0,VLOOKUP($A27,ESPNData!$B:$O,7,0)))</f>
        <v>8</v>
      </c>
      <c r="N27" s="33">
        <f>IF(ISERROR(VLOOKUP($A27,ESPNData!$B:$O,9,0)),"",IF((VLOOKUP($A27,ESPNData!$B:$O,9,0)="--"),0,VLOOKUP($A27,ESPNData!$B:$O,9,0)))</f>
        <v>327</v>
      </c>
      <c r="O27" s="194">
        <f>IF(ISERROR(VLOOKUP($A27,ESPNData!$B:$O,10,0)),"",IF((VLOOKUP($A27,ESPNData!$B:$O,10,0)="--"),0,VLOOKUP($A27,ESPNData!$B:$O,10,0)))</f>
        <v>1</v>
      </c>
      <c r="P27" s="93">
        <f>IF(ISERROR(VLOOKUP($B27,SportslineData!$A:$O,4,0)),"",ROUND(VLOOKUP($B27,SportslineData!$A:$O,4,0),0))</f>
        <v>327</v>
      </c>
      <c r="Q27" s="33">
        <f>IF(ISERROR(VLOOKUP($B27,SportslineData!$A:$O,5,0)),"",VLOOKUP($B27,SportslineData!$A:$O,5,0))</f>
        <v>3659</v>
      </c>
      <c r="R27" s="33">
        <f>IF(ISERROR(VLOOKUP($B27,SportslineData!$A:$O,6,0)),"",ROUND(VLOOKUP($B27,SportslineData!$A:$O,6,0),0))</f>
        <v>24</v>
      </c>
      <c r="S27" s="33">
        <f>IF(ISERROR(VLOOKUP($B27,SportslineData!$A:$O,7,0)),"",ROUND(VLOOKUP($B27,SportslineData!$A:$O,7,0),0))</f>
        <v>10</v>
      </c>
      <c r="T27" s="33">
        <f>IF(ISERROR(VLOOKUP($B27,SportslineData!$A:$O,11,0)),"",VLOOKUP($B27,SportslineData!$A:$O,11,0))</f>
        <v>284.5</v>
      </c>
      <c r="U27" s="33">
        <f>IF(ISERROR(VLOOKUP($B27,SportslineData!$A:$O,13,0)),"",ROUND(VLOOKUP($B27,SportslineData!$A:$O,13,0),0))</f>
        <v>2</v>
      </c>
      <c r="V27" s="64">
        <f>IF(ISERROR(VLOOKUP($B27,SportslineData!$A:$O,14,0)),"",ROUND(VLOOKUP($B27,SportslineData!$A:$O,14,0),0))</f>
        <v>3</v>
      </c>
      <c r="W27" s="117"/>
      <c r="X27" s="33"/>
      <c r="Y27" s="38">
        <f>IF((E27=""),0,ROUND((((((ROUNDDOWN((E27/5),0)*Settings!$F$3)+(F27*Settings!$I$3))+(G27*Settings!$F$4))+(ROUNDDOWN((H27/5),0)*Settings!$F$7))+(I27*Settings!$I$7)),1))</f>
        <v>317.5</v>
      </c>
      <c r="Z27" s="38">
        <f>IF((K27=""),0,ROUND((((((ROUNDDOWN((K27/5),0)*Settings!$F$3)+(L27*Settings!$I$3))+(M27*Settings!$F$4))+(ROUNDDOWN((N27/5),0)*Settings!$F$7))+(O27*Settings!$I$7)),1))</f>
        <v>255.3</v>
      </c>
      <c r="AA27" s="38">
        <f>IF((Q27=""),0,ROUND(((((((ROUNDDOWN((Q27/5),0)*Settings!$F$3)+(R27*Settings!$I$3))+(S27*Settings!$F$4))+(ROUNDDOWN((T27/5),0)*Settings!$F$7))+(U27*Settings!$I$7))+(V27*Settings!$F$15)),1))</f>
        <v>307.2</v>
      </c>
      <c r="AB27" s="66">
        <f>ROUND((((Y27*Settings!$B$21)+(Z27*Settings!$B$22))+(AA27*Settings!$B$23)),1)</f>
        <v>293.5</v>
      </c>
      <c r="AC27" s="66">
        <f>IF(ISERROR(VLOOKUP(RANK(AB27,$AB$4:$AB$102),AC$4:AC26,1,0)),RANK(AB27,$AB$4:$AB$102),IF(ISERROR(VLOOKUP((RANK(AB27,$AB$4:$AB$102)+1),AC$4:AC26,1,0)),(RANK(AB27,$AB$4:$AB$102)+1),IF(ISERROR(VLOOKUP((RANK(AB27,$AB$4:$AB$102)+2),AC$4:AC26,1,0)),(RANK(AB27,$AB$4:$AB$102)+2),(RANK(AB27,$AB$4:$AB$102)+3))))</f>
        <v>18</v>
      </c>
      <c r="AD27" t="str">
        <f t="shared" si="2"/>
        <v>Alex Smith</v>
      </c>
    </row>
    <row r="28" spans="1:30" ht="12.75" customHeight="1">
      <c r="A28" s="33" t="str">
        <f>ESPNData!B27</f>
        <v>EJ Manuel, Buf QB</v>
      </c>
      <c r="B28" s="33" t="str">
        <f t="shared" si="0"/>
        <v>EJ Manuel</v>
      </c>
      <c r="C28" s="64" t="str">
        <f t="shared" si="1"/>
        <v>BUF</v>
      </c>
      <c r="D28" s="117">
        <f>IF(ISERROR(VLOOKUP($B28,FFTodayData!$B:$M,4,0)),"",VLOOKUP($B28,FFTodayData!$B:$M,4,0))</f>
        <v>311</v>
      </c>
      <c r="E28" s="33">
        <f>IF(ISERROR(VLOOKUP($B28,FFTodayData!$B:$M,6,0)),"",VLOOKUP($B28,FFTodayData!$B:$M,6,0))</f>
        <v>3528</v>
      </c>
      <c r="F28" s="33">
        <f>IF(ISERROR(VLOOKUP($B28,FFTodayData!$B:$M,7,0)),"",VLOOKUP($B28,FFTodayData!$B:$M,7,0))</f>
        <v>17</v>
      </c>
      <c r="G28" s="33">
        <f>IF(ISERROR(VLOOKUP($B28,FFTodayData!$B:$M,8,0)),"",VLOOKUP($B28,FFTodayData!$B:$M,8,0))</f>
        <v>15</v>
      </c>
      <c r="H28" s="33">
        <f>IF(ISERROR(VLOOKUP($B28,FFTodayData!$B:$M,10,0)),"",VLOOKUP($B28,FFTodayData!$B:$M,10,0))</f>
        <v>285</v>
      </c>
      <c r="I28" s="64">
        <f>IF(ISERROR(VLOOKUP($B28,FFTodayData!$B:$M,11,0)),"",VLOOKUP($B28,FFTodayData!$B:$M,11,0))</f>
        <v>2</v>
      </c>
      <c r="J28" s="117">
        <f>VALUE(IF(ISERROR(VLOOKUP($A28,ESPNData!$B:$O,4,0)),"",IF((VLOOKUP($A28,ESPNData!$B:$O,4,0)="--/--"),0,LEFT(VLOOKUP($A28,ESPNData!$B:$O,4,0),(FIND("/",VLOOKUP($A28,ESPNData!$B:$O,4,0))-1)))))</f>
        <v>224</v>
      </c>
      <c r="K28" s="33">
        <f>IF(ISERROR(VLOOKUP($A28,ESPNData!$B:$O,5,0)),"",IF((VLOOKUP($A28,ESPNData!$B:$O,5,0)="--"),0,VLOOKUP($A28,ESPNData!$B:$O,5,0)))</f>
        <v>2558</v>
      </c>
      <c r="L28" s="33">
        <f>IF(ISERROR(VLOOKUP($A28,ESPNData!$B:$O,6,0)),"",IF((VLOOKUP($A28,ESPNData!$B:$O,6,0)="--"),0,VLOOKUP($A28,ESPNData!$B:$O,6,0)))</f>
        <v>14</v>
      </c>
      <c r="M28" s="33">
        <f>IF(ISERROR(VLOOKUP($A28,ESPNData!$B:$O,7,0)),"",IF((VLOOKUP($A28,ESPNData!$B:$O,7,0)="--"),0,VLOOKUP($A28,ESPNData!$B:$O,7,0)))</f>
        <v>11</v>
      </c>
      <c r="N28" s="33">
        <f>IF(ISERROR(VLOOKUP($A28,ESPNData!$B:$O,9,0)),"",IF((VLOOKUP($A28,ESPNData!$B:$O,9,0)="--"),0,VLOOKUP($A28,ESPNData!$B:$O,9,0)))</f>
        <v>304</v>
      </c>
      <c r="O28" s="194">
        <f>IF(ISERROR(VLOOKUP($A28,ESPNData!$B:$O,10,0)),"",IF((VLOOKUP($A28,ESPNData!$B:$O,10,0)="--"),0,VLOOKUP($A28,ESPNData!$B:$O,10,0)))</f>
        <v>3</v>
      </c>
      <c r="P28" s="93">
        <f>IF(ISERROR(VLOOKUP($B28,SportslineData!$A:$O,4,0)),"",ROUND(VLOOKUP($B28,SportslineData!$A:$O,4,0),0))</f>
        <v>275</v>
      </c>
      <c r="Q28" s="33">
        <f>IF(ISERROR(VLOOKUP($B28,SportslineData!$A:$O,5,0)),"",VLOOKUP($B28,SportslineData!$A:$O,5,0))</f>
        <v>3034.5</v>
      </c>
      <c r="R28" s="33">
        <f>IF(ISERROR(VLOOKUP($B28,SportslineData!$A:$O,6,0)),"",ROUND(VLOOKUP($B28,SportslineData!$A:$O,6,0),0))</f>
        <v>18</v>
      </c>
      <c r="S28" s="33">
        <f>IF(ISERROR(VLOOKUP($B28,SportslineData!$A:$O,7,0)),"",ROUND(VLOOKUP($B28,SportslineData!$A:$O,7,0),0))</f>
        <v>15</v>
      </c>
      <c r="T28" s="33">
        <f>IF(ISERROR(VLOOKUP($B28,SportslineData!$A:$O,11,0)),"",VLOOKUP($B28,SportslineData!$A:$O,11,0))</f>
        <v>338.5</v>
      </c>
      <c r="U28" s="33">
        <f>IF(ISERROR(VLOOKUP($B28,SportslineData!$A:$O,13,0)),"",ROUND(VLOOKUP($B28,SportslineData!$A:$O,13,0),0))</f>
        <v>2</v>
      </c>
      <c r="V28" s="64">
        <f>IF(ISERROR(VLOOKUP($B28,SportslineData!$A:$O,14,0)),"",ROUND(VLOOKUP($B28,SportslineData!$A:$O,14,0),0))</f>
        <v>4</v>
      </c>
      <c r="W28" s="117"/>
      <c r="X28" s="33"/>
      <c r="Y28" s="38">
        <f>IF((E28=""),0,ROUND((((((ROUNDDOWN((E28/5),0)*Settings!$F$3)+(F28*Settings!$I$3))+(G28*Settings!$F$4))+(ROUNDDOWN((H28/5),0)*Settings!$F$7))+(I28*Settings!$I$7)),1))</f>
        <v>253.5</v>
      </c>
      <c r="Z28" s="38">
        <f>IF((K28=""),0,ROUND((((((ROUNDDOWN((K28/5),0)*Settings!$F$3)+(L28*Settings!$I$3))+(M28*Settings!$F$4))+(ROUNDDOWN((N28/5),0)*Settings!$F$7))+(O28*Settings!$I$7)),1))</f>
        <v>212.2</v>
      </c>
      <c r="AA28" s="38">
        <f>IF((Q28=""),0,ROUND(((((((ROUNDDOWN((Q28/5),0)*Settings!$F$3)+(R28*Settings!$I$3))+(S28*Settings!$F$4))+(ROUNDDOWN((T28/5),0)*Settings!$F$7))+(U28*Settings!$I$7))+(V28*Settings!$F$15)),1))</f>
        <v>240.7</v>
      </c>
      <c r="AB28" s="66">
        <f>ROUND((((Y28*Settings!$B$21)+(Z28*Settings!$B$22))+(AA28*Settings!$B$23)),1)</f>
        <v>235.5</v>
      </c>
      <c r="AC28" s="66">
        <f>IF(ISERROR(VLOOKUP(RANK(AB28,$AB$4:$AB$102),AC$4:AC27,1,0)),RANK(AB28,$AB$4:$AB$102),IF(ISERROR(VLOOKUP((RANK(AB28,$AB$4:$AB$102)+1),AC$4:AC27,1,0)),(RANK(AB28,$AB$4:$AB$102)+1),IF(ISERROR(VLOOKUP((RANK(AB28,$AB$4:$AB$102)+2),AC$4:AC27,1,0)),(RANK(AB28,$AB$4:$AB$102)+2),(RANK(AB28,$AB$4:$AB$102)+3))))</f>
        <v>25</v>
      </c>
      <c r="AD28" t="str">
        <f t="shared" si="2"/>
        <v>EJ Manuel</v>
      </c>
    </row>
    <row r="29" spans="1:30" ht="12.75" customHeight="1">
      <c r="A29" s="33" t="str">
        <f>ESPNData!B28</f>
        <v>Sam Bradford, StL QB</v>
      </c>
      <c r="B29" s="33" t="str">
        <f t="shared" si="0"/>
        <v>Sam Bradford</v>
      </c>
      <c r="C29" s="64" t="str">
        <f t="shared" si="1"/>
        <v>STL</v>
      </c>
      <c r="D29" s="117">
        <f>IF(ISERROR(VLOOKUP($B29,FFTodayData!$B:$M,4,0)),"",VLOOKUP($B29,FFTodayData!$B:$M,4,0))</f>
        <v>331</v>
      </c>
      <c r="E29" s="33">
        <f>IF(ISERROR(VLOOKUP($B29,FFTodayData!$B:$M,6,0)),"",VLOOKUP($B29,FFTodayData!$B:$M,6,0))</f>
        <v>3640</v>
      </c>
      <c r="F29" s="33">
        <f>IF(ISERROR(VLOOKUP($B29,FFTodayData!$B:$M,7,0)),"",VLOOKUP($B29,FFTodayData!$B:$M,7,0))</f>
        <v>21</v>
      </c>
      <c r="G29" s="33">
        <f>IF(ISERROR(VLOOKUP($B29,FFTodayData!$B:$M,8,0)),"",VLOOKUP($B29,FFTodayData!$B:$M,8,0))</f>
        <v>16</v>
      </c>
      <c r="H29" s="33">
        <f>IF(ISERROR(VLOOKUP($B29,FFTodayData!$B:$M,10,0)),"",VLOOKUP($B29,FFTodayData!$B:$M,10,0))</f>
        <v>79</v>
      </c>
      <c r="I29" s="64">
        <f>IF(ISERROR(VLOOKUP($B29,FFTodayData!$B:$M,11,0)),"",VLOOKUP($B29,FFTodayData!$B:$M,11,0))</f>
        <v>1</v>
      </c>
      <c r="J29" s="117">
        <f>VALUE(IF(ISERROR(VLOOKUP($A29,ESPNData!$B:$O,4,0)),"",IF((VLOOKUP($A29,ESPNData!$B:$O,4,0)="--/--"),0,LEFT(VLOOKUP($A29,ESPNData!$B:$O,4,0),(FIND("/",VLOOKUP($A29,ESPNData!$B:$O,4,0))-1)))))</f>
        <v>288</v>
      </c>
      <c r="K29" s="33">
        <f>IF(ISERROR(VLOOKUP($A29,ESPNData!$B:$O,5,0)),"",IF((VLOOKUP($A29,ESPNData!$B:$O,5,0)="--"),0,VLOOKUP($A29,ESPNData!$B:$O,5,0)))</f>
        <v>3121</v>
      </c>
      <c r="L29" s="33">
        <f>IF(ISERROR(VLOOKUP($A29,ESPNData!$B:$O,6,0)),"",IF((VLOOKUP($A29,ESPNData!$B:$O,6,0)="--"),0,VLOOKUP($A29,ESPNData!$B:$O,6,0)))</f>
        <v>21</v>
      </c>
      <c r="M29" s="33">
        <f>IF(ISERROR(VLOOKUP($A29,ESPNData!$B:$O,7,0)),"",IF((VLOOKUP($A29,ESPNData!$B:$O,7,0)="--"),0,VLOOKUP($A29,ESPNData!$B:$O,7,0)))</f>
        <v>14</v>
      </c>
      <c r="N29" s="33">
        <f>IF(ISERROR(VLOOKUP($A29,ESPNData!$B:$O,9,0)),"",IF((VLOOKUP($A29,ESPNData!$B:$O,9,0)="--"),0,VLOOKUP($A29,ESPNData!$B:$O,9,0)))</f>
        <v>31</v>
      </c>
      <c r="O29" s="194">
        <f>IF(ISERROR(VLOOKUP($A29,ESPNData!$B:$O,10,0)),"",IF((VLOOKUP($A29,ESPNData!$B:$O,10,0)="--"),0,VLOOKUP($A29,ESPNData!$B:$O,10,0)))</f>
        <v>0</v>
      </c>
      <c r="P29" s="93">
        <f>IF(ISERROR(VLOOKUP($B29,SportslineData!$A:$O,4,0)),"",ROUND(VLOOKUP($B29,SportslineData!$A:$O,4,0),0))</f>
        <v>345</v>
      </c>
      <c r="Q29" s="33">
        <f>IF(ISERROR(VLOOKUP($B29,SportslineData!$A:$O,5,0)),"",VLOOKUP($B29,SportslineData!$A:$O,5,0))</f>
        <v>3873.5</v>
      </c>
      <c r="R29" s="33">
        <f>IF(ISERROR(VLOOKUP($B29,SportslineData!$A:$O,6,0)),"",ROUND(VLOOKUP($B29,SportslineData!$A:$O,6,0),0))</f>
        <v>28</v>
      </c>
      <c r="S29" s="33">
        <f>IF(ISERROR(VLOOKUP($B29,SportslineData!$A:$O,7,0)),"",ROUND(VLOOKUP($B29,SportslineData!$A:$O,7,0),0))</f>
        <v>13</v>
      </c>
      <c r="T29" s="33">
        <f>IF(ISERROR(VLOOKUP($B29,SportslineData!$A:$O,11,0)),"",VLOOKUP($B29,SportslineData!$A:$O,11,0))</f>
        <v>106</v>
      </c>
      <c r="U29" s="33">
        <f>IF(ISERROR(VLOOKUP($B29,SportslineData!$A:$O,13,0)),"",ROUND(VLOOKUP($B29,SportslineData!$A:$O,13,0),0))</f>
        <v>1</v>
      </c>
      <c r="V29" s="64">
        <f>IF(ISERROR(VLOOKUP($B29,SportslineData!$A:$O,14,0)),"",ROUND(VLOOKUP($B29,SportslineData!$A:$O,14,0),0))</f>
        <v>3</v>
      </c>
      <c r="W29" s="117"/>
      <c r="X29" s="33"/>
      <c r="Y29" s="38">
        <f>IF((E29=""),0,ROUND((((((ROUNDDOWN((E29/5),0)*Settings!$F$3)+(F29*Settings!$I$3))+(G29*Settings!$F$4))+(ROUNDDOWN((H29/5),0)*Settings!$F$7))+(I29*Settings!$I$7)),1))</f>
        <v>253.1</v>
      </c>
      <c r="Z29" s="38">
        <f>IF((K29=""),0,ROUND((((((ROUNDDOWN((K29/5),0)*Settings!$F$3)+(L29*Settings!$I$3))+(M29*Settings!$F$4))+(ROUNDDOWN((N29/5),0)*Settings!$F$7))+(O29*Settings!$I$7)),1))</f>
        <v>225.8</v>
      </c>
      <c r="AA29" s="38">
        <f>IF((Q29=""),0,ROUND(((((((ROUNDDOWN((Q29/5),0)*Settings!$F$3)+(R29*Settings!$I$3))+(S29*Settings!$F$4))+(ROUNDDOWN((T29/5),0)*Settings!$F$7))+(U29*Settings!$I$7))+(V29*Settings!$F$15)),1))</f>
        <v>310.3</v>
      </c>
      <c r="AB29" s="66">
        <f>ROUND((((Y29*Settings!$B$21)+(Z29*Settings!$B$22))+(AA29*Settings!$B$23)),1)</f>
        <v>263.5</v>
      </c>
      <c r="AC29" s="66">
        <f>IF(ISERROR(VLOOKUP(RANK(AB29,$AB$4:$AB$102),AC$4:AC28,1,0)),RANK(AB29,$AB$4:$AB$102),IF(ISERROR(VLOOKUP((RANK(AB29,$AB$4:$AB$102)+1),AC$4:AC28,1,0)),(RANK(AB29,$AB$4:$AB$102)+1),IF(ISERROR(VLOOKUP((RANK(AB29,$AB$4:$AB$102)+2),AC$4:AC28,1,0)),(RANK(AB29,$AB$4:$AB$102)+2),(RANK(AB29,$AB$4:$AB$102)+3))))</f>
        <v>23</v>
      </c>
      <c r="AD29" t="str">
        <f t="shared" si="2"/>
        <v>Sam Bradford</v>
      </c>
    </row>
    <row r="30" spans="1:30" ht="12.75" customHeight="1">
      <c r="A30" s="33" t="str">
        <f>ESPNData!B29</f>
        <v>Geno Smith, NYJ QB</v>
      </c>
      <c r="B30" s="33" t="str">
        <f t="shared" si="0"/>
        <v>Geno Smith</v>
      </c>
      <c r="C30" s="64" t="str">
        <f t="shared" si="1"/>
        <v>NYJ</v>
      </c>
      <c r="D30" s="117">
        <f>IF(ISERROR(VLOOKUP($B30,FFTodayData!$B:$M,4,0)),"",VLOOKUP($B30,FFTodayData!$B:$M,4,0))</f>
        <v>248</v>
      </c>
      <c r="E30" s="33">
        <f>IF(ISERROR(VLOOKUP($B30,FFTodayData!$B:$M,6,0)),"",VLOOKUP($B30,FFTodayData!$B:$M,6,0))</f>
        <v>2956</v>
      </c>
      <c r="F30" s="33">
        <f>IF(ISERROR(VLOOKUP($B30,FFTodayData!$B:$M,7,0)),"",VLOOKUP($B30,FFTodayData!$B:$M,7,0))</f>
        <v>16</v>
      </c>
      <c r="G30" s="33">
        <f>IF(ISERROR(VLOOKUP($B30,FFTodayData!$B:$M,8,0)),"",VLOOKUP($B30,FFTodayData!$B:$M,8,0))</f>
        <v>12</v>
      </c>
      <c r="H30" s="33">
        <f>IF(ISERROR(VLOOKUP($B30,FFTodayData!$B:$M,10,0)),"",VLOOKUP($B30,FFTodayData!$B:$M,10,0))</f>
        <v>291</v>
      </c>
      <c r="I30" s="64">
        <f>IF(ISERROR(VLOOKUP($B30,FFTodayData!$B:$M,11,0)),"",VLOOKUP($B30,FFTodayData!$B:$M,11,0))</f>
        <v>2</v>
      </c>
      <c r="J30" s="117">
        <f>VALUE(IF(ISERROR(VLOOKUP($A30,ESPNData!$B:$O,4,0)),"",IF((VLOOKUP($A30,ESPNData!$B:$O,4,0)="--/--"),0,LEFT(VLOOKUP($A30,ESPNData!$B:$O,4,0),(FIND("/",VLOOKUP($A30,ESPNData!$B:$O,4,0))-1)))))</f>
        <v>162</v>
      </c>
      <c r="K30" s="33">
        <f>IF(ISERROR(VLOOKUP($A30,ESPNData!$B:$O,5,0)),"",IF((VLOOKUP($A30,ESPNData!$B:$O,5,0)="--"),0,VLOOKUP($A30,ESPNData!$B:$O,5,0)))</f>
        <v>1819</v>
      </c>
      <c r="L30" s="33">
        <f>IF(ISERROR(VLOOKUP($A30,ESPNData!$B:$O,6,0)),"",IF((VLOOKUP($A30,ESPNData!$B:$O,6,0)="--"),0,VLOOKUP($A30,ESPNData!$B:$O,6,0)))</f>
        <v>15</v>
      </c>
      <c r="M30" s="33">
        <f>IF(ISERROR(VLOOKUP($A30,ESPNData!$B:$O,7,0)),"",IF((VLOOKUP($A30,ESPNData!$B:$O,7,0)="--"),0,VLOOKUP($A30,ESPNData!$B:$O,7,0)))</f>
        <v>11</v>
      </c>
      <c r="N30" s="33">
        <f>IF(ISERROR(VLOOKUP($A30,ESPNData!$B:$O,9,0)),"",IF((VLOOKUP($A30,ESPNData!$B:$O,9,0)="--"),0,VLOOKUP($A30,ESPNData!$B:$O,9,0)))</f>
        <v>251</v>
      </c>
      <c r="O30" s="194">
        <f>IF(ISERROR(VLOOKUP($A30,ESPNData!$B:$O,10,0)),"",IF((VLOOKUP($A30,ESPNData!$B:$O,10,0)="--"),0,VLOOKUP($A30,ESPNData!$B:$O,10,0)))</f>
        <v>3</v>
      </c>
      <c r="P30" s="93">
        <f>IF(ISERROR(VLOOKUP($B30,SportslineData!$A:$O,4,0)),"",ROUND(VLOOKUP($B30,SportslineData!$A:$O,4,0),0))</f>
        <v>286</v>
      </c>
      <c r="Q30" s="33">
        <f>IF(ISERROR(VLOOKUP($B30,SportslineData!$A:$O,5,0)),"",VLOOKUP($B30,SportslineData!$A:$O,5,0))</f>
        <v>3126.5</v>
      </c>
      <c r="R30" s="33">
        <f>IF(ISERROR(VLOOKUP($B30,SportslineData!$A:$O,6,0)),"",ROUND(VLOOKUP($B30,SportslineData!$A:$O,6,0),0))</f>
        <v>16</v>
      </c>
      <c r="S30" s="33">
        <f>IF(ISERROR(VLOOKUP($B30,SportslineData!$A:$O,7,0)),"",ROUND(VLOOKUP($B30,SportslineData!$A:$O,7,0),0))</f>
        <v>13</v>
      </c>
      <c r="T30" s="33">
        <f>IF(ISERROR(VLOOKUP($B30,SportslineData!$A:$O,11,0)),"",VLOOKUP($B30,SportslineData!$A:$O,11,0))</f>
        <v>222</v>
      </c>
      <c r="U30" s="33">
        <f>IF(ISERROR(VLOOKUP($B30,SportslineData!$A:$O,13,0)),"",ROUND(VLOOKUP($B30,SportslineData!$A:$O,13,0),0))</f>
        <v>3</v>
      </c>
      <c r="V30" s="64">
        <f>IF(ISERROR(VLOOKUP($B30,SportslineData!$A:$O,14,0)),"",ROUND(VLOOKUP($B30,SportslineData!$A:$O,14,0),0))</f>
        <v>3</v>
      </c>
      <c r="W30" s="117"/>
      <c r="X30" s="33"/>
      <c r="Y30" s="38">
        <f>IF((E30=""),0,ROUND((((((ROUNDDOWN((E30/5),0)*Settings!$F$3)+(F30*Settings!$I$3))+(G30*Settings!$F$4))+(ROUNDDOWN((H30/5),0)*Settings!$F$7))+(I30*Settings!$I$7)),1))</f>
        <v>231.2</v>
      </c>
      <c r="Z30" s="38">
        <f>IF((K30=""),0,ROUND((((((ROUNDDOWN((K30/5),0)*Settings!$F$3)+(L30*Settings!$I$3))+(M30*Settings!$F$4))+(ROUNDDOWN((N30/5),0)*Settings!$F$7))+(O30*Settings!$I$7)),1))</f>
        <v>183.6</v>
      </c>
      <c r="AA30" s="38">
        <f>IF((Q30=""),0,ROUND(((((((ROUNDDOWN((Q30/5),0)*Settings!$F$3)+(R30*Settings!$I$3))+(S30*Settings!$F$4))+(ROUNDDOWN((T30/5),0)*Settings!$F$7))+(U30*Settings!$I$7))+(V30*Settings!$F$15)),1))</f>
        <v>232</v>
      </c>
      <c r="AB30" s="66">
        <f>ROUND((((Y30*Settings!$B$21)+(Z30*Settings!$B$22))+(AA30*Settings!$B$23)),1)</f>
        <v>215.8</v>
      </c>
      <c r="AC30" s="66">
        <f>IF(ISERROR(VLOOKUP(RANK(AB30,$AB$4:$AB$102),AC$4:AC29,1,0)),RANK(AB30,$AB$4:$AB$102),IF(ISERROR(VLOOKUP((RANK(AB30,$AB$4:$AB$102)+1),AC$4:AC29,1,0)),(RANK(AB30,$AB$4:$AB$102)+1),IF(ISERROR(VLOOKUP((RANK(AB30,$AB$4:$AB$102)+2),AC$4:AC29,1,0)),(RANK(AB30,$AB$4:$AB$102)+2),(RANK(AB30,$AB$4:$AB$102)+3))))</f>
        <v>27</v>
      </c>
      <c r="AD30" t="str">
        <f t="shared" si="2"/>
        <v>Geno Smith</v>
      </c>
    </row>
    <row r="31" spans="1:30" ht="12.75" customHeight="1">
      <c r="A31" s="33" t="str">
        <f>ESPNData!B30</f>
        <v>Jake Locker, Ten QB</v>
      </c>
      <c r="B31" s="33" t="str">
        <f t="shared" si="0"/>
        <v>Jake Locker</v>
      </c>
      <c r="C31" s="64" t="str">
        <f t="shared" si="1"/>
        <v>TEN</v>
      </c>
      <c r="D31" s="117">
        <f>IF(ISERROR(VLOOKUP($B31,FFTodayData!$B:$M,4,0)),"",VLOOKUP($B31,FFTodayData!$B:$M,4,0))</f>
        <v>207</v>
      </c>
      <c r="E31" s="33">
        <f>IF(ISERROR(VLOOKUP($B31,FFTodayData!$B:$M,6,0)),"",VLOOKUP($B31,FFTodayData!$B:$M,6,0))</f>
        <v>2249</v>
      </c>
      <c r="F31" s="33">
        <f>IF(ISERROR(VLOOKUP($B31,FFTodayData!$B:$M,7,0)),"",VLOOKUP($B31,FFTodayData!$B:$M,7,0))</f>
        <v>11</v>
      </c>
      <c r="G31" s="33">
        <f>IF(ISERROR(VLOOKUP($B31,FFTodayData!$B:$M,8,0)),"",VLOOKUP($B31,FFTodayData!$B:$M,8,0))</f>
        <v>13</v>
      </c>
      <c r="H31" s="33">
        <f>IF(ISERROR(VLOOKUP($B31,FFTodayData!$B:$M,10,0)),"",VLOOKUP($B31,FFTodayData!$B:$M,10,0))</f>
        <v>262</v>
      </c>
      <c r="I31" s="64">
        <f>IF(ISERROR(VLOOKUP($B31,FFTodayData!$B:$M,11,0)),"",VLOOKUP($B31,FFTodayData!$B:$M,11,0))</f>
        <v>1</v>
      </c>
      <c r="J31" s="117">
        <f>VALUE(IF(ISERROR(VLOOKUP($A31,ESPNData!$B:$O,4,0)),"",IF((VLOOKUP($A31,ESPNData!$B:$O,4,0)="--/--"),0,LEFT(VLOOKUP($A31,ESPNData!$B:$O,4,0),(FIND("/",VLOOKUP($A31,ESPNData!$B:$O,4,0))-1)))))</f>
        <v>209</v>
      </c>
      <c r="K31" s="33">
        <f>IF(ISERROR(VLOOKUP($A31,ESPNData!$B:$O,5,0)),"",IF((VLOOKUP($A31,ESPNData!$B:$O,5,0)="--"),0,VLOOKUP($A31,ESPNData!$B:$O,5,0)))</f>
        <v>2413</v>
      </c>
      <c r="L31" s="33">
        <f>IF(ISERROR(VLOOKUP($A31,ESPNData!$B:$O,6,0)),"",IF((VLOOKUP($A31,ESPNData!$B:$O,6,0)="--"),0,VLOOKUP($A31,ESPNData!$B:$O,6,0)))</f>
        <v>14</v>
      </c>
      <c r="M31" s="33">
        <f>IF(ISERROR(VLOOKUP($A31,ESPNData!$B:$O,7,0)),"",IF((VLOOKUP($A31,ESPNData!$B:$O,7,0)="--"),0,VLOOKUP($A31,ESPNData!$B:$O,7,0)))</f>
        <v>9</v>
      </c>
      <c r="N31" s="33">
        <f>IF(ISERROR(VLOOKUP($A31,ESPNData!$B:$O,9,0)),"",IF((VLOOKUP($A31,ESPNData!$B:$O,9,0)="--"),0,VLOOKUP($A31,ESPNData!$B:$O,9,0)))</f>
        <v>262</v>
      </c>
      <c r="O31" s="194">
        <f>IF(ISERROR(VLOOKUP($A31,ESPNData!$B:$O,10,0)),"",IF((VLOOKUP($A31,ESPNData!$B:$O,10,0)="--"),0,VLOOKUP($A31,ESPNData!$B:$O,10,0)))</f>
        <v>1</v>
      </c>
      <c r="P31" s="93">
        <f>IF(ISERROR(VLOOKUP($B31,SportslineData!$A:$O,4,0)),"",ROUND(VLOOKUP($B31,SportslineData!$A:$O,4,0),0))</f>
        <v>271</v>
      </c>
      <c r="Q31" s="33">
        <f>IF(ISERROR(VLOOKUP($B31,SportslineData!$A:$O,5,0)),"",VLOOKUP($B31,SportslineData!$A:$O,5,0))</f>
        <v>3276</v>
      </c>
      <c r="R31" s="33">
        <f>IF(ISERROR(VLOOKUP($B31,SportslineData!$A:$O,6,0)),"",ROUND(VLOOKUP($B31,SportslineData!$A:$O,6,0),0))</f>
        <v>20</v>
      </c>
      <c r="S31" s="33">
        <f>IF(ISERROR(VLOOKUP($B31,SportslineData!$A:$O,7,0)),"",ROUND(VLOOKUP($B31,SportslineData!$A:$O,7,0),0))</f>
        <v>12</v>
      </c>
      <c r="T31" s="33">
        <f>IF(ISERROR(VLOOKUP($B31,SportslineData!$A:$O,11,0)),"",VLOOKUP($B31,SportslineData!$A:$O,11,0))</f>
        <v>272.5</v>
      </c>
      <c r="U31" s="33">
        <f>IF(ISERROR(VLOOKUP($B31,SportslineData!$A:$O,13,0)),"",ROUND(VLOOKUP($B31,SportslineData!$A:$O,13,0),0))</f>
        <v>3</v>
      </c>
      <c r="V31" s="64">
        <f>IF(ISERROR(VLOOKUP($B31,SportslineData!$A:$O,14,0)),"",ROUND(VLOOKUP($B31,SportslineData!$A:$O,14,0),0))</f>
        <v>3</v>
      </c>
      <c r="W31" s="117"/>
      <c r="X31" s="33"/>
      <c r="Y31" s="38">
        <f>IF((E31=""),0,ROUND((((((ROUNDDOWN((E31/5),0)*Settings!$F$3)+(F31*Settings!$I$3))+(G31*Settings!$F$4))+(ROUNDDOWN((H31/5),0)*Settings!$F$7))+(I31*Settings!$I$7)),1))</f>
        <v>161.80000000000001</v>
      </c>
      <c r="Z31" s="38">
        <f>IF((K31=""),0,ROUND((((((ROUNDDOWN((K31/5),0)*Settings!$F$3)+(L31*Settings!$I$3))+(M31*Settings!$F$4))+(ROUNDDOWN((N31/5),0)*Settings!$F$7))+(O31*Settings!$I$7)),1))</f>
        <v>194.4</v>
      </c>
      <c r="AA31" s="38">
        <f>IF((Q31=""),0,ROUND(((((((ROUNDDOWN((Q31/5),0)*Settings!$F$3)+(R31*Settings!$I$3))+(S31*Settings!$F$4))+(ROUNDDOWN((T31/5),0)*Settings!$F$7))+(U31*Settings!$I$7))+(V31*Settings!$F$15)),1))</f>
        <v>269</v>
      </c>
      <c r="AB31" s="66">
        <f>ROUND((((Y31*Settings!$B$21)+(Z31*Settings!$B$22))+(AA31*Settings!$B$23)),1)</f>
        <v>209</v>
      </c>
      <c r="AC31" s="66">
        <f>IF(ISERROR(VLOOKUP(RANK(AB31,$AB$4:$AB$102),AC$4:AC30,1,0)),RANK(AB31,$AB$4:$AB$102),IF(ISERROR(VLOOKUP((RANK(AB31,$AB$4:$AB$102)+1),AC$4:AC30,1,0)),(RANK(AB31,$AB$4:$AB$102)+1),IF(ISERROR(VLOOKUP((RANK(AB31,$AB$4:$AB$102)+2),AC$4:AC30,1,0)),(RANK(AB31,$AB$4:$AB$102)+2),(RANK(AB31,$AB$4:$AB$102)+3))))</f>
        <v>28</v>
      </c>
      <c r="AD31" t="str">
        <f t="shared" si="2"/>
        <v>Jake Locker</v>
      </c>
    </row>
    <row r="32" spans="1:30" ht="12.75" customHeight="1">
      <c r="A32" s="33" t="str">
        <f>ESPNData!B31</f>
        <v>Michael Vick, NYJ QB</v>
      </c>
      <c r="B32" s="33" t="str">
        <f t="shared" si="0"/>
        <v>Michael Vick</v>
      </c>
      <c r="C32" s="64" t="str">
        <f t="shared" si="1"/>
        <v>NYJ</v>
      </c>
      <c r="D32" s="117">
        <f>IF(ISERROR(VLOOKUP($B32,FFTodayData!$B:$M,4,0)),"",VLOOKUP($B32,FFTodayData!$B:$M,4,0))</f>
        <v>41</v>
      </c>
      <c r="E32" s="33">
        <f>IF(ISERROR(VLOOKUP($B32,FFTodayData!$B:$M,6,0)),"",VLOOKUP($B32,FFTodayData!$B:$M,6,0))</f>
        <v>475</v>
      </c>
      <c r="F32" s="33">
        <f>IF(ISERROR(VLOOKUP($B32,FFTodayData!$B:$M,7,0)),"",VLOOKUP($B32,FFTodayData!$B:$M,7,0))</f>
        <v>3</v>
      </c>
      <c r="G32" s="33">
        <f>IF(ISERROR(VLOOKUP($B32,FFTodayData!$B:$M,8,0)),"",VLOOKUP($B32,FFTodayData!$B:$M,8,0))</f>
        <v>2</v>
      </c>
      <c r="H32" s="33">
        <f>IF(ISERROR(VLOOKUP($B32,FFTodayData!$B:$M,10,0)),"",VLOOKUP($B32,FFTodayData!$B:$M,10,0))</f>
        <v>76</v>
      </c>
      <c r="I32" s="64">
        <f>IF(ISERROR(VLOOKUP($B32,FFTodayData!$B:$M,11,0)),"",VLOOKUP($B32,FFTodayData!$B:$M,11,0))</f>
        <v>1</v>
      </c>
      <c r="J32" s="117">
        <f>VALUE(IF(ISERROR(VLOOKUP($A32,ESPNData!$B:$O,4,0)),"",IF((VLOOKUP($A32,ESPNData!$B:$O,4,0)="--/--"),0,LEFT(VLOOKUP($A32,ESPNData!$B:$O,4,0),(FIND("/",VLOOKUP($A32,ESPNData!$B:$O,4,0))-1)))))</f>
        <v>138</v>
      </c>
      <c r="K32" s="33">
        <f>IF(ISERROR(VLOOKUP($A32,ESPNData!$B:$O,5,0)),"",IF((VLOOKUP($A32,ESPNData!$B:$O,5,0)="--"),0,VLOOKUP($A32,ESPNData!$B:$O,5,0)))</f>
        <v>1843</v>
      </c>
      <c r="L32" s="33">
        <f>IF(ISERROR(VLOOKUP($A32,ESPNData!$B:$O,6,0)),"",IF((VLOOKUP($A32,ESPNData!$B:$O,6,0)="--"),0,VLOOKUP($A32,ESPNData!$B:$O,6,0)))</f>
        <v>11</v>
      </c>
      <c r="M32" s="33">
        <f>IF(ISERROR(VLOOKUP($A32,ESPNData!$B:$O,7,0)),"",IF((VLOOKUP($A32,ESPNData!$B:$O,7,0)="--"),0,VLOOKUP($A32,ESPNData!$B:$O,7,0)))</f>
        <v>9</v>
      </c>
      <c r="N32" s="33">
        <f>IF(ISERROR(VLOOKUP($A32,ESPNData!$B:$O,9,0)),"",IF((VLOOKUP($A32,ESPNData!$B:$O,9,0)="--"),0,VLOOKUP($A32,ESPNData!$B:$O,9,0)))</f>
        <v>298</v>
      </c>
      <c r="O32" s="194">
        <f>IF(ISERROR(VLOOKUP($A32,ESPNData!$B:$O,10,0)),"",IF((VLOOKUP($A32,ESPNData!$B:$O,10,0)="--"),0,VLOOKUP($A32,ESPNData!$B:$O,10,0)))</f>
        <v>2</v>
      </c>
      <c r="P32" s="93">
        <f>IF(ISERROR(VLOOKUP($B32,SportslineData!$A:$O,4,0)),"",ROUND(VLOOKUP($B32,SportslineData!$A:$O,4,0),0))</f>
        <v>96</v>
      </c>
      <c r="Q32" s="33">
        <f>IF(ISERROR(VLOOKUP($B32,SportslineData!$A:$O,5,0)),"",VLOOKUP($B32,SportslineData!$A:$O,5,0))</f>
        <v>1046</v>
      </c>
      <c r="R32" s="33">
        <f>IF(ISERROR(VLOOKUP($B32,SportslineData!$A:$O,6,0)),"",ROUND(VLOOKUP($B32,SportslineData!$A:$O,6,0),0))</f>
        <v>7</v>
      </c>
      <c r="S32" s="33">
        <f>IF(ISERROR(VLOOKUP($B32,SportslineData!$A:$O,7,0)),"",ROUND(VLOOKUP($B32,SportslineData!$A:$O,7,0),0))</f>
        <v>5</v>
      </c>
      <c r="T32" s="33">
        <f>IF(ISERROR(VLOOKUP($B32,SportslineData!$A:$O,11,0)),"",VLOOKUP($B32,SportslineData!$A:$O,11,0))</f>
        <v>176.5</v>
      </c>
      <c r="U32" s="33">
        <f>IF(ISERROR(VLOOKUP($B32,SportslineData!$A:$O,13,0)),"",ROUND(VLOOKUP($B32,SportslineData!$A:$O,13,0),0))</f>
        <v>2</v>
      </c>
      <c r="V32" s="64">
        <f>IF(ISERROR(VLOOKUP($B32,SportslineData!$A:$O,14,0)),"",ROUND(VLOOKUP($B32,SportslineData!$A:$O,14,0),0))</f>
        <v>2</v>
      </c>
      <c r="W32" s="117"/>
      <c r="X32" s="33"/>
      <c r="Y32" s="38">
        <f>IF((E32=""),0,ROUND((((((ROUNDDOWN((E32/5),0)*Settings!$F$3)+(F32*Settings!$I$3))+(G32*Settings!$F$4))+(ROUNDDOWN((H32/5),0)*Settings!$F$7))+(I32*Settings!$I$7)),1))</f>
        <v>46.5</v>
      </c>
      <c r="Z32" s="38">
        <f>IF((K32=""),0,ROUND((((((ROUNDDOWN((K32/5),0)*Settings!$F$3)+(L32*Settings!$I$3))+(M32*Settings!$F$4))+(ROUNDDOWN((N32/5),0)*Settings!$F$7))+(O32*Settings!$I$7)),1))</f>
        <v>163.1</v>
      </c>
      <c r="AA32" s="38">
        <f>IF((Q32=""),0,ROUND(((((((ROUNDDOWN((Q32/5),0)*Settings!$F$3)+(R32*Settings!$I$3))+(S32*Settings!$F$4))+(ROUNDDOWN((T32/5),0)*Settings!$F$7))+(U32*Settings!$I$7))+(V32*Settings!$F$15)),1))</f>
        <v>101.3</v>
      </c>
      <c r="AB32" s="66">
        <f>ROUND((((Y32*Settings!$B$21)+(Z32*Settings!$B$22))+(AA32*Settings!$B$23)),1)</f>
        <v>103.6</v>
      </c>
      <c r="AC32" s="66">
        <f>IF(ISERROR(VLOOKUP(RANK(AB32,$AB$4:$AB$102),AC$4:AC31,1,0)),RANK(AB32,$AB$4:$AB$102),IF(ISERROR(VLOOKUP((RANK(AB32,$AB$4:$AB$102)+1),AC$4:AC31,1,0)),(RANK(AB32,$AB$4:$AB$102)+1),IF(ISERROR(VLOOKUP((RANK(AB32,$AB$4:$AB$102)+2),AC$4:AC31,1,0)),(RANK(AB32,$AB$4:$AB$102)+2),(RANK(AB32,$AB$4:$AB$102)+3))))</f>
        <v>34</v>
      </c>
      <c r="AD32" t="str">
        <f t="shared" si="2"/>
        <v>Michael Vick</v>
      </c>
    </row>
    <row r="33" spans="1:30" ht="12.75" customHeight="1">
      <c r="A33" s="33" t="str">
        <f>ESPNData!B32</f>
        <v>Matt Schaub, Oak QB</v>
      </c>
      <c r="B33" s="33" t="str">
        <f t="shared" si="0"/>
        <v>Matt Schaub</v>
      </c>
      <c r="C33" s="64" t="str">
        <f t="shared" si="1"/>
        <v>OAK</v>
      </c>
      <c r="D33" s="117">
        <f>IF(ISERROR(VLOOKUP($B33,FFTodayData!$B:$M,4,0)),"",VLOOKUP($B33,FFTodayData!$B:$M,4,0))</f>
        <v>308</v>
      </c>
      <c r="E33" s="33">
        <f>IF(ISERROR(VLOOKUP($B33,FFTodayData!$B:$M,6,0)),"",VLOOKUP($B33,FFTodayData!$B:$M,6,0))</f>
        <v>3540</v>
      </c>
      <c r="F33" s="33">
        <f>IF(ISERROR(VLOOKUP($B33,FFTodayData!$B:$M,7,0)),"",VLOOKUP($B33,FFTodayData!$B:$M,7,0))</f>
        <v>22</v>
      </c>
      <c r="G33" s="33">
        <f>IF(ISERROR(VLOOKUP($B33,FFTodayData!$B:$M,8,0)),"",VLOOKUP($B33,FFTodayData!$B:$M,8,0))</f>
        <v>17</v>
      </c>
      <c r="H33" s="33">
        <f>IF(ISERROR(VLOOKUP($B33,FFTodayData!$B:$M,10,0)),"",VLOOKUP($B33,FFTodayData!$B:$M,10,0))</f>
        <v>46</v>
      </c>
      <c r="I33" s="64">
        <f>IF(ISERROR(VLOOKUP($B33,FFTodayData!$B:$M,11,0)),"",VLOOKUP($B33,FFTodayData!$B:$M,11,0))</f>
        <v>0</v>
      </c>
      <c r="J33" s="117">
        <f>VALUE(IF(ISERROR(VLOOKUP($A33,ESPNData!$B:$O,4,0)),"",IF((VLOOKUP($A33,ESPNData!$B:$O,4,0)="--/--"),0,LEFT(VLOOKUP($A33,ESPNData!$B:$O,4,0),(FIND("/",VLOOKUP($A33,ESPNData!$B:$O,4,0))-1)))))</f>
        <v>230</v>
      </c>
      <c r="K33" s="33">
        <f>IF(ISERROR(VLOOKUP($A33,ESPNData!$B:$O,5,0)),"",IF((VLOOKUP($A33,ESPNData!$B:$O,5,0)="--"),0,VLOOKUP($A33,ESPNData!$B:$O,5,0)))</f>
        <v>2475</v>
      </c>
      <c r="L33" s="33">
        <f>IF(ISERROR(VLOOKUP($A33,ESPNData!$B:$O,6,0)),"",IF((VLOOKUP($A33,ESPNData!$B:$O,6,0)="--"),0,VLOOKUP($A33,ESPNData!$B:$O,6,0)))</f>
        <v>12</v>
      </c>
      <c r="M33" s="33">
        <f>IF(ISERROR(VLOOKUP($A33,ESPNData!$B:$O,7,0)),"",IF((VLOOKUP($A33,ESPNData!$B:$O,7,0)="--"),0,VLOOKUP($A33,ESPNData!$B:$O,7,0)))</f>
        <v>12</v>
      </c>
      <c r="N33" s="33">
        <f>IF(ISERROR(VLOOKUP($A33,ESPNData!$B:$O,9,0)),"",IF((VLOOKUP($A33,ESPNData!$B:$O,9,0)="--"),0,VLOOKUP($A33,ESPNData!$B:$O,9,0)))</f>
        <v>41</v>
      </c>
      <c r="O33" s="194">
        <f>IF(ISERROR(VLOOKUP($A33,ESPNData!$B:$O,10,0)),"",IF((VLOOKUP($A33,ESPNData!$B:$O,10,0)="--"),0,VLOOKUP($A33,ESPNData!$B:$O,10,0)))</f>
        <v>0</v>
      </c>
      <c r="P33" s="93">
        <f>IF(ISERROR(VLOOKUP($B33,SportslineData!$A:$O,4,0)),"",ROUND(VLOOKUP($B33,SportslineData!$A:$O,4,0),0))</f>
        <v>279</v>
      </c>
      <c r="Q33" s="33">
        <f>IF(ISERROR(VLOOKUP($B33,SportslineData!$A:$O,5,0)),"",VLOOKUP($B33,SportslineData!$A:$O,5,0))</f>
        <v>3133</v>
      </c>
      <c r="R33" s="33">
        <f>IF(ISERROR(VLOOKUP($B33,SportslineData!$A:$O,6,0)),"",ROUND(VLOOKUP($B33,SportslineData!$A:$O,6,0),0))</f>
        <v>18</v>
      </c>
      <c r="S33" s="33">
        <f>IF(ISERROR(VLOOKUP($B33,SportslineData!$A:$O,7,0)),"",ROUND(VLOOKUP($B33,SportslineData!$A:$O,7,0),0))</f>
        <v>14</v>
      </c>
      <c r="T33" s="33">
        <f>IF(ISERROR(VLOOKUP($B33,SportslineData!$A:$O,11,0)),"",VLOOKUP($B33,SportslineData!$A:$O,11,0))</f>
        <v>24.5</v>
      </c>
      <c r="U33" s="33">
        <f>IF(ISERROR(VLOOKUP($B33,SportslineData!$A:$O,13,0)),"",ROUND(VLOOKUP($B33,SportslineData!$A:$O,13,0),0))</f>
        <v>0</v>
      </c>
      <c r="V33" s="64">
        <f>IF(ISERROR(VLOOKUP($B33,SportslineData!$A:$O,14,0)),"",ROUND(VLOOKUP($B33,SportslineData!$A:$O,14,0),0))</f>
        <v>3</v>
      </c>
      <c r="W33" s="117"/>
      <c r="X33" s="33"/>
      <c r="Y33" s="38">
        <f>IF((E33=""),0,ROUND((((((ROUNDDOWN((E33/5),0)*Settings!$F$3)+(F33*Settings!$I$3))+(G33*Settings!$F$4))+(ROUNDDOWN((H33/5),0)*Settings!$F$7))+(I33*Settings!$I$7)),1))</f>
        <v>244.1</v>
      </c>
      <c r="Z33" s="38">
        <f>IF((K33=""),0,ROUND((((((ROUNDDOWN((K33/5),0)*Settings!$F$3)+(L33*Settings!$I$3))+(M33*Settings!$F$4))+(ROUNDDOWN((N33/5),0)*Settings!$F$7))+(O33*Settings!$I$7)),1))</f>
        <v>151</v>
      </c>
      <c r="AA33" s="38">
        <f>IF((Q33=""),0,ROUND(((((((ROUNDDOWN((Q33/5),0)*Settings!$F$3)+(R33*Settings!$I$3))+(S33*Settings!$F$4))+(ROUNDDOWN((T33/5),0)*Settings!$F$7))+(U33*Settings!$I$7))+(V33*Settings!$F$15)),1))</f>
        <v>204.2</v>
      </c>
      <c r="AB33" s="66">
        <f>ROUND((((Y33*Settings!$B$21)+(Z33*Settings!$B$22))+(AA33*Settings!$B$23)),1)</f>
        <v>199.8</v>
      </c>
      <c r="AC33" s="66">
        <f>IF(ISERROR(VLOOKUP(RANK(AB33,$AB$4:$AB$102),AC$4:AC32,1,0)),RANK(AB33,$AB$4:$AB$102),IF(ISERROR(VLOOKUP((RANK(AB33,$AB$4:$AB$102)+1),AC$4:AC32,1,0)),(RANK(AB33,$AB$4:$AB$102)+1),IF(ISERROR(VLOOKUP((RANK(AB33,$AB$4:$AB$102)+2),AC$4:AC32,1,0)),(RANK(AB33,$AB$4:$AB$102)+2),(RANK(AB33,$AB$4:$AB$102)+3))))</f>
        <v>29</v>
      </c>
      <c r="AD33" t="str">
        <f t="shared" si="2"/>
        <v>Matt Schaub</v>
      </c>
    </row>
    <row r="34" spans="1:30" ht="12.75" customHeight="1">
      <c r="A34" s="33" t="str">
        <f>ESPNData!B33</f>
        <v>Chad Henne, Jac QB</v>
      </c>
      <c r="B34" s="33" t="str">
        <f t="shared" si="0"/>
        <v>Chad Henne</v>
      </c>
      <c r="C34" s="64" t="str">
        <f t="shared" si="1"/>
        <v>JAC</v>
      </c>
      <c r="D34" s="117">
        <f>IF(ISERROR(VLOOKUP($B34,FFTodayData!$B:$M,4,0)),"",VLOOKUP($B34,FFTodayData!$B:$M,4,0))</f>
        <v>226</v>
      </c>
      <c r="E34" s="33">
        <f>IF(ISERROR(VLOOKUP($B34,FFTodayData!$B:$M,6,0)),"",VLOOKUP($B34,FFTodayData!$B:$M,6,0))</f>
        <v>2456</v>
      </c>
      <c r="F34" s="33">
        <f>IF(ISERROR(VLOOKUP($B34,FFTodayData!$B:$M,7,0)),"",VLOOKUP($B34,FFTodayData!$B:$M,7,0))</f>
        <v>13</v>
      </c>
      <c r="G34" s="33">
        <f>IF(ISERROR(VLOOKUP($B34,FFTodayData!$B:$M,8,0)),"",VLOOKUP($B34,FFTodayData!$B:$M,8,0))</f>
        <v>11</v>
      </c>
      <c r="H34" s="33">
        <f>IF(ISERROR(VLOOKUP($B34,FFTodayData!$B:$M,10,0)),"",VLOOKUP($B34,FFTodayData!$B:$M,10,0))</f>
        <v>34</v>
      </c>
      <c r="I34" s="64">
        <f>IF(ISERROR(VLOOKUP($B34,FFTodayData!$B:$M,11,0)),"",VLOOKUP($B34,FFTodayData!$B:$M,11,0))</f>
        <v>0</v>
      </c>
      <c r="J34" s="117">
        <f>VALUE(IF(ISERROR(VLOOKUP($A34,ESPNData!$B:$O,4,0)),"",IF((VLOOKUP($A34,ESPNData!$B:$O,4,0)="--/--"),0,LEFT(VLOOKUP($A34,ESPNData!$B:$O,4,0),(FIND("/",VLOOKUP($A34,ESPNData!$B:$O,4,0))-1)))))</f>
        <v>216</v>
      </c>
      <c r="K34" s="33">
        <f>IF(ISERROR(VLOOKUP($A34,ESPNData!$B:$O,5,0)),"",IF((VLOOKUP($A34,ESPNData!$B:$O,5,0)="--"),0,VLOOKUP($A34,ESPNData!$B:$O,5,0)))</f>
        <v>2435</v>
      </c>
      <c r="L34" s="33">
        <f>IF(ISERROR(VLOOKUP($A34,ESPNData!$B:$O,6,0)),"",IF((VLOOKUP($A34,ESPNData!$B:$O,6,0)="--"),0,VLOOKUP($A34,ESPNData!$B:$O,6,0)))</f>
        <v>11</v>
      </c>
      <c r="M34" s="33">
        <f>IF(ISERROR(VLOOKUP($A34,ESPNData!$B:$O,7,0)),"",IF((VLOOKUP($A34,ESPNData!$B:$O,7,0)="--"),0,VLOOKUP($A34,ESPNData!$B:$O,7,0)))</f>
        <v>12</v>
      </c>
      <c r="N34" s="33">
        <f>IF(ISERROR(VLOOKUP($A34,ESPNData!$B:$O,9,0)),"",IF((VLOOKUP($A34,ESPNData!$B:$O,9,0)="--"),0,VLOOKUP($A34,ESPNData!$B:$O,9,0)))</f>
        <v>79</v>
      </c>
      <c r="O34" s="194">
        <f>IF(ISERROR(VLOOKUP($A34,ESPNData!$B:$O,10,0)),"",IF((VLOOKUP($A34,ESPNData!$B:$O,10,0)="--"),0,VLOOKUP($A34,ESPNData!$B:$O,10,0)))</f>
        <v>0</v>
      </c>
      <c r="P34" s="93">
        <f>IF(ISERROR(VLOOKUP($B34,SportslineData!$A:$O,4,0)),"",ROUND(VLOOKUP($B34,SportslineData!$A:$O,4,0),0))</f>
        <v>212</v>
      </c>
      <c r="Q34" s="33">
        <f>IF(ISERROR(VLOOKUP($B34,SportslineData!$A:$O,5,0)),"",VLOOKUP($B34,SportslineData!$A:$O,5,0))</f>
        <v>2475.5</v>
      </c>
      <c r="R34" s="33">
        <f>IF(ISERROR(VLOOKUP($B34,SportslineData!$A:$O,6,0)),"",ROUND(VLOOKUP($B34,SportslineData!$A:$O,6,0),0))</f>
        <v>12</v>
      </c>
      <c r="S34" s="33">
        <f>IF(ISERROR(VLOOKUP($B34,SportslineData!$A:$O,7,0)),"",ROUND(VLOOKUP($B34,SportslineData!$A:$O,7,0),0))</f>
        <v>11</v>
      </c>
      <c r="T34" s="33">
        <f>IF(ISERROR(VLOOKUP($B34,SportslineData!$A:$O,11,0)),"",VLOOKUP($B34,SportslineData!$A:$O,11,0))</f>
        <v>46.5</v>
      </c>
      <c r="U34" s="33">
        <f>IF(ISERROR(VLOOKUP($B34,SportslineData!$A:$O,13,0)),"",ROUND(VLOOKUP($B34,SportslineData!$A:$O,13,0),0))</f>
        <v>0</v>
      </c>
      <c r="V34" s="64">
        <f>IF(ISERROR(VLOOKUP($B34,SportslineData!$A:$O,14,0)),"",ROUND(VLOOKUP($B34,SportslineData!$A:$O,14,0),0))</f>
        <v>2</v>
      </c>
      <c r="W34" s="117"/>
      <c r="X34" s="33"/>
      <c r="Y34" s="38">
        <f>IF((E34=""),0,ROUND((((((ROUNDDOWN((E34/5),0)*Settings!$F$3)+(F34*Settings!$I$3))+(G34*Settings!$F$4))+(ROUNDDOWN((H34/5),0)*Settings!$F$7))+(I34*Settings!$I$7)),1))</f>
        <v>157.19999999999999</v>
      </c>
      <c r="Z34" s="38">
        <f>IF((K34=""),0,ROUND((((((ROUNDDOWN((K34/5),0)*Settings!$F$3)+(L34*Settings!$I$3))+(M34*Settings!$F$4))+(ROUNDDOWN((N34/5),0)*Settings!$F$7))+(O34*Settings!$I$7)),1))</f>
        <v>146.9</v>
      </c>
      <c r="AA34" s="38">
        <f>IF((Q34=""),0,ROUND(((((((ROUNDDOWN((Q34/5),0)*Settings!$F$3)+(R34*Settings!$I$3))+(S34*Settings!$F$4))+(ROUNDDOWN((T34/5),0)*Settings!$F$7))+(U34*Settings!$I$7))+(V34*Settings!$F$15)),1))</f>
        <v>151.5</v>
      </c>
      <c r="AB34" s="66">
        <f>ROUND((((Y34*Settings!$B$21)+(Z34*Settings!$B$22))+(AA34*Settings!$B$23)),1)</f>
        <v>151.9</v>
      </c>
      <c r="AC34" s="66">
        <f>IF(ISERROR(VLOOKUP(RANK(AB34,$AB$4:$AB$102),AC$4:AC33,1,0)),RANK(AB34,$AB$4:$AB$102),IF(ISERROR(VLOOKUP((RANK(AB34,$AB$4:$AB$102)+1),AC$4:AC33,1,0)),(RANK(AB34,$AB$4:$AB$102)+1),IF(ISERROR(VLOOKUP((RANK(AB34,$AB$4:$AB$102)+2),AC$4:AC33,1,0)),(RANK(AB34,$AB$4:$AB$102)+2),(RANK(AB34,$AB$4:$AB$102)+3))))</f>
        <v>32</v>
      </c>
      <c r="AD34" t="str">
        <f t="shared" si="2"/>
        <v>Chad Henne</v>
      </c>
    </row>
    <row r="35" spans="1:30" ht="12.75" customHeight="1">
      <c r="A35" s="33" t="str">
        <f>ESPNData!B34</f>
        <v>Ryan Fitzpatrick, Hou QB</v>
      </c>
      <c r="B35" s="33" t="str">
        <f t="shared" si="0"/>
        <v>Ryan Fitzpatrick</v>
      </c>
      <c r="C35" s="64" t="str">
        <f t="shared" si="1"/>
        <v>HOU</v>
      </c>
      <c r="D35" s="117">
        <f>IF(ISERROR(VLOOKUP($B35,FFTodayData!$B:$M,4,0)),"",VLOOKUP($B35,FFTodayData!$B:$M,4,0))</f>
        <v>206</v>
      </c>
      <c r="E35" s="33">
        <f>IF(ISERROR(VLOOKUP($B35,FFTodayData!$B:$M,6,0)),"",VLOOKUP($B35,FFTodayData!$B:$M,6,0))</f>
        <v>2365</v>
      </c>
      <c r="F35" s="33">
        <f>IF(ISERROR(VLOOKUP($B35,FFTodayData!$B:$M,7,0)),"",VLOOKUP($B35,FFTodayData!$B:$M,7,0))</f>
        <v>15</v>
      </c>
      <c r="G35" s="33">
        <f>IF(ISERROR(VLOOKUP($B35,FFTodayData!$B:$M,8,0)),"",VLOOKUP($B35,FFTodayData!$B:$M,8,0))</f>
        <v>14</v>
      </c>
      <c r="H35" s="33">
        <f>IF(ISERROR(VLOOKUP($B35,FFTodayData!$B:$M,10,0)),"",VLOOKUP($B35,FFTodayData!$B:$M,10,0))</f>
        <v>204</v>
      </c>
      <c r="I35" s="64">
        <f>IF(ISERROR(VLOOKUP($B35,FFTodayData!$B:$M,11,0)),"",VLOOKUP($B35,FFTodayData!$B:$M,11,0))</f>
        <v>1</v>
      </c>
      <c r="J35" s="117">
        <f>VALUE(IF(ISERROR(VLOOKUP($A35,ESPNData!$B:$O,4,0)),"",IF((VLOOKUP($A35,ESPNData!$B:$O,4,0)="--/--"),0,LEFT(VLOOKUP($A35,ESPNData!$B:$O,4,0),(FIND("/",VLOOKUP($A35,ESPNData!$B:$O,4,0))-1)))))</f>
        <v>245</v>
      </c>
      <c r="K35" s="33">
        <f>IF(ISERROR(VLOOKUP($A35,ESPNData!$B:$O,5,0)),"",IF((VLOOKUP($A35,ESPNData!$B:$O,5,0)="--"),0,VLOOKUP($A35,ESPNData!$B:$O,5,0)))</f>
        <v>2645</v>
      </c>
      <c r="L35" s="33">
        <f>IF(ISERROR(VLOOKUP($A35,ESPNData!$B:$O,6,0)),"",IF((VLOOKUP($A35,ESPNData!$B:$O,6,0)="--"),0,VLOOKUP($A35,ESPNData!$B:$O,6,0)))</f>
        <v>15</v>
      </c>
      <c r="M35" s="33">
        <f>IF(ISERROR(VLOOKUP($A35,ESPNData!$B:$O,7,0)),"",IF((VLOOKUP($A35,ESPNData!$B:$O,7,0)="--"),0,VLOOKUP($A35,ESPNData!$B:$O,7,0)))</f>
        <v>13</v>
      </c>
      <c r="N35" s="33">
        <f>IF(ISERROR(VLOOKUP($A35,ESPNData!$B:$O,9,0)),"",IF((VLOOKUP($A35,ESPNData!$B:$O,9,0)="--"),0,VLOOKUP($A35,ESPNData!$B:$O,9,0)))</f>
        <v>208</v>
      </c>
      <c r="O35" s="194">
        <f>IF(ISERROR(VLOOKUP($A35,ESPNData!$B:$O,10,0)),"",IF((VLOOKUP($A35,ESPNData!$B:$O,10,0)="--"),0,VLOOKUP($A35,ESPNData!$B:$O,10,0)))</f>
        <v>1</v>
      </c>
      <c r="P35" s="93">
        <f>IF(ISERROR(VLOOKUP($B35,SportslineData!$A:$O,4,0)),"",ROUND(VLOOKUP($B35,SportslineData!$A:$O,4,0),0))</f>
        <v>247</v>
      </c>
      <c r="Q35" s="33">
        <f>IF(ISERROR(VLOOKUP($B35,SportslineData!$A:$O,5,0)),"",VLOOKUP($B35,SportslineData!$A:$O,5,0))</f>
        <v>2649.5</v>
      </c>
      <c r="R35" s="33">
        <f>IF(ISERROR(VLOOKUP($B35,SportslineData!$A:$O,6,0)),"",ROUND(VLOOKUP($B35,SportslineData!$A:$O,6,0),0))</f>
        <v>16</v>
      </c>
      <c r="S35" s="33">
        <f>IF(ISERROR(VLOOKUP($B35,SportslineData!$A:$O,7,0)),"",ROUND(VLOOKUP($B35,SportslineData!$A:$O,7,0),0))</f>
        <v>16</v>
      </c>
      <c r="T35" s="33">
        <f>IF(ISERROR(VLOOKUP($B35,SportslineData!$A:$O,11,0)),"",VLOOKUP($B35,SportslineData!$A:$O,11,0))</f>
        <v>122</v>
      </c>
      <c r="U35" s="33">
        <f>IF(ISERROR(VLOOKUP($B35,SportslineData!$A:$O,13,0)),"",ROUND(VLOOKUP($B35,SportslineData!$A:$O,13,0),0))</f>
        <v>1</v>
      </c>
      <c r="V35" s="64">
        <f>IF(ISERROR(VLOOKUP($B35,SportslineData!$A:$O,14,0)),"",ROUND(VLOOKUP($B35,SportslineData!$A:$O,14,0),0))</f>
        <v>3</v>
      </c>
      <c r="W35" s="117"/>
      <c r="X35" s="33"/>
      <c r="Y35" s="38">
        <f>IF((E35=""),0,ROUND((((((ROUNDDOWN((E35/5),0)*Settings!$F$3)+(F35*Settings!$I$3))+(G35*Settings!$F$4))+(ROUNDDOWN((H35/5),0)*Settings!$F$7))+(I35*Settings!$I$7)),1))</f>
        <v>182.6</v>
      </c>
      <c r="Z35" s="38">
        <f>IF((K35=""),0,ROUND((((((ROUNDDOWN((K35/5),0)*Settings!$F$3)+(L35*Settings!$I$3))+(M35*Settings!$F$4))+(ROUNDDOWN((N35/5),0)*Settings!$F$7))+(O35*Settings!$I$7)),1))</f>
        <v>196.3</v>
      </c>
      <c r="AA35" s="38">
        <f>IF((Q35=""),0,ROUND(((((((ROUNDDOWN((Q35/5),0)*Settings!$F$3)+(R35*Settings!$I$3))+(S35*Settings!$F$4))+(ROUNDDOWN((T35/5),0)*Settings!$F$7))+(U35*Settings!$I$7))+(V35*Settings!$F$15)),1))</f>
        <v>184.8</v>
      </c>
      <c r="AB35" s="66">
        <f>ROUND((((Y35*Settings!$B$21)+(Z35*Settings!$B$22))+(AA35*Settings!$B$23)),1)</f>
        <v>187.9</v>
      </c>
      <c r="AC35" s="66">
        <f>IF(ISERROR(VLOOKUP(RANK(AB35,$AB$4:$AB$102),AC$4:AC34,1,0)),RANK(AB35,$AB$4:$AB$102),IF(ISERROR(VLOOKUP((RANK(AB35,$AB$4:$AB$102)+1),AC$4:AC34,1,0)),(RANK(AB35,$AB$4:$AB$102)+1),IF(ISERROR(VLOOKUP((RANK(AB35,$AB$4:$AB$102)+2),AC$4:AC34,1,0)),(RANK(AB35,$AB$4:$AB$102)+2),(RANK(AB35,$AB$4:$AB$102)+3))))</f>
        <v>30</v>
      </c>
      <c r="AD35" t="str">
        <f t="shared" si="2"/>
        <v>Ryan Fitzpatrick</v>
      </c>
    </row>
    <row r="36" spans="1:30" ht="12.75" customHeight="1">
      <c r="A36" s="33" t="str">
        <f>ESPNData!B35</f>
        <v>Matt Cassel, Min QB</v>
      </c>
      <c r="B36" s="33" t="str">
        <f t="shared" ref="B36:B67" si="3">IF(OR((A36=""),(A36=0)),"",IF(ISERROR(FIND("*",A36)),LEFT(A36,(FIND(",",A36)-1)),LEFT(A36,(FIND("*",A36)-1))))</f>
        <v>Matt Cassel</v>
      </c>
      <c r="C36" s="64" t="str">
        <f t="shared" ref="C36:C67" si="4">IF((A36=""),"",UPPER(RIGHT(LEFT(A36,(FIND("QB",A36)-2)),(LEN(LEFT(A36,(FIND("QB",A36)-2)))-(FIND(",",LEFT(A36,(FIND("QB",A36)-2)))+1)))))</f>
        <v>MIN</v>
      </c>
      <c r="D36" s="117">
        <f>IF(ISERROR(VLOOKUP($B36,FFTodayData!$B:$M,4,0)),"",VLOOKUP($B36,FFTodayData!$B:$M,4,0))</f>
        <v>181</v>
      </c>
      <c r="E36" s="33">
        <f>IF(ISERROR(VLOOKUP($B36,FFTodayData!$B:$M,6,0)),"",VLOOKUP($B36,FFTodayData!$B:$M,6,0))</f>
        <v>2145</v>
      </c>
      <c r="F36" s="33">
        <f>IF(ISERROR(VLOOKUP($B36,FFTodayData!$B:$M,7,0)),"",VLOOKUP($B36,FFTodayData!$B:$M,7,0))</f>
        <v>15</v>
      </c>
      <c r="G36" s="33">
        <f>IF(ISERROR(VLOOKUP($B36,FFTodayData!$B:$M,8,0)),"",VLOOKUP($B36,FFTodayData!$B:$M,8,0))</f>
        <v>12</v>
      </c>
      <c r="H36" s="33">
        <f>IF(ISERROR(VLOOKUP($B36,FFTodayData!$B:$M,10,0)),"",VLOOKUP($B36,FFTodayData!$B:$M,10,0))</f>
        <v>81</v>
      </c>
      <c r="I36" s="64">
        <f>IF(ISERROR(VLOOKUP($B36,FFTodayData!$B:$M,11,0)),"",VLOOKUP($B36,FFTodayData!$B:$M,11,0))</f>
        <v>0</v>
      </c>
      <c r="J36" s="117">
        <f>VALUE(IF(ISERROR(VLOOKUP($A36,ESPNData!$B:$O,4,0)),"",IF((VLOOKUP($A36,ESPNData!$B:$O,4,0)="--/--"),0,LEFT(VLOOKUP($A36,ESPNData!$B:$O,4,0),(FIND("/",VLOOKUP($A36,ESPNData!$B:$O,4,0))-1)))))</f>
        <v>154</v>
      </c>
      <c r="K36" s="33">
        <f>IF(ISERROR(VLOOKUP($A36,ESPNData!$B:$O,5,0)),"",IF((VLOOKUP($A36,ESPNData!$B:$O,5,0)="--"),0,VLOOKUP($A36,ESPNData!$B:$O,5,0)))</f>
        <v>1702</v>
      </c>
      <c r="L36" s="33">
        <f>IF(ISERROR(VLOOKUP($A36,ESPNData!$B:$O,6,0)),"",IF((VLOOKUP($A36,ESPNData!$B:$O,6,0)="--"),0,VLOOKUP($A36,ESPNData!$B:$O,6,0)))</f>
        <v>11</v>
      </c>
      <c r="M36" s="33">
        <f>IF(ISERROR(VLOOKUP($A36,ESPNData!$B:$O,7,0)),"",IF((VLOOKUP($A36,ESPNData!$B:$O,7,0)="--"),0,VLOOKUP($A36,ESPNData!$B:$O,7,0)))</f>
        <v>8</v>
      </c>
      <c r="N36" s="33">
        <f>IF(ISERROR(VLOOKUP($A36,ESPNData!$B:$O,9,0)),"",IF((VLOOKUP($A36,ESPNData!$B:$O,9,0)="--"),0,VLOOKUP($A36,ESPNData!$B:$O,9,0)))</f>
        <v>102</v>
      </c>
      <c r="O36" s="194">
        <f>IF(ISERROR(VLOOKUP($A36,ESPNData!$B:$O,10,0)),"",IF((VLOOKUP($A36,ESPNData!$B:$O,10,0)="--"),0,VLOOKUP($A36,ESPNData!$B:$O,10,0)))</f>
        <v>1</v>
      </c>
      <c r="P36" s="93">
        <f>IF(ISERROR(VLOOKUP($B36,SportslineData!$A:$O,4,0)),"",ROUND(VLOOKUP($B36,SportslineData!$A:$O,4,0),0))</f>
        <v>72</v>
      </c>
      <c r="Q36" s="33">
        <f>IF(ISERROR(VLOOKUP($B36,SportslineData!$A:$O,5,0)),"",VLOOKUP($B36,SportslineData!$A:$O,5,0))</f>
        <v>775</v>
      </c>
      <c r="R36" s="33">
        <f>IF(ISERROR(VLOOKUP($B36,SportslineData!$A:$O,6,0)),"",ROUND(VLOOKUP($B36,SportslineData!$A:$O,6,0),0))</f>
        <v>4</v>
      </c>
      <c r="S36" s="33">
        <f>IF(ISERROR(VLOOKUP($B36,SportslineData!$A:$O,7,0)),"",ROUND(VLOOKUP($B36,SportslineData!$A:$O,7,0),0))</f>
        <v>3</v>
      </c>
      <c r="T36" s="33">
        <f>IF(ISERROR(VLOOKUP($B36,SportslineData!$A:$O,11,0)),"",VLOOKUP($B36,SportslineData!$A:$O,11,0))</f>
        <v>31.5</v>
      </c>
      <c r="U36" s="33">
        <f>IF(ISERROR(VLOOKUP($B36,SportslineData!$A:$O,13,0)),"",ROUND(VLOOKUP($B36,SportslineData!$A:$O,13,0),0))</f>
        <v>0</v>
      </c>
      <c r="V36" s="64">
        <f>IF(ISERROR(VLOOKUP($B36,SportslineData!$A:$O,14,0)),"",ROUND(VLOOKUP($B36,SportslineData!$A:$O,14,0),0))</f>
        <v>1</v>
      </c>
      <c r="W36" s="117"/>
      <c r="X36" s="33"/>
      <c r="Y36" s="38">
        <f>IF((E36=""),0,ROUND((((((ROUNDDOWN((E36/5),0)*Settings!$F$3)+(F36*Settings!$I$3))+(G36*Settings!$F$4))+(ROUNDDOWN((H36/5),0)*Settings!$F$7))+(I36*Settings!$I$7)),1))</f>
        <v>159.80000000000001</v>
      </c>
      <c r="Z36" s="38">
        <f>IF((K36=""),0,ROUND((((((ROUNDDOWN((K36/5),0)*Settings!$F$3)+(L36*Settings!$I$3))+(M36*Settings!$F$4))+(ROUNDDOWN((N36/5),0)*Settings!$F$7))+(O36*Settings!$I$7)),1))</f>
        <v>134</v>
      </c>
      <c r="AA36" s="38">
        <f>IF((Q36=""),0,ROUND(((((((ROUNDDOWN((Q36/5),0)*Settings!$F$3)+(R36*Settings!$I$3))+(S36*Settings!$F$4))+(ROUNDDOWN((T36/5),0)*Settings!$F$7))+(U36*Settings!$I$7))+(V36*Settings!$F$15)),1))</f>
        <v>51</v>
      </c>
      <c r="AB36" s="66">
        <f>ROUND((((Y36*Settings!$B$21)+(Z36*Settings!$B$22))+(AA36*Settings!$B$23)),1)</f>
        <v>114.3</v>
      </c>
      <c r="AC36" s="66">
        <f>IF(ISERROR(VLOOKUP(RANK(AB36,$AB$4:$AB$102),AC$4:AC35,1,0)),RANK(AB36,$AB$4:$AB$102),IF(ISERROR(VLOOKUP((RANK(AB36,$AB$4:$AB$102)+1),AC$4:AC35,1,0)),(RANK(AB36,$AB$4:$AB$102)+1),IF(ISERROR(VLOOKUP((RANK(AB36,$AB$4:$AB$102)+2),AC$4:AC35,1,0)),(RANK(AB36,$AB$4:$AB$102)+2),(RANK(AB36,$AB$4:$AB$102)+3))))</f>
        <v>33</v>
      </c>
      <c r="AD36" t="str">
        <f t="shared" ref="AD36:AD67" si="5">B36</f>
        <v>Matt Cassel</v>
      </c>
    </row>
    <row r="37" spans="1:30" ht="12.75" customHeight="1">
      <c r="A37" s="33" t="str">
        <f>ESPNData!B36</f>
        <v>Teddy Bridgewater, Min QB</v>
      </c>
      <c r="B37" s="33" t="str">
        <f t="shared" si="3"/>
        <v>Teddy Bridgewater</v>
      </c>
      <c r="C37" s="64" t="str">
        <f t="shared" si="4"/>
        <v>MIN</v>
      </c>
      <c r="D37" s="117">
        <f>IF(ISERROR(VLOOKUP($B37,FFTodayData!$B:$M,4,0)),"",VLOOKUP($B37,FFTodayData!$B:$M,4,0))</f>
        <v>111</v>
      </c>
      <c r="E37" s="33">
        <f>IF(ISERROR(VLOOKUP($B37,FFTodayData!$B:$M,6,0)),"",VLOOKUP($B37,FFTodayData!$B:$M,6,0))</f>
        <v>1295</v>
      </c>
      <c r="F37" s="33">
        <f>IF(ISERROR(VLOOKUP($B37,FFTodayData!$B:$M,7,0)),"",VLOOKUP($B37,FFTodayData!$B:$M,7,0))</f>
        <v>6</v>
      </c>
      <c r="G37" s="33">
        <f>IF(ISERROR(VLOOKUP($B37,FFTodayData!$B:$M,8,0)),"",VLOOKUP($B37,FFTodayData!$B:$M,8,0))</f>
        <v>7</v>
      </c>
      <c r="H37" s="33">
        <f>IF(ISERROR(VLOOKUP($B37,FFTodayData!$B:$M,10,0)),"",VLOOKUP($B37,FFTodayData!$B:$M,10,0))</f>
        <v>89</v>
      </c>
      <c r="I37" s="64">
        <f>IF(ISERROR(VLOOKUP($B37,FFTodayData!$B:$M,11,0)),"",VLOOKUP($B37,FFTodayData!$B:$M,11,0))</f>
        <v>0</v>
      </c>
      <c r="J37" s="117">
        <f>VALUE(IF(ISERROR(VLOOKUP($A37,ESPNData!$B:$O,4,0)),"",IF((VLOOKUP($A37,ESPNData!$B:$O,4,0)="--/--"),0,LEFT(VLOOKUP($A37,ESPNData!$B:$O,4,0),(FIND("/",VLOOKUP($A37,ESPNData!$B:$O,4,0))-1)))))</f>
        <v>143</v>
      </c>
      <c r="K37" s="33">
        <f>IF(ISERROR(VLOOKUP($A37,ESPNData!$B:$O,5,0)),"",IF((VLOOKUP($A37,ESPNData!$B:$O,5,0)="--"),0,VLOOKUP($A37,ESPNData!$B:$O,5,0)))</f>
        <v>1550</v>
      </c>
      <c r="L37" s="33">
        <f>IF(ISERROR(VLOOKUP($A37,ESPNData!$B:$O,6,0)),"",IF((VLOOKUP($A37,ESPNData!$B:$O,6,0)="--"),0,VLOOKUP($A37,ESPNData!$B:$O,6,0)))</f>
        <v>10</v>
      </c>
      <c r="M37" s="33">
        <f>IF(ISERROR(VLOOKUP($A37,ESPNData!$B:$O,7,0)),"",IF((VLOOKUP($A37,ESPNData!$B:$O,7,0)="--"),0,VLOOKUP($A37,ESPNData!$B:$O,7,0)))</f>
        <v>7</v>
      </c>
      <c r="N37" s="33">
        <f>IF(ISERROR(VLOOKUP($A37,ESPNData!$B:$O,9,0)),"",IF((VLOOKUP($A37,ESPNData!$B:$O,9,0)="--"),0,VLOOKUP($A37,ESPNData!$B:$O,9,0)))</f>
        <v>61</v>
      </c>
      <c r="O37" s="194">
        <f>IF(ISERROR(VLOOKUP($A37,ESPNData!$B:$O,10,0)),"",IF((VLOOKUP($A37,ESPNData!$B:$O,10,0)="--"),0,VLOOKUP($A37,ESPNData!$B:$O,10,0)))</f>
        <v>1</v>
      </c>
      <c r="P37" s="93">
        <f>IF(ISERROR(VLOOKUP($B37,SportslineData!$A:$O,4,0)),"",ROUND(VLOOKUP($B37,SportslineData!$A:$O,4,0),0))</f>
        <v>265</v>
      </c>
      <c r="Q37" s="33">
        <f>IF(ISERROR(VLOOKUP($B37,SportslineData!$A:$O,5,0)),"",VLOOKUP($B37,SportslineData!$A:$O,5,0))</f>
        <v>3246.5</v>
      </c>
      <c r="R37" s="33">
        <f>IF(ISERROR(VLOOKUP($B37,SportslineData!$A:$O,6,0)),"",ROUND(VLOOKUP($B37,SportslineData!$A:$O,6,0),0))</f>
        <v>21</v>
      </c>
      <c r="S37" s="33">
        <f>IF(ISERROR(VLOOKUP($B37,SportslineData!$A:$O,7,0)),"",ROUND(VLOOKUP($B37,SportslineData!$A:$O,7,0),0))</f>
        <v>11</v>
      </c>
      <c r="T37" s="33">
        <f>IF(ISERROR(VLOOKUP($B37,SportslineData!$A:$O,11,0)),"",VLOOKUP($B37,SportslineData!$A:$O,11,0))</f>
        <v>190</v>
      </c>
      <c r="U37" s="33">
        <f>IF(ISERROR(VLOOKUP($B37,SportslineData!$A:$O,13,0)),"",ROUND(VLOOKUP($B37,SportslineData!$A:$O,13,0),0))</f>
        <v>2</v>
      </c>
      <c r="V37" s="64">
        <f>IF(ISERROR(VLOOKUP($B37,SportslineData!$A:$O,14,0)),"",ROUND(VLOOKUP($B37,SportslineData!$A:$O,14,0),0))</f>
        <v>2</v>
      </c>
      <c r="W37" s="117"/>
      <c r="X37" s="33"/>
      <c r="Y37" s="38">
        <f>IF((E37=""),0,ROUND((((((ROUNDDOWN((E37/5),0)*Settings!$F$3)+(F37*Settings!$I$3))+(G37*Settings!$F$4))+(ROUNDDOWN((H37/5),0)*Settings!$F$7))+(I37*Settings!$I$7)),1))</f>
        <v>82.3</v>
      </c>
      <c r="Z37" s="38">
        <f>IF((K37=""),0,ROUND((((((ROUNDDOWN((K37/5),0)*Settings!$F$3)+(L37*Settings!$I$3))+(M37*Settings!$F$4))+(ROUNDDOWN((N37/5),0)*Settings!$F$7))+(O37*Settings!$I$7)),1))</f>
        <v>120</v>
      </c>
      <c r="AA37" s="38">
        <f>IF((Q37=""),0,ROUND(((((((ROUNDDOWN((Q37/5),0)*Settings!$F$3)+(R37*Settings!$I$3))+(S37*Settings!$F$4))+(ROUNDDOWN((T37/5),0)*Settings!$F$7))+(U37*Settings!$I$7))+(V37*Settings!$F$15)),1))</f>
        <v>262.8</v>
      </c>
      <c r="AB37" s="66">
        <f>ROUND((((Y37*Settings!$B$21)+(Z37*Settings!$B$22))+(AA37*Settings!$B$23)),1)</f>
        <v>156.1</v>
      </c>
      <c r="AC37" s="66">
        <f>IF(ISERROR(VLOOKUP(RANK(AB37,$AB$4:$AB$102),AC$4:AC36,1,0)),RANK(AB37,$AB$4:$AB$102),IF(ISERROR(VLOOKUP((RANK(AB37,$AB$4:$AB$102)+1),AC$4:AC36,1,0)),(RANK(AB37,$AB$4:$AB$102)+1),IF(ISERROR(VLOOKUP((RANK(AB37,$AB$4:$AB$102)+2),AC$4:AC36,1,0)),(RANK(AB37,$AB$4:$AB$102)+2),(RANK(AB37,$AB$4:$AB$102)+3))))</f>
        <v>31</v>
      </c>
      <c r="AD37" t="str">
        <f t="shared" si="5"/>
        <v>Teddy Bridgewater</v>
      </c>
    </row>
    <row r="38" spans="1:30" ht="12.75" customHeight="1">
      <c r="A38" s="33" t="str">
        <f>ESPNData!B37</f>
        <v>Brian Hoyer, Cle QB</v>
      </c>
      <c r="B38" s="33" t="str">
        <f t="shared" si="3"/>
        <v>Brian Hoyer</v>
      </c>
      <c r="C38" s="64" t="str">
        <f t="shared" si="4"/>
        <v>CLE</v>
      </c>
      <c r="D38" s="117">
        <f>IF(ISERROR(VLOOKUP($B38,FFTodayData!$B:$M,4,0)),"",VLOOKUP($B38,FFTodayData!$B:$M,4,0))</f>
        <v>75</v>
      </c>
      <c r="E38" s="33">
        <f>IF(ISERROR(VLOOKUP($B38,FFTodayData!$B:$M,6,0)),"",VLOOKUP($B38,FFTodayData!$B:$M,6,0))</f>
        <v>844</v>
      </c>
      <c r="F38" s="33">
        <f>IF(ISERROR(VLOOKUP($B38,FFTodayData!$B:$M,7,0)),"",VLOOKUP($B38,FFTodayData!$B:$M,7,0))</f>
        <v>7</v>
      </c>
      <c r="G38" s="33">
        <f>IF(ISERROR(VLOOKUP($B38,FFTodayData!$B:$M,8,0)),"",VLOOKUP($B38,FFTodayData!$B:$M,8,0))</f>
        <v>6</v>
      </c>
      <c r="H38" s="33">
        <f>IF(ISERROR(VLOOKUP($B38,FFTodayData!$B:$M,10,0)),"",VLOOKUP($B38,FFTodayData!$B:$M,10,0))</f>
        <v>43</v>
      </c>
      <c r="I38" s="64">
        <f>IF(ISERROR(VLOOKUP($B38,FFTodayData!$B:$M,11,0)),"",VLOOKUP($B38,FFTodayData!$B:$M,11,0))</f>
        <v>0</v>
      </c>
      <c r="J38" s="117">
        <f>VALUE(IF(ISERROR(VLOOKUP($A38,ESPNData!$B:$O,4,0)),"",IF((VLOOKUP($A38,ESPNData!$B:$O,4,0)="--/--"),0,LEFT(VLOOKUP($A38,ESPNData!$B:$O,4,0),(FIND("/",VLOOKUP($A38,ESPNData!$B:$O,4,0))-1)))))</f>
        <v>98</v>
      </c>
      <c r="K38" s="33">
        <f>IF(ISERROR(VLOOKUP($A38,ESPNData!$B:$O,5,0)),"",IF((VLOOKUP($A38,ESPNData!$B:$O,5,0)="--"),0,VLOOKUP($A38,ESPNData!$B:$O,5,0)))</f>
        <v>1148</v>
      </c>
      <c r="L38" s="33">
        <f>IF(ISERROR(VLOOKUP($A38,ESPNData!$B:$O,6,0)),"",IF((VLOOKUP($A38,ESPNData!$B:$O,6,0)="--"),0,VLOOKUP($A38,ESPNData!$B:$O,6,0)))</f>
        <v>8</v>
      </c>
      <c r="M38" s="33">
        <f>IF(ISERROR(VLOOKUP($A38,ESPNData!$B:$O,7,0)),"",IF((VLOOKUP($A38,ESPNData!$B:$O,7,0)="--"),0,VLOOKUP($A38,ESPNData!$B:$O,7,0)))</f>
        <v>8</v>
      </c>
      <c r="N38" s="33">
        <f>IF(ISERROR(VLOOKUP($A38,ESPNData!$B:$O,9,0)),"",IF((VLOOKUP($A38,ESPNData!$B:$O,9,0)="--"),0,VLOOKUP($A38,ESPNData!$B:$O,9,0)))</f>
        <v>49</v>
      </c>
      <c r="O38" s="194">
        <f>IF(ISERROR(VLOOKUP($A38,ESPNData!$B:$O,10,0)),"",IF((VLOOKUP($A38,ESPNData!$B:$O,10,0)="--"),0,VLOOKUP($A38,ESPNData!$B:$O,10,0)))</f>
        <v>0</v>
      </c>
      <c r="P38" s="93">
        <f>IF(ISERROR(VLOOKUP($B38,SportslineData!$A:$O,4,0)),"",ROUND(VLOOKUP($B38,SportslineData!$A:$O,4,0),0))</f>
        <v>68</v>
      </c>
      <c r="Q38" s="33">
        <f>IF(ISERROR(VLOOKUP($B38,SportslineData!$A:$O,5,0)),"",VLOOKUP($B38,SportslineData!$A:$O,5,0))</f>
        <v>740.5</v>
      </c>
      <c r="R38" s="33">
        <f>IF(ISERROR(VLOOKUP($B38,SportslineData!$A:$O,6,0)),"",ROUND(VLOOKUP($B38,SportslineData!$A:$O,6,0),0))</f>
        <v>7</v>
      </c>
      <c r="S38" s="33">
        <f>IF(ISERROR(VLOOKUP($B38,SportslineData!$A:$O,7,0)),"",ROUND(VLOOKUP($B38,SportslineData!$A:$O,7,0),0))</f>
        <v>5</v>
      </c>
      <c r="T38" s="33">
        <f>IF(ISERROR(VLOOKUP($B38,SportslineData!$A:$O,11,0)),"",VLOOKUP($B38,SportslineData!$A:$O,11,0))</f>
        <v>23.5</v>
      </c>
      <c r="U38" s="33">
        <f>IF(ISERROR(VLOOKUP($B38,SportslineData!$A:$O,13,0)),"",ROUND(VLOOKUP($B38,SportslineData!$A:$O,13,0),0))</f>
        <v>0</v>
      </c>
      <c r="V38" s="64">
        <f>IF(ISERROR(VLOOKUP($B38,SportslineData!$A:$O,14,0)),"",ROUND(VLOOKUP($B38,SportslineData!$A:$O,14,0),0))</f>
        <v>2</v>
      </c>
      <c r="W38" s="117"/>
      <c r="X38" s="33"/>
      <c r="Y38" s="38">
        <f>IF((E38=""),0,ROUND((((((ROUNDDOWN((E38/5),0)*Settings!$F$3)+(F38*Settings!$I$3))+(G38*Settings!$F$4))+(ROUNDDOWN((H38/5),0)*Settings!$F$7))+(I38*Settings!$I$7)),1))</f>
        <v>67.599999999999994</v>
      </c>
      <c r="Z38" s="38">
        <f>IF((K38=""),0,ROUND((((((ROUNDDOWN((K38/5),0)*Settings!$F$3)+(L38*Settings!$I$3))+(M38*Settings!$F$4))+(ROUNDDOWN((N38/5),0)*Settings!$F$7))+(O38*Settings!$I$7)),1))</f>
        <v>82.3</v>
      </c>
      <c r="AA38" s="38">
        <f>IF((Q38=""),0,ROUND(((((((ROUNDDOWN((Q38/5),0)*Settings!$F$3)+(R38*Settings!$I$3))+(S38*Settings!$F$4))+(ROUNDDOWN((T38/5),0)*Settings!$F$7))+(U38*Settings!$I$7))+(V38*Settings!$F$15)),1))</f>
        <v>61.6</v>
      </c>
      <c r="AB38" s="66">
        <f>ROUND((((Y38*Settings!$B$21)+(Z38*Settings!$B$22))+(AA38*Settings!$B$23)),1)</f>
        <v>70.400000000000006</v>
      </c>
      <c r="AC38" s="66">
        <f>IF(ISERROR(VLOOKUP(RANK(AB38,$AB$4:$AB$102),AC$4:AC37,1,0)),RANK(AB38,$AB$4:$AB$102),IF(ISERROR(VLOOKUP((RANK(AB38,$AB$4:$AB$102)+1),AC$4:AC37,1,0)),(RANK(AB38,$AB$4:$AB$102)+1),IF(ISERROR(VLOOKUP((RANK(AB38,$AB$4:$AB$102)+2),AC$4:AC37,1,0)),(RANK(AB38,$AB$4:$AB$102)+2),(RANK(AB38,$AB$4:$AB$102)+3))))</f>
        <v>36</v>
      </c>
      <c r="AD38" t="str">
        <f t="shared" si="5"/>
        <v>Brian Hoyer</v>
      </c>
    </row>
    <row r="39" spans="1:30" ht="12.75" customHeight="1">
      <c r="A39" s="33" t="str">
        <f>ESPNData!B38</f>
        <v>Mike Glennon, TB QB</v>
      </c>
      <c r="B39" s="33" t="str">
        <f t="shared" si="3"/>
        <v>Mike Glennon</v>
      </c>
      <c r="C39" s="64" t="str">
        <f t="shared" si="4"/>
        <v>TB</v>
      </c>
      <c r="D39" s="117">
        <f>IF(ISERROR(VLOOKUP($B39,FFTodayData!$B:$M,4,0)),"",VLOOKUP($B39,FFTodayData!$B:$M,4,0))</f>
        <v>67</v>
      </c>
      <c r="E39" s="33">
        <f>IF(ISERROR(VLOOKUP($B39,FFTodayData!$B:$M,6,0)),"",VLOOKUP($B39,FFTodayData!$B:$M,6,0))</f>
        <v>788</v>
      </c>
      <c r="F39" s="33">
        <f>IF(ISERROR(VLOOKUP($B39,FFTodayData!$B:$M,7,0)),"",VLOOKUP($B39,FFTodayData!$B:$M,7,0))</f>
        <v>5</v>
      </c>
      <c r="G39" s="33">
        <f>IF(ISERROR(VLOOKUP($B39,FFTodayData!$B:$M,8,0)),"",VLOOKUP($B39,FFTodayData!$B:$M,8,0))</f>
        <v>5</v>
      </c>
      <c r="H39" s="33">
        <f>IF(ISERROR(VLOOKUP($B39,FFTodayData!$B:$M,10,0)),"",VLOOKUP($B39,FFTodayData!$B:$M,10,0))</f>
        <v>19</v>
      </c>
      <c r="I39" s="64">
        <f>IF(ISERROR(VLOOKUP($B39,FFTodayData!$B:$M,11,0)),"",VLOOKUP($B39,FFTodayData!$B:$M,11,0))</f>
        <v>0</v>
      </c>
      <c r="J39" s="117">
        <f>VALUE(IF(ISERROR(VLOOKUP($A39,ESPNData!$B:$O,4,0)),"",IF((VLOOKUP($A39,ESPNData!$B:$O,4,0)="--/--"),0,LEFT(VLOOKUP($A39,ESPNData!$B:$O,4,0),(FIND("/",VLOOKUP($A39,ESPNData!$B:$O,4,0))-1)))))</f>
        <v>49</v>
      </c>
      <c r="K39" s="33">
        <f>IF(ISERROR(VLOOKUP($A39,ESPNData!$B:$O,5,0)),"",IF((VLOOKUP($A39,ESPNData!$B:$O,5,0)="--"),0,VLOOKUP($A39,ESPNData!$B:$O,5,0)))</f>
        <v>546</v>
      </c>
      <c r="L39" s="33">
        <f>IF(ISERROR(VLOOKUP($A39,ESPNData!$B:$O,6,0)),"",IF((VLOOKUP($A39,ESPNData!$B:$O,6,0)="--"),0,VLOOKUP($A39,ESPNData!$B:$O,6,0)))</f>
        <v>6</v>
      </c>
      <c r="M39" s="33">
        <f>IF(ISERROR(VLOOKUP($A39,ESPNData!$B:$O,7,0)),"",IF((VLOOKUP($A39,ESPNData!$B:$O,7,0)="--"),0,VLOOKUP($A39,ESPNData!$B:$O,7,0)))</f>
        <v>6</v>
      </c>
      <c r="N39" s="33">
        <f>IF(ISERROR(VLOOKUP($A39,ESPNData!$B:$O,9,0)),"",IF((VLOOKUP($A39,ESPNData!$B:$O,9,0)="--"),0,VLOOKUP($A39,ESPNData!$B:$O,9,0)))</f>
        <v>41</v>
      </c>
      <c r="O39" s="194">
        <f>IF(ISERROR(VLOOKUP($A39,ESPNData!$B:$O,10,0)),"",IF((VLOOKUP($A39,ESPNData!$B:$O,10,0)="--"),0,VLOOKUP($A39,ESPNData!$B:$O,10,0)))</f>
        <v>0</v>
      </c>
      <c r="P39" s="93">
        <f>IF(ISERROR(VLOOKUP($B39,SportslineData!$A:$O,4,0)),"",ROUND(VLOOKUP($B39,SportslineData!$A:$O,4,0),0))</f>
        <v>47</v>
      </c>
      <c r="Q39" s="33">
        <f>IF(ISERROR(VLOOKUP($B39,SportslineData!$A:$O,5,0)),"",VLOOKUP($B39,SportslineData!$A:$O,5,0))</f>
        <v>556.5</v>
      </c>
      <c r="R39" s="33">
        <f>IF(ISERROR(VLOOKUP($B39,SportslineData!$A:$O,6,0)),"",ROUND(VLOOKUP($B39,SportslineData!$A:$O,6,0),0))</f>
        <v>3</v>
      </c>
      <c r="S39" s="33">
        <f>IF(ISERROR(VLOOKUP($B39,SportslineData!$A:$O,7,0)),"",ROUND(VLOOKUP($B39,SportslineData!$A:$O,7,0),0))</f>
        <v>3</v>
      </c>
      <c r="T39" s="33">
        <f>IF(ISERROR(VLOOKUP($B39,SportslineData!$A:$O,11,0)),"",VLOOKUP($B39,SportslineData!$A:$O,11,0))</f>
        <v>23</v>
      </c>
      <c r="U39" s="33">
        <f>IF(ISERROR(VLOOKUP($B39,SportslineData!$A:$O,13,0)),"",ROUND(VLOOKUP($B39,SportslineData!$A:$O,13,0),0))</f>
        <v>0</v>
      </c>
      <c r="V39" s="64">
        <f>IF(ISERROR(VLOOKUP($B39,SportslineData!$A:$O,14,0)),"",ROUND(VLOOKUP($B39,SportslineData!$A:$O,14,0),0))</f>
        <v>1</v>
      </c>
      <c r="W39" s="117"/>
      <c r="X39" s="33"/>
      <c r="Y39" s="38">
        <f>IF((E39=""),0,ROUND((((((ROUNDDOWN((E39/5),0)*Settings!$F$3)+(F39*Settings!$I$3))+(G39*Settings!$F$4))+(ROUNDDOWN((H39/5),0)*Settings!$F$7))+(I39*Settings!$I$7)),1))</f>
        <v>52.9</v>
      </c>
      <c r="Z39" s="38">
        <f>IF((K39=""),0,ROUND((((((ROUNDDOWN((K39/5),0)*Settings!$F$3)+(L39*Settings!$I$3))+(M39*Settings!$F$4))+(ROUNDDOWN((N39/5),0)*Settings!$F$7))+(O39*Settings!$I$7)),1))</f>
        <v>49.8</v>
      </c>
      <c r="AA39" s="38">
        <f>IF((Q39=""),0,ROUND(((((((ROUNDDOWN((Q39/5),0)*Settings!$F$3)+(R39*Settings!$I$3))+(S39*Settings!$F$4))+(ROUNDDOWN((T39/5),0)*Settings!$F$7))+(U39*Settings!$I$7))+(V39*Settings!$F$15)),1))</f>
        <v>35.200000000000003</v>
      </c>
      <c r="AB39" s="66">
        <f>ROUND((((Y39*Settings!$B$21)+(Z39*Settings!$B$22))+(AA39*Settings!$B$23)),1)</f>
        <v>45.9</v>
      </c>
      <c r="AC39" s="66">
        <f>IF(ISERROR(VLOOKUP(RANK(AB39,$AB$4:$AB$102),AC$4:AC38,1,0)),RANK(AB39,$AB$4:$AB$102),IF(ISERROR(VLOOKUP((RANK(AB39,$AB$4:$AB$102)+1),AC$4:AC38,1,0)),(RANK(AB39,$AB$4:$AB$102)+1),IF(ISERROR(VLOOKUP((RANK(AB39,$AB$4:$AB$102)+2),AC$4:AC38,1,0)),(RANK(AB39,$AB$4:$AB$102)+2),(RANK(AB39,$AB$4:$AB$102)+3))))</f>
        <v>38</v>
      </c>
      <c r="AD39" t="str">
        <f t="shared" si="5"/>
        <v>Mike Glennon</v>
      </c>
    </row>
    <row r="40" spans="1:30" ht="12.75" customHeight="1">
      <c r="A40" s="33" t="str">
        <f>ESPNData!B39</f>
        <v>Kirk Cousins, Wsh QB</v>
      </c>
      <c r="B40" s="33" t="str">
        <f t="shared" si="3"/>
        <v>Kirk Cousins</v>
      </c>
      <c r="C40" s="64" t="str">
        <f t="shared" si="4"/>
        <v>WSH</v>
      </c>
      <c r="D40" s="117">
        <f>IF(ISERROR(VLOOKUP($B40,FFTodayData!$B:$M,4,0)),"",VLOOKUP($B40,FFTodayData!$B:$M,4,0))</f>
        <v>36</v>
      </c>
      <c r="E40" s="33">
        <f>IF(ISERROR(VLOOKUP($B40,FFTodayData!$B:$M,6,0)),"",VLOOKUP($B40,FFTodayData!$B:$M,6,0))</f>
        <v>449</v>
      </c>
      <c r="F40" s="33">
        <f>IF(ISERROR(VLOOKUP($B40,FFTodayData!$B:$M,7,0)),"",VLOOKUP($B40,FFTodayData!$B:$M,7,0))</f>
        <v>3</v>
      </c>
      <c r="G40" s="33">
        <f>IF(ISERROR(VLOOKUP($B40,FFTodayData!$B:$M,8,0)),"",VLOOKUP($B40,FFTodayData!$B:$M,8,0))</f>
        <v>2</v>
      </c>
      <c r="H40" s="33">
        <f>IF(ISERROR(VLOOKUP($B40,FFTodayData!$B:$M,10,0)),"",VLOOKUP($B40,FFTodayData!$B:$M,10,0))</f>
        <v>15</v>
      </c>
      <c r="I40" s="64">
        <f>IF(ISERROR(VLOOKUP($B40,FFTodayData!$B:$M,11,0)),"",VLOOKUP($B40,FFTodayData!$B:$M,11,0))</f>
        <v>0</v>
      </c>
      <c r="J40" s="117">
        <f>VALUE(IF(ISERROR(VLOOKUP($A40,ESPNData!$B:$O,4,0)),"",IF((VLOOKUP($A40,ESPNData!$B:$O,4,0)="--/--"),0,LEFT(VLOOKUP($A40,ESPNData!$B:$O,4,0),(FIND("/",VLOOKUP($A40,ESPNData!$B:$O,4,0))-1)))))</f>
        <v>51</v>
      </c>
      <c r="K40" s="33">
        <f>IF(ISERROR(VLOOKUP($A40,ESPNData!$B:$O,5,0)),"",IF((VLOOKUP($A40,ESPNData!$B:$O,5,0)="--"),0,VLOOKUP($A40,ESPNData!$B:$O,5,0)))</f>
        <v>566</v>
      </c>
      <c r="L40" s="33">
        <f>IF(ISERROR(VLOOKUP($A40,ESPNData!$B:$O,6,0)),"",IF((VLOOKUP($A40,ESPNData!$B:$O,6,0)="--"),0,VLOOKUP($A40,ESPNData!$B:$O,6,0)))</f>
        <v>5</v>
      </c>
      <c r="M40" s="33">
        <f>IF(ISERROR(VLOOKUP($A40,ESPNData!$B:$O,7,0)),"",IF((VLOOKUP($A40,ESPNData!$B:$O,7,0)="--"),0,VLOOKUP($A40,ESPNData!$B:$O,7,0)))</f>
        <v>3</v>
      </c>
      <c r="N40" s="33">
        <f>IF(ISERROR(VLOOKUP($A40,ESPNData!$B:$O,9,0)),"",IF((VLOOKUP($A40,ESPNData!$B:$O,9,0)="--"),0,VLOOKUP($A40,ESPNData!$B:$O,9,0)))</f>
        <v>17</v>
      </c>
      <c r="O40" s="194">
        <f>IF(ISERROR(VLOOKUP($A40,ESPNData!$B:$O,10,0)),"",IF((VLOOKUP($A40,ESPNData!$B:$O,10,0)="--"),0,VLOOKUP($A40,ESPNData!$B:$O,10,0)))</f>
        <v>0</v>
      </c>
      <c r="P40" s="93">
        <f>IF(ISERROR(VLOOKUP($B40,SportslineData!$A:$O,4,0)),"",ROUND(VLOOKUP($B40,SportslineData!$A:$O,4,0),0))</f>
        <v>55</v>
      </c>
      <c r="Q40" s="33">
        <f>IF(ISERROR(VLOOKUP($B40,SportslineData!$A:$O,5,0)),"",VLOOKUP($B40,SportslineData!$A:$O,5,0))</f>
        <v>595</v>
      </c>
      <c r="R40" s="33">
        <f>IF(ISERROR(VLOOKUP($B40,SportslineData!$A:$O,6,0)),"",ROUND(VLOOKUP($B40,SportslineData!$A:$O,6,0),0))</f>
        <v>3</v>
      </c>
      <c r="S40" s="33">
        <f>IF(ISERROR(VLOOKUP($B40,SportslineData!$A:$O,7,0)),"",ROUND(VLOOKUP($B40,SportslineData!$A:$O,7,0),0))</f>
        <v>3</v>
      </c>
      <c r="T40" s="33">
        <f>IF(ISERROR(VLOOKUP($B40,SportslineData!$A:$O,11,0)),"",VLOOKUP($B40,SportslineData!$A:$O,11,0))</f>
        <v>10</v>
      </c>
      <c r="U40" s="33">
        <f>IF(ISERROR(VLOOKUP($B40,SportslineData!$A:$O,13,0)),"",ROUND(VLOOKUP($B40,SportslineData!$A:$O,13,0),0))</f>
        <v>0</v>
      </c>
      <c r="V40" s="64">
        <f>IF(ISERROR(VLOOKUP($B40,SportslineData!$A:$O,14,0)),"",ROUND(VLOOKUP($B40,SportslineData!$A:$O,14,0),0))</f>
        <v>1</v>
      </c>
      <c r="W40" s="117"/>
      <c r="X40" s="33"/>
      <c r="Y40" s="38">
        <f>IF((E40=""),0,ROUND((((((ROUNDDOWN((E40/5),0)*Settings!$F$3)+(F40*Settings!$I$3))+(G40*Settings!$F$4))+(ROUNDDOWN((H40/5),0)*Settings!$F$7))+(I40*Settings!$I$7)),1))</f>
        <v>33.299999999999997</v>
      </c>
      <c r="Z40" s="38">
        <f>IF((K40=""),0,ROUND((((((ROUNDDOWN((K40/5),0)*Settings!$F$3)+(L40*Settings!$I$3))+(M40*Settings!$F$4))+(ROUNDDOWN((N40/5),0)*Settings!$F$7))+(O40*Settings!$I$7)),1))</f>
        <v>48.1</v>
      </c>
      <c r="AA40" s="38">
        <f>IF((Q40=""),0,ROUND(((((((ROUNDDOWN((Q40/5),0)*Settings!$F$3)+(R40*Settings!$I$3))+(S40*Settings!$F$4))+(ROUNDDOWN((T40/5),0)*Settings!$F$7))+(U40*Settings!$I$7))+(V40*Settings!$F$15)),1))</f>
        <v>35.799999999999997</v>
      </c>
      <c r="AB40" s="66">
        <f>ROUND((((Y40*Settings!$B$21)+(Z40*Settings!$B$22))+(AA40*Settings!$B$23)),1)</f>
        <v>39</v>
      </c>
      <c r="AC40" s="66">
        <f>IF(ISERROR(VLOOKUP(RANK(AB40,$AB$4:$AB$102),AC$4:AC39,1,0)),RANK(AB40,$AB$4:$AB$102),IF(ISERROR(VLOOKUP((RANK(AB40,$AB$4:$AB$102)+1),AC$4:AC39,1,0)),(RANK(AB40,$AB$4:$AB$102)+1),IF(ISERROR(VLOOKUP((RANK(AB40,$AB$4:$AB$102)+2),AC$4:AC39,1,0)),(RANK(AB40,$AB$4:$AB$102)+2),(RANK(AB40,$AB$4:$AB$102)+3))))</f>
        <v>40</v>
      </c>
      <c r="AD40" t="str">
        <f t="shared" si="5"/>
        <v>Kirk Cousins</v>
      </c>
    </row>
    <row r="41" spans="1:30" ht="12.75" customHeight="1">
      <c r="A41" s="33" t="str">
        <f>ESPNData!B40</f>
        <v>Blake Bortles, Jac QB</v>
      </c>
      <c r="B41" s="33" t="str">
        <f t="shared" si="3"/>
        <v>Blake Bortles</v>
      </c>
      <c r="C41" s="64" t="str">
        <f t="shared" si="4"/>
        <v>JAC</v>
      </c>
      <c r="D41" s="117">
        <f>IF(ISERROR(VLOOKUP($B41,FFTodayData!$B:$M,4,0)),"",VLOOKUP($B41,FFTodayData!$B:$M,4,0))</f>
        <v>97</v>
      </c>
      <c r="E41" s="33">
        <f>IF(ISERROR(VLOOKUP($B41,FFTodayData!$B:$M,6,0)),"",VLOOKUP($B41,FFTodayData!$B:$M,6,0))</f>
        <v>1129</v>
      </c>
      <c r="F41" s="33">
        <f>IF(ISERROR(VLOOKUP($B41,FFTodayData!$B:$M,7,0)),"",VLOOKUP($B41,FFTodayData!$B:$M,7,0))</f>
        <v>6</v>
      </c>
      <c r="G41" s="33">
        <f>IF(ISERROR(VLOOKUP($B41,FFTodayData!$B:$M,8,0)),"",VLOOKUP($B41,FFTodayData!$B:$M,8,0))</f>
        <v>6</v>
      </c>
      <c r="H41" s="33">
        <f>IF(ISERROR(VLOOKUP($B41,FFTodayData!$B:$M,10,0)),"",VLOOKUP($B41,FFTodayData!$B:$M,10,0))</f>
        <v>75</v>
      </c>
      <c r="I41" s="64">
        <f>IF(ISERROR(VLOOKUP($B41,FFTodayData!$B:$M,11,0)),"",VLOOKUP($B41,FFTodayData!$B:$M,11,0))</f>
        <v>0</v>
      </c>
      <c r="J41" s="117">
        <f>VALUE(IF(ISERROR(VLOOKUP($A41,ESPNData!$B:$O,4,0)),"",IF((VLOOKUP($A41,ESPNData!$B:$O,4,0)="--/--"),0,LEFT(VLOOKUP($A41,ESPNData!$B:$O,4,0),(FIND("/",VLOOKUP($A41,ESPNData!$B:$O,4,0))-1)))))</f>
        <v>79</v>
      </c>
      <c r="K41" s="33">
        <f>IF(ISERROR(VLOOKUP($A41,ESPNData!$B:$O,5,0)),"",IF((VLOOKUP($A41,ESPNData!$B:$O,5,0)="--"),0,VLOOKUP($A41,ESPNData!$B:$O,5,0)))</f>
        <v>884</v>
      </c>
      <c r="L41" s="33">
        <f>IF(ISERROR(VLOOKUP($A41,ESPNData!$B:$O,6,0)),"",IF((VLOOKUP($A41,ESPNData!$B:$O,6,0)="--"),0,VLOOKUP($A41,ESPNData!$B:$O,6,0)))</f>
        <v>6</v>
      </c>
      <c r="M41" s="33">
        <f>IF(ISERROR(VLOOKUP($A41,ESPNData!$B:$O,7,0)),"",IF((VLOOKUP($A41,ESPNData!$B:$O,7,0)="--"),0,VLOOKUP($A41,ESPNData!$B:$O,7,0)))</f>
        <v>8</v>
      </c>
      <c r="N41" s="33">
        <f>IF(ISERROR(VLOOKUP($A41,ESPNData!$B:$O,9,0)),"",IF((VLOOKUP($A41,ESPNData!$B:$O,9,0)="--"),0,VLOOKUP($A41,ESPNData!$B:$O,9,0)))</f>
        <v>59</v>
      </c>
      <c r="O41" s="194">
        <f>IF(ISERROR(VLOOKUP($A41,ESPNData!$B:$O,10,0)),"",IF((VLOOKUP($A41,ESPNData!$B:$O,10,0)="--"),0,VLOOKUP($A41,ESPNData!$B:$O,10,0)))</f>
        <v>1</v>
      </c>
      <c r="P41" s="93">
        <f>IF(ISERROR(VLOOKUP($B41,SportslineData!$A:$O,4,0)),"",ROUND(VLOOKUP($B41,SportslineData!$A:$O,4,0),0))</f>
        <v>132</v>
      </c>
      <c r="Q41" s="33">
        <f>IF(ISERROR(VLOOKUP($B41,SportslineData!$A:$O,5,0)),"",VLOOKUP($B41,SportslineData!$A:$O,5,0))</f>
        <v>1506.5</v>
      </c>
      <c r="R41" s="33">
        <f>IF(ISERROR(VLOOKUP($B41,SportslineData!$A:$O,6,0)),"",ROUND(VLOOKUP($B41,SportslineData!$A:$O,6,0),0))</f>
        <v>9</v>
      </c>
      <c r="S41" s="33">
        <f>IF(ISERROR(VLOOKUP($B41,SportslineData!$A:$O,7,0)),"",ROUND(VLOOKUP($B41,SportslineData!$A:$O,7,0),0))</f>
        <v>7</v>
      </c>
      <c r="T41" s="33">
        <f>IF(ISERROR(VLOOKUP($B41,SportslineData!$A:$O,11,0)),"",VLOOKUP($B41,SportslineData!$A:$O,11,0))</f>
        <v>73.5</v>
      </c>
      <c r="U41" s="33">
        <f>IF(ISERROR(VLOOKUP($B41,SportslineData!$A:$O,13,0)),"",ROUND(VLOOKUP($B41,SportslineData!$A:$O,13,0),0))</f>
        <v>2</v>
      </c>
      <c r="V41" s="64">
        <f>IF(ISERROR(VLOOKUP($B41,SportslineData!$A:$O,14,0)),"",ROUND(VLOOKUP($B41,SportslineData!$A:$O,14,0),0))</f>
        <v>2</v>
      </c>
      <c r="W41" s="117"/>
      <c r="X41" s="33"/>
      <c r="Y41" s="38">
        <f>IF((E41=""),0,ROUND((((((ROUNDDOWN((E41/5),0)*Settings!$F$3)+(F41*Settings!$I$3))+(G41*Settings!$F$4))+(ROUNDDOWN((H41/5),0)*Settings!$F$7))+(I41*Settings!$I$7)),1))</f>
        <v>76.5</v>
      </c>
      <c r="Z41" s="38">
        <f>IF((K41=""),0,ROUND((((((ROUNDDOWN((K41/5),0)*Settings!$F$3)+(L41*Settings!$I$3))+(M41*Settings!$F$4))+(ROUNDDOWN((N41/5),0)*Settings!$F$7))+(O41*Settings!$I$7)),1))</f>
        <v>66.7</v>
      </c>
      <c r="AA41" s="38">
        <f>IF((Q41=""),0,ROUND(((((((ROUNDDOWN((Q41/5),0)*Settings!$F$3)+(R41*Settings!$I$3))+(S41*Settings!$F$4))+(ROUNDDOWN((T41/5),0)*Settings!$F$7))+(U41*Settings!$I$7))+(V41*Settings!$F$15)),1))</f>
        <v>117.2</v>
      </c>
      <c r="AB41" s="66">
        <f>ROUND((((Y41*Settings!$B$21)+(Z41*Settings!$B$22))+(AA41*Settings!$B$23)),1)</f>
        <v>87.1</v>
      </c>
      <c r="AC41" s="66">
        <f>IF(ISERROR(VLOOKUP(RANK(AB41,$AB$4:$AB$102),AC$4:AC40,1,0)),RANK(AB41,$AB$4:$AB$102),IF(ISERROR(VLOOKUP((RANK(AB41,$AB$4:$AB$102)+1),AC$4:AC40,1,0)),(RANK(AB41,$AB$4:$AB$102)+1),IF(ISERROR(VLOOKUP((RANK(AB41,$AB$4:$AB$102)+2),AC$4:AC40,1,0)),(RANK(AB41,$AB$4:$AB$102)+2),(RANK(AB41,$AB$4:$AB$102)+3))))</f>
        <v>35</v>
      </c>
      <c r="AD41" t="str">
        <f t="shared" si="5"/>
        <v>Blake Bortles</v>
      </c>
    </row>
    <row r="42" spans="1:30" ht="12.75" customHeight="1">
      <c r="A42" s="33" t="str">
        <f>ESPNData!B41</f>
        <v>Shaun Hill, StL QB</v>
      </c>
      <c r="B42" s="33" t="str">
        <f t="shared" si="3"/>
        <v>Shaun Hill</v>
      </c>
      <c r="C42" s="64" t="str">
        <f t="shared" si="4"/>
        <v>STL</v>
      </c>
      <c r="D42" s="117">
        <f>IF(ISERROR(VLOOKUP($B42,FFTodayData!$B:$M,4,0)),"",VLOOKUP($B42,FFTodayData!$B:$M,4,0))</f>
        <v>9</v>
      </c>
      <c r="E42" s="33">
        <f>IF(ISERROR(VLOOKUP($B42,FFTodayData!$B:$M,6,0)),"",VLOOKUP($B42,FFTodayData!$B:$M,6,0))</f>
        <v>104</v>
      </c>
      <c r="F42" s="33">
        <f>IF(ISERROR(VLOOKUP($B42,FFTodayData!$B:$M,7,0)),"",VLOOKUP($B42,FFTodayData!$B:$M,7,0))</f>
        <v>0</v>
      </c>
      <c r="G42" s="33">
        <f>IF(ISERROR(VLOOKUP($B42,FFTodayData!$B:$M,8,0)),"",VLOOKUP($B42,FFTodayData!$B:$M,8,0))</f>
        <v>1</v>
      </c>
      <c r="H42" s="33">
        <f>IF(ISERROR(VLOOKUP($B42,FFTodayData!$B:$M,10,0)),"",VLOOKUP($B42,FFTodayData!$B:$M,10,0))</f>
        <v>0</v>
      </c>
      <c r="I42" s="64">
        <f>IF(ISERROR(VLOOKUP($B42,FFTodayData!$B:$M,11,0)),"",VLOOKUP($B42,FFTodayData!$B:$M,11,0))</f>
        <v>0</v>
      </c>
      <c r="J42" s="117">
        <f>VALUE(IF(ISERROR(VLOOKUP($A42,ESPNData!$B:$O,4,0)),"",IF((VLOOKUP($A42,ESPNData!$B:$O,4,0)="--/--"),0,LEFT(VLOOKUP($A42,ESPNData!$B:$O,4,0),(FIND("/",VLOOKUP($A42,ESPNData!$B:$O,4,0))-1)))))</f>
        <v>50</v>
      </c>
      <c r="K42" s="33">
        <f>IF(ISERROR(VLOOKUP($A42,ESPNData!$B:$O,5,0)),"",IF((VLOOKUP($A42,ESPNData!$B:$O,5,0)="--"),0,VLOOKUP($A42,ESPNData!$B:$O,5,0)))</f>
        <v>576</v>
      </c>
      <c r="L42" s="33">
        <f>IF(ISERROR(VLOOKUP($A42,ESPNData!$B:$O,6,0)),"",IF((VLOOKUP($A42,ESPNData!$B:$O,6,0)="--"),0,VLOOKUP($A42,ESPNData!$B:$O,6,0)))</f>
        <v>5</v>
      </c>
      <c r="M42" s="33">
        <f>IF(ISERROR(VLOOKUP($A42,ESPNData!$B:$O,7,0)),"",IF((VLOOKUP($A42,ESPNData!$B:$O,7,0)="--"),0,VLOOKUP($A42,ESPNData!$B:$O,7,0)))</f>
        <v>4</v>
      </c>
      <c r="N42" s="33">
        <f>IF(ISERROR(VLOOKUP($A42,ESPNData!$B:$O,9,0)),"",IF((VLOOKUP($A42,ESPNData!$B:$O,9,0)="--"),0,VLOOKUP($A42,ESPNData!$B:$O,9,0)))</f>
        <v>34</v>
      </c>
      <c r="O42" s="194">
        <f>IF(ISERROR(VLOOKUP($A42,ESPNData!$B:$O,10,0)),"",IF((VLOOKUP($A42,ESPNData!$B:$O,10,0)="--"),0,VLOOKUP($A42,ESPNData!$B:$O,10,0)))</f>
        <v>0</v>
      </c>
      <c r="P42" s="93">
        <f>IF(ISERROR(VLOOKUP($B42,SportslineData!$A:$O,4,0)),"",ROUND(VLOOKUP($B42,SportslineData!$A:$O,4,0),0))</f>
        <v>37</v>
      </c>
      <c r="Q42" s="33">
        <f>IF(ISERROR(VLOOKUP($B42,SportslineData!$A:$O,5,0)),"",VLOOKUP($B42,SportslineData!$A:$O,5,0))</f>
        <v>407</v>
      </c>
      <c r="R42" s="33">
        <f>IF(ISERROR(VLOOKUP($B42,SportslineData!$A:$O,6,0)),"",ROUND(VLOOKUP($B42,SportslineData!$A:$O,6,0),0))</f>
        <v>4</v>
      </c>
      <c r="S42" s="33">
        <f>IF(ISERROR(VLOOKUP($B42,SportslineData!$A:$O,7,0)),"",ROUND(VLOOKUP($B42,SportslineData!$A:$O,7,0),0))</f>
        <v>2</v>
      </c>
      <c r="T42" s="33">
        <f>IF(ISERROR(VLOOKUP($B42,SportslineData!$A:$O,11,0)),"",VLOOKUP($B42,SportslineData!$A:$O,11,0))</f>
        <v>9.5</v>
      </c>
      <c r="U42" s="33">
        <f>IF(ISERROR(VLOOKUP($B42,SportslineData!$A:$O,13,0)),"",ROUND(VLOOKUP($B42,SportslineData!$A:$O,13,0),0))</f>
        <v>0</v>
      </c>
      <c r="V42" s="64">
        <f>IF(ISERROR(VLOOKUP($B42,SportslineData!$A:$O,14,0)),"",ROUND(VLOOKUP($B42,SportslineData!$A:$O,14,0),0))</f>
        <v>1</v>
      </c>
      <c r="W42" s="117"/>
      <c r="X42" s="33"/>
      <c r="Y42" s="38">
        <f>IF((E42=""),0,ROUND((((((ROUNDDOWN((E42/5),0)*Settings!$F$3)+(F42*Settings!$I$3))+(G42*Settings!$F$4))+(ROUNDDOWN((H42/5),0)*Settings!$F$7))+(I42*Settings!$I$7)),1))</f>
        <v>2</v>
      </c>
      <c r="Z42" s="38">
        <f>IF((K42=""),0,ROUND((((((ROUNDDOWN((K42/5),0)*Settings!$F$3)+(L42*Settings!$I$3))+(M42*Settings!$F$4))+(ROUNDDOWN((N42/5),0)*Settings!$F$7))+(O42*Settings!$I$7)),1))</f>
        <v>48</v>
      </c>
      <c r="AA42" s="38">
        <f>IF((Q42=""),0,ROUND(((((((ROUNDDOWN((Q42/5),0)*Settings!$F$3)+(R42*Settings!$I$3))+(S42*Settings!$F$4))+(ROUNDDOWN((T42/5),0)*Settings!$F$7))+(U42*Settings!$I$7))+(V42*Settings!$F$15)),1))</f>
        <v>35.700000000000003</v>
      </c>
      <c r="AB42" s="66">
        <f>ROUND((((Y42*Settings!$B$21)+(Z42*Settings!$B$22))+(AA42*Settings!$B$23)),1)</f>
        <v>28.6</v>
      </c>
      <c r="AC42" s="66">
        <f>IF(ISERROR(VLOOKUP(RANK(AB42,$AB$4:$AB$102),AC$4:AC41,1,0)),RANK(AB42,$AB$4:$AB$102),IF(ISERROR(VLOOKUP((RANK(AB42,$AB$4:$AB$102)+1),AC$4:AC41,1,0)),(RANK(AB42,$AB$4:$AB$102)+1),IF(ISERROR(VLOOKUP((RANK(AB42,$AB$4:$AB$102)+2),AC$4:AC41,1,0)),(RANK(AB42,$AB$4:$AB$102)+2),(RANK(AB42,$AB$4:$AB$102)+3))))</f>
        <v>44</v>
      </c>
      <c r="AD42" t="str">
        <f t="shared" si="5"/>
        <v>Shaun Hill</v>
      </c>
    </row>
    <row r="43" spans="1:30" ht="12.75" customHeight="1">
      <c r="A43" s="33" t="str">
        <f>ESPNData!B42</f>
        <v>Mark Sanchez, Phi QB</v>
      </c>
      <c r="B43" s="33" t="str">
        <f t="shared" si="3"/>
        <v>Mark Sanchez</v>
      </c>
      <c r="C43" s="64" t="str">
        <f t="shared" si="4"/>
        <v>PHI</v>
      </c>
      <c r="D43" s="117">
        <f>IF(ISERROR(VLOOKUP($B43,FFTodayData!$B:$M,4,0)),"",VLOOKUP($B43,FFTodayData!$B:$M,4,0))</f>
        <v>19</v>
      </c>
      <c r="E43" s="33">
        <f>IF(ISERROR(VLOOKUP($B43,FFTodayData!$B:$M,6,0)),"",VLOOKUP($B43,FFTodayData!$B:$M,6,0))</f>
        <v>214</v>
      </c>
      <c r="F43" s="33">
        <f>IF(ISERROR(VLOOKUP($B43,FFTodayData!$B:$M,7,0)),"",VLOOKUP($B43,FFTodayData!$B:$M,7,0))</f>
        <v>0</v>
      </c>
      <c r="G43" s="33">
        <f>IF(ISERROR(VLOOKUP($B43,FFTodayData!$B:$M,8,0)),"",VLOOKUP($B43,FFTodayData!$B:$M,8,0))</f>
        <v>0</v>
      </c>
      <c r="H43" s="33">
        <f>IF(ISERROR(VLOOKUP($B43,FFTodayData!$B:$M,10,0)),"",VLOOKUP($B43,FFTodayData!$B:$M,10,0))</f>
        <v>2</v>
      </c>
      <c r="I43" s="64">
        <f>IF(ISERROR(VLOOKUP($B43,FFTodayData!$B:$M,11,0)),"",VLOOKUP($B43,FFTodayData!$B:$M,11,0))</f>
        <v>0</v>
      </c>
      <c r="J43" s="117">
        <f>VALUE(IF(ISERROR(VLOOKUP($A43,ESPNData!$B:$O,4,0)),"",IF((VLOOKUP($A43,ESPNData!$B:$O,4,0)="--/--"),0,LEFT(VLOOKUP($A43,ESPNData!$B:$O,4,0),(FIND("/",VLOOKUP($A43,ESPNData!$B:$O,4,0))-1)))))</f>
        <v>14</v>
      </c>
      <c r="K43" s="33">
        <f>IF(ISERROR(VLOOKUP($A43,ESPNData!$B:$O,5,0)),"",IF((VLOOKUP($A43,ESPNData!$B:$O,5,0)="--"),0,VLOOKUP($A43,ESPNData!$B:$O,5,0)))</f>
        <v>153</v>
      </c>
      <c r="L43" s="33">
        <f>IF(ISERROR(VLOOKUP($A43,ESPNData!$B:$O,6,0)),"",IF((VLOOKUP($A43,ESPNData!$B:$O,6,0)="--"),0,VLOOKUP($A43,ESPNData!$B:$O,6,0)))</f>
        <v>2</v>
      </c>
      <c r="M43" s="33">
        <f>IF(ISERROR(VLOOKUP($A43,ESPNData!$B:$O,7,0)),"",IF((VLOOKUP($A43,ESPNData!$B:$O,7,0)="--"),0,VLOOKUP($A43,ESPNData!$B:$O,7,0)))</f>
        <v>3</v>
      </c>
      <c r="N43" s="33">
        <f>IF(ISERROR(VLOOKUP($A43,ESPNData!$B:$O,9,0)),"",IF((VLOOKUP($A43,ESPNData!$B:$O,9,0)="--"),0,VLOOKUP($A43,ESPNData!$B:$O,9,0)))</f>
        <v>6</v>
      </c>
      <c r="O43" s="194">
        <f>IF(ISERROR(VLOOKUP($A43,ESPNData!$B:$O,10,0)),"",IF((VLOOKUP($A43,ESPNData!$B:$O,10,0)="--"),0,VLOOKUP($A43,ESPNData!$B:$O,10,0)))</f>
        <v>0</v>
      </c>
      <c r="P43" s="93">
        <f>IF(ISERROR(VLOOKUP($B43,SportslineData!$A:$O,4,0)),"",ROUND(VLOOKUP($B43,SportslineData!$A:$O,4,0),0))</f>
        <v>17</v>
      </c>
      <c r="Q43" s="33">
        <f>IF(ISERROR(VLOOKUP($B43,SportslineData!$A:$O,5,0)),"",VLOOKUP($B43,SportslineData!$A:$O,5,0))</f>
        <v>184</v>
      </c>
      <c r="R43" s="33">
        <f>IF(ISERROR(VLOOKUP($B43,SportslineData!$A:$O,6,0)),"",ROUND(VLOOKUP($B43,SportslineData!$A:$O,6,0),0))</f>
        <v>2</v>
      </c>
      <c r="S43" s="33">
        <f>IF(ISERROR(VLOOKUP($B43,SportslineData!$A:$O,7,0)),"",ROUND(VLOOKUP($B43,SportslineData!$A:$O,7,0),0))</f>
        <v>0</v>
      </c>
      <c r="T43" s="33">
        <f>IF(ISERROR(VLOOKUP($B43,SportslineData!$A:$O,11,0)),"",VLOOKUP($B43,SportslineData!$A:$O,11,0))</f>
        <v>5</v>
      </c>
      <c r="U43" s="33">
        <f>IF(ISERROR(VLOOKUP($B43,SportslineData!$A:$O,13,0)),"",ROUND(VLOOKUP($B43,SportslineData!$A:$O,13,0),0))</f>
        <v>0</v>
      </c>
      <c r="V43" s="64">
        <f>IF(ISERROR(VLOOKUP($B43,SportslineData!$A:$O,14,0)),"",ROUND(VLOOKUP($B43,SportslineData!$A:$O,14,0),0))</f>
        <v>0</v>
      </c>
      <c r="W43" s="117"/>
      <c r="X43" s="33"/>
      <c r="Y43" s="38">
        <f>IF((E43=""),0,ROUND((((((ROUNDDOWN((E43/5),0)*Settings!$F$3)+(F43*Settings!$I$3))+(G43*Settings!$F$4))+(ROUNDDOWN((H43/5),0)*Settings!$F$7))+(I43*Settings!$I$7)),1))</f>
        <v>8.4</v>
      </c>
      <c r="Z43" s="38">
        <f>IF((K43=""),0,ROUND((((((ROUNDDOWN((K43/5),0)*Settings!$F$3)+(L43*Settings!$I$3))+(M43*Settings!$F$4))+(ROUNDDOWN((N43/5),0)*Settings!$F$7))+(O43*Settings!$I$7)),1))</f>
        <v>12.5</v>
      </c>
      <c r="AA43" s="38">
        <f>IF((Q43=""),0,ROUND(((((((ROUNDDOWN((Q43/5),0)*Settings!$F$3)+(R43*Settings!$I$3))+(S43*Settings!$F$4))+(ROUNDDOWN((T43/5),0)*Settings!$F$7))+(U43*Settings!$I$7))+(V43*Settings!$F$15)),1))</f>
        <v>19.7</v>
      </c>
      <c r="AB43" s="66">
        <f>ROUND((((Y43*Settings!$B$21)+(Z43*Settings!$B$22))+(AA43*Settings!$B$23)),1)</f>
        <v>13.6</v>
      </c>
      <c r="AC43" s="66">
        <f>IF(ISERROR(VLOOKUP(RANK(AB43,$AB$4:$AB$102),AC$4:AC42,1,0)),RANK(AB43,$AB$4:$AB$102),IF(ISERROR(VLOOKUP((RANK(AB43,$AB$4:$AB$102)+1),AC$4:AC42,1,0)),(RANK(AB43,$AB$4:$AB$102)+1),IF(ISERROR(VLOOKUP((RANK(AB43,$AB$4:$AB$102)+2),AC$4:AC42,1,0)),(RANK(AB43,$AB$4:$AB$102)+2),(RANK(AB43,$AB$4:$AB$102)+3))))</f>
        <v>47</v>
      </c>
      <c r="AD43" t="str">
        <f t="shared" si="5"/>
        <v>Mark Sanchez</v>
      </c>
    </row>
    <row r="44" spans="1:30" ht="12.75" customHeight="1">
      <c r="A44" s="33" t="str">
        <f>ESPNData!B45</f>
        <v>Matt Flynn, GB QB</v>
      </c>
      <c r="B44" s="33" t="str">
        <f t="shared" si="3"/>
        <v>Matt Flynn</v>
      </c>
      <c r="C44" s="64" t="str">
        <f t="shared" si="4"/>
        <v>GB</v>
      </c>
      <c r="D44" s="117">
        <f>IF(ISERROR(VLOOKUP($B44,FFTodayData!$B:$M,4,0)),"",VLOOKUP($B44,FFTodayData!$B:$M,4,0))</f>
        <v>9</v>
      </c>
      <c r="E44" s="33">
        <f>IF(ISERROR(VLOOKUP($B44,FFTodayData!$B:$M,6,0)),"",VLOOKUP($B44,FFTodayData!$B:$M,6,0))</f>
        <v>104</v>
      </c>
      <c r="F44" s="33">
        <f>IF(ISERROR(VLOOKUP($B44,FFTodayData!$B:$M,7,0)),"",VLOOKUP($B44,FFTodayData!$B:$M,7,0))</f>
        <v>0</v>
      </c>
      <c r="G44" s="33">
        <f>IF(ISERROR(VLOOKUP($B44,FFTodayData!$B:$M,8,0)),"",VLOOKUP($B44,FFTodayData!$B:$M,8,0))</f>
        <v>1</v>
      </c>
      <c r="H44" s="33">
        <f>IF(ISERROR(VLOOKUP($B44,FFTodayData!$B:$M,10,0)),"",VLOOKUP($B44,FFTodayData!$B:$M,10,0))</f>
        <v>0</v>
      </c>
      <c r="I44" s="64">
        <f>IF(ISERROR(VLOOKUP($B44,FFTodayData!$B:$M,11,0)),"",VLOOKUP($B44,FFTodayData!$B:$M,11,0))</f>
        <v>0</v>
      </c>
      <c r="J44" s="117">
        <f>VALUE(IF(ISERROR(VLOOKUP($A44,ESPNData!$B:$O,4,0)),"",IF((VLOOKUP($A44,ESPNData!$B:$O,4,0)="--/--"),0,LEFT(VLOOKUP($A44,ESPNData!$B:$O,4,0),(FIND("/",VLOOKUP($A44,ESPNData!$B:$O,4,0))-1)))))</f>
        <v>28</v>
      </c>
      <c r="K44" s="33">
        <f>IF(ISERROR(VLOOKUP($A44,ESPNData!$B:$O,5,0)),"",IF((VLOOKUP($A44,ESPNData!$B:$O,5,0)="--"),0,VLOOKUP($A44,ESPNData!$B:$O,5,0)))</f>
        <v>334</v>
      </c>
      <c r="L44" s="33">
        <f>IF(ISERROR(VLOOKUP($A44,ESPNData!$B:$O,6,0)),"",IF((VLOOKUP($A44,ESPNData!$B:$O,6,0)="--"),0,VLOOKUP($A44,ESPNData!$B:$O,6,0)))</f>
        <v>2</v>
      </c>
      <c r="M44" s="33">
        <f>IF(ISERROR(VLOOKUP($A44,ESPNData!$B:$O,7,0)),"",IF((VLOOKUP($A44,ESPNData!$B:$O,7,0)="--"),0,VLOOKUP($A44,ESPNData!$B:$O,7,0)))</f>
        <v>3</v>
      </c>
      <c r="N44" s="33">
        <f>IF(ISERROR(VLOOKUP($A44,ESPNData!$B:$O,9,0)),"",IF((VLOOKUP($A44,ESPNData!$B:$O,9,0)="--"),0,VLOOKUP($A44,ESPNData!$B:$O,9,0)))</f>
        <v>45</v>
      </c>
      <c r="O44" s="194">
        <f>IF(ISERROR(VLOOKUP($A44,ESPNData!$B:$O,10,0)),"",IF((VLOOKUP($A44,ESPNData!$B:$O,10,0)="--"),0,VLOOKUP($A44,ESPNData!$B:$O,10,0)))</f>
        <v>0</v>
      </c>
      <c r="P44" s="93">
        <f>IF(ISERROR(VLOOKUP($B44,SportslineData!$A:$O,4,0)),"",ROUND(VLOOKUP($B44,SportslineData!$A:$O,4,0),0))</f>
        <v>12</v>
      </c>
      <c r="Q44" s="33">
        <f>IF(ISERROR(VLOOKUP($B44,SportslineData!$A:$O,5,0)),"",VLOOKUP($B44,SportslineData!$A:$O,5,0))</f>
        <v>143.5</v>
      </c>
      <c r="R44" s="33">
        <f>IF(ISERROR(VLOOKUP($B44,SportslineData!$A:$O,6,0)),"",ROUND(VLOOKUP($B44,SportslineData!$A:$O,6,0),0))</f>
        <v>1</v>
      </c>
      <c r="S44" s="33">
        <f>IF(ISERROR(VLOOKUP($B44,SportslineData!$A:$O,7,0)),"",ROUND(VLOOKUP($B44,SportslineData!$A:$O,7,0),0))</f>
        <v>0</v>
      </c>
      <c r="T44" s="33">
        <f>IF(ISERROR(VLOOKUP($B44,SportslineData!$A:$O,11,0)),"",VLOOKUP($B44,SportslineData!$A:$O,11,0))</f>
        <v>10</v>
      </c>
      <c r="U44" s="33">
        <f>IF(ISERROR(VLOOKUP($B44,SportslineData!$A:$O,13,0)),"",ROUND(VLOOKUP($B44,SportslineData!$A:$O,13,0),0))</f>
        <v>0</v>
      </c>
      <c r="V44" s="64">
        <f>IF(ISERROR(VLOOKUP($B44,SportslineData!$A:$O,14,0)),"",ROUND(VLOOKUP($B44,SportslineData!$A:$O,14,0),0))</f>
        <v>0</v>
      </c>
      <c r="W44" s="117"/>
      <c r="X44" s="33"/>
      <c r="Y44" s="38">
        <f>IF((E44=""),0,ROUND((((((ROUNDDOWN((E44/5),0)*Settings!$F$3)+(F44*Settings!$I$3))+(G44*Settings!$F$4))+(ROUNDDOWN((H44/5),0)*Settings!$F$7))+(I44*Settings!$I$7)),1))</f>
        <v>2</v>
      </c>
      <c r="Z44" s="38">
        <f>IF((K44=""),0,ROUND((((((ROUNDDOWN((K44/5),0)*Settings!$F$3)+(L44*Settings!$I$3))+(M44*Settings!$F$4))+(ROUNDDOWN((N44/5),0)*Settings!$F$7))+(O44*Settings!$I$7)),1))</f>
        <v>23.7</v>
      </c>
      <c r="AA44" s="38">
        <f>IF((Q44=""),0,ROUND(((((((ROUNDDOWN((Q44/5),0)*Settings!$F$3)+(R44*Settings!$I$3))+(S44*Settings!$F$4))+(ROUNDDOWN((T44/5),0)*Settings!$F$7))+(U44*Settings!$I$7))+(V44*Settings!$F$15)),1))</f>
        <v>12.6</v>
      </c>
      <c r="AB44" s="66">
        <f>ROUND((((Y44*Settings!$B$21)+(Z44*Settings!$B$22))+(AA44*Settings!$B$23)),1)</f>
        <v>12.8</v>
      </c>
      <c r="AC44" s="66">
        <f>IF(ISERROR(VLOOKUP(RANK(AB44,$AB$4:$AB$102),AC$4:AC43,1,0)),RANK(AB44,$AB$4:$AB$102),IF(ISERROR(VLOOKUP((RANK(AB44,$AB$4:$AB$102)+1),AC$4:AC43,1,0)),(RANK(AB44,$AB$4:$AB$102)+1),IF(ISERROR(VLOOKUP((RANK(AB44,$AB$4:$AB$102)+2),AC$4:AC43,1,0)),(RANK(AB44,$AB$4:$AB$102)+2),(RANK(AB44,$AB$4:$AB$102)+3))))</f>
        <v>48</v>
      </c>
      <c r="AD44" t="str">
        <f t="shared" si="5"/>
        <v>Matt Flynn</v>
      </c>
    </row>
    <row r="45" spans="1:30" ht="12.75" customHeight="1">
      <c r="A45" s="33" t="str">
        <f>ESPNData!B46</f>
        <v>Christian Ponder, Min QB</v>
      </c>
      <c r="B45" s="33" t="str">
        <f t="shared" si="3"/>
        <v>Christian Ponder</v>
      </c>
      <c r="C45" s="64" t="str">
        <f t="shared" si="4"/>
        <v>MIN</v>
      </c>
      <c r="D45" s="117" t="str">
        <f>IF(ISERROR(VLOOKUP($B45,FFTodayData!$B:$M,4,0)),"",VLOOKUP($B45,FFTodayData!$B:$M,4,0))</f>
        <v/>
      </c>
      <c r="E45" s="33" t="str">
        <f>IF(ISERROR(VLOOKUP($B45,FFTodayData!$B:$M,6,0)),"",VLOOKUP($B45,FFTodayData!$B:$M,6,0))</f>
        <v/>
      </c>
      <c r="F45" s="33" t="str">
        <f>IF(ISERROR(VLOOKUP($B45,FFTodayData!$B:$M,7,0)),"",VLOOKUP($B45,FFTodayData!$B:$M,7,0))</f>
        <v/>
      </c>
      <c r="G45" s="33" t="str">
        <f>IF(ISERROR(VLOOKUP($B45,FFTodayData!$B:$M,8,0)),"",VLOOKUP($B45,FFTodayData!$B:$M,8,0))</f>
        <v/>
      </c>
      <c r="H45" s="33" t="str">
        <f>IF(ISERROR(VLOOKUP($B45,FFTodayData!$B:$M,10,0)),"",VLOOKUP($B45,FFTodayData!$B:$M,10,0))</f>
        <v/>
      </c>
      <c r="I45" s="64" t="str">
        <f>IF(ISERROR(VLOOKUP($B45,FFTodayData!$B:$M,11,0)),"",VLOOKUP($B45,FFTodayData!$B:$M,11,0))</f>
        <v/>
      </c>
      <c r="J45" s="117" t="e">
        <f>VALUE(IF(ISERROR(VLOOKUP($A45,ESPNData!$B:$O,4,0)),"",IF((VLOOKUP($A45,ESPNData!$B:$O,4,0)="--/--"),0,LEFT(VLOOKUP($A45,ESPNData!$B:$O,4,0),(FIND("/",VLOOKUP($A45,ESPNData!$B:$O,4,0))-1)))))</f>
        <v>#VALUE!</v>
      </c>
      <c r="K45" s="33">
        <f>IF(ISERROR(VLOOKUP($A45,ESPNData!$B:$O,5,0)),"",IF((VLOOKUP($A45,ESPNData!$B:$O,5,0)="--"),0,VLOOKUP($A45,ESPNData!$B:$O,5,0)))</f>
        <v>55</v>
      </c>
      <c r="L45" s="33">
        <f>IF(ISERROR(VLOOKUP($A45,ESPNData!$B:$O,6,0)),"",IF((VLOOKUP($A45,ESPNData!$B:$O,6,0)="--"),0,VLOOKUP($A45,ESPNData!$B:$O,6,0)))</f>
        <v>0</v>
      </c>
      <c r="M45" s="33">
        <f>IF(ISERROR(VLOOKUP($A45,ESPNData!$B:$O,7,0)),"",IF((VLOOKUP($A45,ESPNData!$B:$O,7,0)="--"),0,VLOOKUP($A45,ESPNData!$B:$O,7,0)))</f>
        <v>0</v>
      </c>
      <c r="N45" s="33">
        <f>IF(ISERROR(VLOOKUP($A45,ESPNData!$B:$O,9,0)),"",IF((VLOOKUP($A45,ESPNData!$B:$O,9,0)="--"),0,VLOOKUP($A45,ESPNData!$B:$O,9,0)))</f>
        <v>0</v>
      </c>
      <c r="O45" s="194">
        <f>IF(ISERROR(VLOOKUP($A45,ESPNData!$B:$O,10,0)),"",IF((VLOOKUP($A45,ESPNData!$B:$O,10,0)="--"),0,VLOOKUP($A45,ESPNData!$B:$O,10,0)))</f>
        <v>0</v>
      </c>
      <c r="P45" s="93" t="str">
        <f>IF(ISERROR(VLOOKUP($B45,SportslineData!$A:$O,4,0)),"",ROUND(VLOOKUP($B45,SportslineData!$A:$O,4,0),0))</f>
        <v/>
      </c>
      <c r="Q45" s="33" t="str">
        <f>IF(ISERROR(VLOOKUP($B45,SportslineData!$A:$O,5,0)),"",VLOOKUP($B45,SportslineData!$A:$O,5,0))</f>
        <v/>
      </c>
      <c r="R45" s="33" t="str">
        <f>IF(ISERROR(VLOOKUP($B45,SportslineData!$A:$O,6,0)),"",ROUND(VLOOKUP($B45,SportslineData!$A:$O,6,0),0))</f>
        <v/>
      </c>
      <c r="S45" s="33" t="str">
        <f>IF(ISERROR(VLOOKUP($B45,SportslineData!$A:$O,7,0)),"",ROUND(VLOOKUP($B45,SportslineData!$A:$O,7,0),0))</f>
        <v/>
      </c>
      <c r="T45" s="33" t="str">
        <f>IF(ISERROR(VLOOKUP($B45,SportslineData!$A:$O,11,0)),"",VLOOKUP($B45,SportslineData!$A:$O,11,0))</f>
        <v/>
      </c>
      <c r="U45" s="33" t="str">
        <f>IF(ISERROR(VLOOKUP($B45,SportslineData!$A:$O,13,0)),"",ROUND(VLOOKUP($B45,SportslineData!$A:$O,13,0),0))</f>
        <v/>
      </c>
      <c r="V45" s="64" t="str">
        <f>IF(ISERROR(VLOOKUP($B45,SportslineData!$A:$O,14,0)),"",ROUND(VLOOKUP($B45,SportslineData!$A:$O,14,0),0))</f>
        <v/>
      </c>
      <c r="W45" s="117"/>
      <c r="X45" s="33"/>
      <c r="Y45" s="38">
        <f>IF((E45=""),0,ROUND((((((ROUNDDOWN((E45/5),0)*Settings!$F$3)+(F45*Settings!$I$3))+(G45*Settings!$F$4))+(ROUNDDOWN((H45/5),0)*Settings!$F$7))+(I45*Settings!$I$7)),1))</f>
        <v>0</v>
      </c>
      <c r="Z45" s="38">
        <f>IF((K45=""),0,ROUND((((((ROUNDDOWN((K45/5),0)*Settings!$F$3)+(L45*Settings!$I$3))+(M45*Settings!$F$4))+(ROUNDDOWN((N45/5),0)*Settings!$F$7))+(O45*Settings!$I$7)),1))</f>
        <v>2.2000000000000002</v>
      </c>
      <c r="AA45" s="38">
        <f>IF((Q45=""),0,ROUND(((((((ROUNDDOWN((Q45/5),0)*Settings!$F$3)+(R45*Settings!$I$3))+(S45*Settings!$F$4))+(ROUNDDOWN((T45/5),0)*Settings!$F$7))+(U45*Settings!$I$7))+(V45*Settings!$F$15)),1))</f>
        <v>0</v>
      </c>
      <c r="AB45" s="66">
        <f>ROUND((((Y45*Settings!$B$21)+(Z45*Settings!$B$22))+(AA45*Settings!$B$23)),1)</f>
        <v>0.7</v>
      </c>
      <c r="AC45" s="66">
        <f>IF(ISERROR(VLOOKUP(RANK(AB45,$AB$4:$AB$102),AC$4:AC44,1,0)),RANK(AB45,$AB$4:$AB$102),IF(ISERROR(VLOOKUP((RANK(AB45,$AB$4:$AB$102)+1),AC$4:AC44,1,0)),(RANK(AB45,$AB$4:$AB$102)+1),IF(ISERROR(VLOOKUP((RANK(AB45,$AB$4:$AB$102)+2),AC$4:AC44,1,0)),(RANK(AB45,$AB$4:$AB$102)+2),(RANK(AB45,$AB$4:$AB$102)+3))))</f>
        <v>64</v>
      </c>
      <c r="AD45" t="str">
        <f t="shared" si="5"/>
        <v>Christian Ponder</v>
      </c>
    </row>
    <row r="46" spans="1:30" ht="12.75" customHeight="1">
      <c r="A46" s="33" t="str">
        <f>ESPNData!B47</f>
        <v>Brandon Weeden, Dal QB</v>
      </c>
      <c r="B46" s="33" t="str">
        <f t="shared" si="3"/>
        <v>Brandon Weeden</v>
      </c>
      <c r="C46" s="64" t="str">
        <f t="shared" si="4"/>
        <v>DAL</v>
      </c>
      <c r="D46" s="117">
        <f>IF(ISERROR(VLOOKUP($B46,FFTodayData!$B:$M,4,0)),"",VLOOKUP($B46,FFTodayData!$B:$M,4,0))</f>
        <v>19</v>
      </c>
      <c r="E46" s="33">
        <f>IF(ISERROR(VLOOKUP($B46,FFTodayData!$B:$M,6,0)),"",VLOOKUP($B46,FFTodayData!$B:$M,6,0))</f>
        <v>231</v>
      </c>
      <c r="F46" s="33">
        <f>IF(ISERROR(VLOOKUP($B46,FFTodayData!$B:$M,7,0)),"",VLOOKUP($B46,FFTodayData!$B:$M,7,0))</f>
        <v>1</v>
      </c>
      <c r="G46" s="33">
        <f>IF(ISERROR(VLOOKUP($B46,FFTodayData!$B:$M,8,0)),"",VLOOKUP($B46,FFTodayData!$B:$M,8,0))</f>
        <v>1</v>
      </c>
      <c r="H46" s="33">
        <f>IF(ISERROR(VLOOKUP($B46,FFTodayData!$B:$M,10,0)),"",VLOOKUP($B46,FFTodayData!$B:$M,10,0))</f>
        <v>0</v>
      </c>
      <c r="I46" s="64">
        <f>IF(ISERROR(VLOOKUP($B46,FFTodayData!$B:$M,11,0)),"",VLOOKUP($B46,FFTodayData!$B:$M,11,0))</f>
        <v>0</v>
      </c>
      <c r="J46" s="117">
        <f>VALUE(IF(ISERROR(VLOOKUP($A46,ESPNData!$B:$O,4,0)),"",IF((VLOOKUP($A46,ESPNData!$B:$O,4,0)="--/--"),0,LEFT(VLOOKUP($A46,ESPNData!$B:$O,4,0),(FIND("/",VLOOKUP($A46,ESPNData!$B:$O,4,0))-1)))))</f>
        <v>22</v>
      </c>
      <c r="K46" s="33">
        <f>IF(ISERROR(VLOOKUP($A46,ESPNData!$B:$O,5,0)),"",IF((VLOOKUP($A46,ESPNData!$B:$O,5,0)="--"),0,VLOOKUP($A46,ESPNData!$B:$O,5,0)))</f>
        <v>293</v>
      </c>
      <c r="L46" s="33">
        <f>IF(ISERROR(VLOOKUP($A46,ESPNData!$B:$O,6,0)),"",IF((VLOOKUP($A46,ESPNData!$B:$O,6,0)="--"),0,VLOOKUP($A46,ESPNData!$B:$O,6,0)))</f>
        <v>2</v>
      </c>
      <c r="M46" s="33">
        <f>IF(ISERROR(VLOOKUP($A46,ESPNData!$B:$O,7,0)),"",IF((VLOOKUP($A46,ESPNData!$B:$O,7,0)="--"),0,VLOOKUP($A46,ESPNData!$B:$O,7,0)))</f>
        <v>1</v>
      </c>
      <c r="N46" s="33">
        <f>IF(ISERROR(VLOOKUP($A46,ESPNData!$B:$O,9,0)),"",IF((VLOOKUP($A46,ESPNData!$B:$O,9,0)="--"),0,VLOOKUP($A46,ESPNData!$B:$O,9,0)))</f>
        <v>7</v>
      </c>
      <c r="O46" s="194">
        <f>IF(ISERROR(VLOOKUP($A46,ESPNData!$B:$O,10,0)),"",IF((VLOOKUP($A46,ESPNData!$B:$O,10,0)="--"),0,VLOOKUP($A46,ESPNData!$B:$O,10,0)))</f>
        <v>0</v>
      </c>
      <c r="P46" s="93">
        <f>IF(ISERROR(VLOOKUP($B46,SportslineData!$A:$O,4,0)),"",ROUND(VLOOKUP($B46,SportslineData!$A:$O,4,0),0))</f>
        <v>28</v>
      </c>
      <c r="Q46" s="33">
        <f>IF(ISERROR(VLOOKUP($B46,SportslineData!$A:$O,5,0)),"",VLOOKUP($B46,SportslineData!$A:$O,5,0))</f>
        <v>315</v>
      </c>
      <c r="R46" s="33">
        <f>IF(ISERROR(VLOOKUP($B46,SportslineData!$A:$O,6,0)),"",ROUND(VLOOKUP($B46,SportslineData!$A:$O,6,0),0))</f>
        <v>1</v>
      </c>
      <c r="S46" s="33">
        <f>IF(ISERROR(VLOOKUP($B46,SportslineData!$A:$O,7,0)),"",ROUND(VLOOKUP($B46,SportslineData!$A:$O,7,0),0))</f>
        <v>2</v>
      </c>
      <c r="T46" s="33">
        <f>IF(ISERROR(VLOOKUP($B46,SportslineData!$A:$O,11,0)),"",VLOOKUP($B46,SportslineData!$A:$O,11,0))</f>
        <v>1</v>
      </c>
      <c r="U46" s="33">
        <f>IF(ISERROR(VLOOKUP($B46,SportslineData!$A:$O,13,0)),"",ROUND(VLOOKUP($B46,SportslineData!$A:$O,13,0),0))</f>
        <v>0</v>
      </c>
      <c r="V46" s="64">
        <f>IF(ISERROR(VLOOKUP($B46,SportslineData!$A:$O,14,0)),"",ROUND(VLOOKUP($B46,SportslineData!$A:$O,14,0),0))</f>
        <v>1</v>
      </c>
      <c r="W46" s="117"/>
      <c r="X46" s="33"/>
      <c r="Y46" s="38">
        <f>IF((E46=""),0,ROUND((((((ROUNDDOWN((E46/5),0)*Settings!$F$3)+(F46*Settings!$I$3))+(G46*Settings!$F$4))+(ROUNDDOWN((H46/5),0)*Settings!$F$7))+(I46*Settings!$I$7)),1))</f>
        <v>13.2</v>
      </c>
      <c r="Z46" s="38">
        <f>IF((K46=""),0,ROUND((((((ROUNDDOWN((K46/5),0)*Settings!$F$3)+(L46*Settings!$I$3))+(M46*Settings!$F$4))+(ROUNDDOWN((N46/5),0)*Settings!$F$7))+(O46*Settings!$I$7)),1))</f>
        <v>22.1</v>
      </c>
      <c r="AA46" s="38">
        <f>IF((Q46=""),0,ROUND(((((((ROUNDDOWN((Q46/5),0)*Settings!$F$3)+(R46*Settings!$I$3))+(S46*Settings!$F$4))+(ROUNDDOWN((T46/5),0)*Settings!$F$7))+(U46*Settings!$I$7))+(V46*Settings!$F$15)),1))</f>
        <v>13.6</v>
      </c>
      <c r="AB46" s="66">
        <f>ROUND((((Y46*Settings!$B$21)+(Z46*Settings!$B$22))+(AA46*Settings!$B$23)),1)</f>
        <v>16.3</v>
      </c>
      <c r="AC46" s="66">
        <f>IF(ISERROR(VLOOKUP(RANK(AB46,$AB$4:$AB$102),AC$4:AC45,1,0)),RANK(AB46,$AB$4:$AB$102),IF(ISERROR(VLOOKUP((RANK(AB46,$AB$4:$AB$102)+1),AC$4:AC45,1,0)),(RANK(AB46,$AB$4:$AB$102)+1),IF(ISERROR(VLOOKUP((RANK(AB46,$AB$4:$AB$102)+2),AC$4:AC45,1,0)),(RANK(AB46,$AB$4:$AB$102)+2),(RANK(AB46,$AB$4:$AB$102)+3))))</f>
        <v>45</v>
      </c>
      <c r="AD46" t="str">
        <f t="shared" si="5"/>
        <v>Brandon Weeden</v>
      </c>
    </row>
    <row r="47" spans="1:30" ht="12.75" customHeight="1">
      <c r="A47" s="33" t="str">
        <f>ESPNData!B48</f>
        <v>Thad Lewis, Buf QB</v>
      </c>
      <c r="B47" s="33" t="str">
        <f t="shared" si="3"/>
        <v>Thad Lewis</v>
      </c>
      <c r="C47" s="64" t="str">
        <f t="shared" si="4"/>
        <v>BUF</v>
      </c>
      <c r="D47" s="117" t="str">
        <f>IF(ISERROR(VLOOKUP($B47,FFTodayData!$B:$M,4,0)),"",VLOOKUP($B47,FFTodayData!$B:$M,4,0))</f>
        <v/>
      </c>
      <c r="E47" s="33" t="str">
        <f>IF(ISERROR(VLOOKUP($B47,FFTodayData!$B:$M,6,0)),"",VLOOKUP($B47,FFTodayData!$B:$M,6,0))</f>
        <v/>
      </c>
      <c r="F47" s="33" t="str">
        <f>IF(ISERROR(VLOOKUP($B47,FFTodayData!$B:$M,7,0)),"",VLOOKUP($B47,FFTodayData!$B:$M,7,0))</f>
        <v/>
      </c>
      <c r="G47" s="33" t="str">
        <f>IF(ISERROR(VLOOKUP($B47,FFTodayData!$B:$M,8,0)),"",VLOOKUP($B47,FFTodayData!$B:$M,8,0))</f>
        <v/>
      </c>
      <c r="H47" s="33" t="str">
        <f>IF(ISERROR(VLOOKUP($B47,FFTodayData!$B:$M,10,0)),"",VLOOKUP($B47,FFTodayData!$B:$M,10,0))</f>
        <v/>
      </c>
      <c r="I47" s="64" t="str">
        <f>IF(ISERROR(VLOOKUP($B47,FFTodayData!$B:$M,11,0)),"",VLOOKUP($B47,FFTodayData!$B:$M,11,0))</f>
        <v/>
      </c>
      <c r="J47" s="117">
        <f>VALUE(IF(ISERROR(VLOOKUP($A47,ESPNData!$B:$O,4,0)),"",IF((VLOOKUP($A47,ESPNData!$B:$O,4,0)="--/--"),0,LEFT(VLOOKUP($A47,ESPNData!$B:$O,4,0),(FIND("/",VLOOKUP($A47,ESPNData!$B:$O,4,0))-1)))))</f>
        <v>59</v>
      </c>
      <c r="K47" s="33">
        <f>IF(ISERROR(VLOOKUP($A47,ESPNData!$B:$O,5,0)),"",IF((VLOOKUP($A47,ESPNData!$B:$O,5,0)="--"),0,VLOOKUP($A47,ESPNData!$B:$O,5,0)))</f>
        <v>603</v>
      </c>
      <c r="L47" s="33">
        <f>IF(ISERROR(VLOOKUP($A47,ESPNData!$B:$O,6,0)),"",IF((VLOOKUP($A47,ESPNData!$B:$O,6,0)="--"),0,VLOOKUP($A47,ESPNData!$B:$O,6,0)))</f>
        <v>5</v>
      </c>
      <c r="M47" s="33">
        <f>IF(ISERROR(VLOOKUP($A47,ESPNData!$B:$O,7,0)),"",IF((VLOOKUP($A47,ESPNData!$B:$O,7,0)="--"),0,VLOOKUP($A47,ESPNData!$B:$O,7,0)))</f>
        <v>4</v>
      </c>
      <c r="N47" s="33">
        <f>IF(ISERROR(VLOOKUP($A47,ESPNData!$B:$O,9,0)),"",IF((VLOOKUP($A47,ESPNData!$B:$O,9,0)="--"),0,VLOOKUP($A47,ESPNData!$B:$O,9,0)))</f>
        <v>32</v>
      </c>
      <c r="O47" s="194">
        <f>IF(ISERROR(VLOOKUP($A47,ESPNData!$B:$O,10,0)),"",IF((VLOOKUP($A47,ESPNData!$B:$O,10,0)="--"),0,VLOOKUP($A47,ESPNData!$B:$O,10,0)))</f>
        <v>0</v>
      </c>
      <c r="P47" s="93">
        <f>IF(ISERROR(VLOOKUP($B47,SportslineData!$A:$O,4,0)),"",ROUND(VLOOKUP($B47,SportslineData!$A:$O,4,0),0))</f>
        <v>78</v>
      </c>
      <c r="Q47" s="33">
        <f>IF(ISERROR(VLOOKUP($B47,SportslineData!$A:$O,5,0)),"",VLOOKUP($B47,SportslineData!$A:$O,5,0))</f>
        <v>837.5</v>
      </c>
      <c r="R47" s="33">
        <f>IF(ISERROR(VLOOKUP($B47,SportslineData!$A:$O,6,0)),"",ROUND(VLOOKUP($B47,SportslineData!$A:$O,6,0),0))</f>
        <v>4</v>
      </c>
      <c r="S47" s="33">
        <f>IF(ISERROR(VLOOKUP($B47,SportslineData!$A:$O,7,0)),"",ROUND(VLOOKUP($B47,SportslineData!$A:$O,7,0),0))</f>
        <v>2</v>
      </c>
      <c r="T47" s="33">
        <f>IF(ISERROR(VLOOKUP($B47,SportslineData!$A:$O,11,0)),"",VLOOKUP($B47,SportslineData!$A:$O,11,0))</f>
        <v>18</v>
      </c>
      <c r="U47" s="33">
        <f>IF(ISERROR(VLOOKUP($B47,SportslineData!$A:$O,13,0)),"",ROUND(VLOOKUP($B47,SportslineData!$A:$O,13,0),0))</f>
        <v>0</v>
      </c>
      <c r="V47" s="64">
        <f>IF(ISERROR(VLOOKUP($B47,SportslineData!$A:$O,14,0)),"",ROUND(VLOOKUP($B47,SportslineData!$A:$O,14,0),0))</f>
        <v>1</v>
      </c>
      <c r="W47" s="117"/>
      <c r="X47" s="33"/>
      <c r="Y47" s="38">
        <f>IF((E47=""),0,ROUND((((((ROUNDDOWN((E47/5),0)*Settings!$F$3)+(F47*Settings!$I$3))+(G47*Settings!$F$4))+(ROUNDDOWN((H47/5),0)*Settings!$F$7))+(I47*Settings!$I$7)),1))</f>
        <v>0</v>
      </c>
      <c r="Z47" s="38">
        <f>IF((K47=""),0,ROUND((((((ROUNDDOWN((K47/5),0)*Settings!$F$3)+(L47*Settings!$I$3))+(M47*Settings!$F$4))+(ROUNDDOWN((N47/5),0)*Settings!$F$7))+(O47*Settings!$I$7)),1))</f>
        <v>49</v>
      </c>
      <c r="AA47" s="38">
        <f>IF((Q47=""),0,ROUND(((((((ROUNDDOWN((Q47/5),0)*Settings!$F$3)+(R47*Settings!$I$3))+(S47*Settings!$F$4))+(ROUNDDOWN((T47/5),0)*Settings!$F$7))+(U47*Settings!$I$7))+(V47*Settings!$F$15)),1))</f>
        <v>53.9</v>
      </c>
      <c r="AB47" s="66">
        <f>ROUND((((Y47*Settings!$B$21)+(Z47*Settings!$B$22))+(AA47*Settings!$B$23)),1)</f>
        <v>34.5</v>
      </c>
      <c r="AC47" s="66">
        <f>IF(ISERROR(VLOOKUP(RANK(AB47,$AB$4:$AB$102),AC$4:AC46,1,0)),RANK(AB47,$AB$4:$AB$102),IF(ISERROR(VLOOKUP((RANK(AB47,$AB$4:$AB$102)+1),AC$4:AC46,1,0)),(RANK(AB47,$AB$4:$AB$102)+1),IF(ISERROR(VLOOKUP((RANK(AB47,$AB$4:$AB$102)+2),AC$4:AC46,1,0)),(RANK(AB47,$AB$4:$AB$102)+2),(RANK(AB47,$AB$4:$AB$102)+3))))</f>
        <v>43</v>
      </c>
      <c r="AD47" t="str">
        <f t="shared" si="5"/>
        <v>Thad Lewis</v>
      </c>
    </row>
    <row r="48" spans="1:30" ht="12.75" customHeight="1">
      <c r="A48" s="33" t="str">
        <f>ESPNData!B49</f>
        <v>Brock Osweiler, Den QB</v>
      </c>
      <c r="B48" s="33" t="str">
        <f t="shared" si="3"/>
        <v>Brock Osweiler</v>
      </c>
      <c r="C48" s="64" t="str">
        <f t="shared" si="4"/>
        <v>DEN</v>
      </c>
      <c r="D48" s="117">
        <f>IF(ISERROR(VLOOKUP($B48,FFTodayData!$B:$M,4,0)),"",VLOOKUP($B48,FFTodayData!$B:$M,4,0))</f>
        <v>4</v>
      </c>
      <c r="E48" s="33">
        <f>IF(ISERROR(VLOOKUP($B48,FFTodayData!$B:$M,6,0)),"",VLOOKUP($B48,FFTodayData!$B:$M,6,0))</f>
        <v>45</v>
      </c>
      <c r="F48" s="33">
        <f>IF(ISERROR(VLOOKUP($B48,FFTodayData!$B:$M,7,0)),"",VLOOKUP($B48,FFTodayData!$B:$M,7,0))</f>
        <v>0</v>
      </c>
      <c r="G48" s="33">
        <f>IF(ISERROR(VLOOKUP($B48,FFTodayData!$B:$M,8,0)),"",VLOOKUP($B48,FFTodayData!$B:$M,8,0))</f>
        <v>0</v>
      </c>
      <c r="H48" s="33">
        <f>IF(ISERROR(VLOOKUP($B48,FFTodayData!$B:$M,10,0)),"",VLOOKUP($B48,FFTodayData!$B:$M,10,0))</f>
        <v>0</v>
      </c>
      <c r="I48" s="64">
        <f>IF(ISERROR(VLOOKUP($B48,FFTodayData!$B:$M,11,0)),"",VLOOKUP($B48,FFTodayData!$B:$M,11,0))</f>
        <v>0</v>
      </c>
      <c r="J48" s="117" t="e">
        <f>VALUE(IF(ISERROR(VLOOKUP($A48,ESPNData!$B:$O,4,0)),"",IF((VLOOKUP($A48,ESPNData!$B:$O,4,0)="--/--"),0,LEFT(VLOOKUP($A48,ESPNData!$B:$O,4,0),(FIND("/",VLOOKUP($A48,ESPNData!$B:$O,4,0))-1)))))</f>
        <v>#VALUE!</v>
      </c>
      <c r="K48" s="33">
        <f>IF(ISERROR(VLOOKUP($A48,ESPNData!$B:$O,5,0)),"",IF((VLOOKUP($A48,ESPNData!$B:$O,5,0)="--"),0,VLOOKUP($A48,ESPNData!$B:$O,5,0)))</f>
        <v>120</v>
      </c>
      <c r="L48" s="33">
        <f>IF(ISERROR(VLOOKUP($A48,ESPNData!$B:$O,6,0)),"",IF((VLOOKUP($A48,ESPNData!$B:$O,6,0)="--"),0,VLOOKUP($A48,ESPNData!$B:$O,6,0)))</f>
        <v>0</v>
      </c>
      <c r="M48" s="33">
        <f>IF(ISERROR(VLOOKUP($A48,ESPNData!$B:$O,7,0)),"",IF((VLOOKUP($A48,ESPNData!$B:$O,7,0)="--"),0,VLOOKUP($A48,ESPNData!$B:$O,7,0)))</f>
        <v>0</v>
      </c>
      <c r="N48" s="33">
        <f>IF(ISERROR(VLOOKUP($A48,ESPNData!$B:$O,9,0)),"",IF((VLOOKUP($A48,ESPNData!$B:$O,9,0)="--"),0,VLOOKUP($A48,ESPNData!$B:$O,9,0)))</f>
        <v>1</v>
      </c>
      <c r="O48" s="194">
        <f>IF(ISERROR(VLOOKUP($A48,ESPNData!$B:$O,10,0)),"",IF((VLOOKUP($A48,ESPNData!$B:$O,10,0)="--"),0,VLOOKUP($A48,ESPNData!$B:$O,10,0)))</f>
        <v>0</v>
      </c>
      <c r="P48" s="93">
        <f>IF(ISERROR(VLOOKUP($B48,SportslineData!$A:$O,4,0)),"",ROUND(VLOOKUP($B48,SportslineData!$A:$O,4,0),0))</f>
        <v>2</v>
      </c>
      <c r="Q48" s="33">
        <f>IF(ISERROR(VLOOKUP($B48,SportslineData!$A:$O,5,0)),"",VLOOKUP($B48,SportslineData!$A:$O,5,0))</f>
        <v>27</v>
      </c>
      <c r="R48" s="33">
        <f>IF(ISERROR(VLOOKUP($B48,SportslineData!$A:$O,6,0)),"",ROUND(VLOOKUP($B48,SportslineData!$A:$O,6,0),0))</f>
        <v>0</v>
      </c>
      <c r="S48" s="33">
        <f>IF(ISERROR(VLOOKUP($B48,SportslineData!$A:$O,7,0)),"",ROUND(VLOOKUP($B48,SportslineData!$A:$O,7,0),0))</f>
        <v>0</v>
      </c>
      <c r="T48" s="33">
        <f>IF(ISERROR(VLOOKUP($B48,SportslineData!$A:$O,11,0)),"",VLOOKUP($B48,SportslineData!$A:$O,11,0))</f>
        <v>0</v>
      </c>
      <c r="U48" s="33">
        <f>IF(ISERROR(VLOOKUP($B48,SportslineData!$A:$O,13,0)),"",ROUND(VLOOKUP($B48,SportslineData!$A:$O,13,0),0))</f>
        <v>0</v>
      </c>
      <c r="V48" s="64">
        <f>IF(ISERROR(VLOOKUP($B48,SportslineData!$A:$O,14,0)),"",ROUND(VLOOKUP($B48,SportslineData!$A:$O,14,0),0))</f>
        <v>0</v>
      </c>
      <c r="W48" s="117"/>
      <c r="X48" s="33"/>
      <c r="Y48" s="38">
        <f>IF((E48=""),0,ROUND((((((ROUNDDOWN((E48/5),0)*Settings!$F$3)+(F48*Settings!$I$3))+(G48*Settings!$F$4))+(ROUNDDOWN((H48/5),0)*Settings!$F$7))+(I48*Settings!$I$7)),1))</f>
        <v>1.8</v>
      </c>
      <c r="Z48" s="38">
        <f>IF((K48=""),0,ROUND((((((ROUNDDOWN((K48/5),0)*Settings!$F$3)+(L48*Settings!$I$3))+(M48*Settings!$F$4))+(ROUNDDOWN((N48/5),0)*Settings!$F$7))+(O48*Settings!$I$7)),1))</f>
        <v>4.8</v>
      </c>
      <c r="AA48" s="38">
        <f>IF((Q48=""),0,ROUND(((((((ROUNDDOWN((Q48/5),0)*Settings!$F$3)+(R48*Settings!$I$3))+(S48*Settings!$F$4))+(ROUNDDOWN((T48/5),0)*Settings!$F$7))+(U48*Settings!$I$7))+(V48*Settings!$F$15)),1))</f>
        <v>1</v>
      </c>
      <c r="AB48" s="66">
        <f>ROUND((((Y48*Settings!$B$21)+(Z48*Settings!$B$22))+(AA48*Settings!$B$23)),1)</f>
        <v>2.5</v>
      </c>
      <c r="AC48" s="66">
        <f>IF(ISERROR(VLOOKUP(RANK(AB48,$AB$4:$AB$102),AC$4:AC47,1,0)),RANK(AB48,$AB$4:$AB$102),IF(ISERROR(VLOOKUP((RANK(AB48,$AB$4:$AB$102)+1),AC$4:AC47,1,0)),(RANK(AB48,$AB$4:$AB$102)+1),IF(ISERROR(VLOOKUP((RANK(AB48,$AB$4:$AB$102)+2),AC$4:AC47,1,0)),(RANK(AB48,$AB$4:$AB$102)+2),(RANK(AB48,$AB$4:$AB$102)+3))))</f>
        <v>60</v>
      </c>
      <c r="AD48" t="str">
        <f t="shared" si="5"/>
        <v>Brock Osweiler</v>
      </c>
    </row>
    <row r="49" spans="1:30" ht="12.75" customHeight="1">
      <c r="A49" s="33" t="str">
        <f>ESPNData!B50</f>
        <v>Jimmy Clausen, Chi QB</v>
      </c>
      <c r="B49" s="33" t="str">
        <f t="shared" si="3"/>
        <v>Jimmy Clausen</v>
      </c>
      <c r="C49" s="64" t="str">
        <f t="shared" si="4"/>
        <v>CHI</v>
      </c>
      <c r="D49" s="117" t="str">
        <f>IF(ISERROR(VLOOKUP($B49,FFTodayData!$B:$M,4,0)),"",VLOOKUP($B49,FFTodayData!$B:$M,4,0))</f>
        <v/>
      </c>
      <c r="E49" s="33" t="str">
        <f>IF(ISERROR(VLOOKUP($B49,FFTodayData!$B:$M,6,0)),"",VLOOKUP($B49,FFTodayData!$B:$M,6,0))</f>
        <v/>
      </c>
      <c r="F49" s="33" t="str">
        <f>IF(ISERROR(VLOOKUP($B49,FFTodayData!$B:$M,7,0)),"",VLOOKUP($B49,FFTodayData!$B:$M,7,0))</f>
        <v/>
      </c>
      <c r="G49" s="33" t="str">
        <f>IF(ISERROR(VLOOKUP($B49,FFTodayData!$B:$M,8,0)),"",VLOOKUP($B49,FFTodayData!$B:$M,8,0))</f>
        <v/>
      </c>
      <c r="H49" s="33" t="str">
        <f>IF(ISERROR(VLOOKUP($B49,FFTodayData!$B:$M,10,0)),"",VLOOKUP($B49,FFTodayData!$B:$M,10,0))</f>
        <v/>
      </c>
      <c r="I49" s="64" t="str">
        <f>IF(ISERROR(VLOOKUP($B49,FFTodayData!$B:$M,11,0)),"",VLOOKUP($B49,FFTodayData!$B:$M,11,0))</f>
        <v/>
      </c>
      <c r="J49" s="117">
        <f>VALUE(IF(ISERROR(VLOOKUP($A49,ESPNData!$B:$O,4,0)),"",IF((VLOOKUP($A49,ESPNData!$B:$O,4,0)="--/--"),0,LEFT(VLOOKUP($A49,ESPNData!$B:$O,4,0),(FIND("/",VLOOKUP($A49,ESPNData!$B:$O,4,0))-1)))))</f>
        <v>43</v>
      </c>
      <c r="K49" s="33">
        <f>IF(ISERROR(VLOOKUP($A49,ESPNData!$B:$O,5,0)),"",IF((VLOOKUP($A49,ESPNData!$B:$O,5,0)="--"),0,VLOOKUP($A49,ESPNData!$B:$O,5,0)))</f>
        <v>456</v>
      </c>
      <c r="L49" s="33">
        <f>IF(ISERROR(VLOOKUP($A49,ESPNData!$B:$O,6,0)),"",IF((VLOOKUP($A49,ESPNData!$B:$O,6,0)="--"),0,VLOOKUP($A49,ESPNData!$B:$O,6,0)))</f>
        <v>2</v>
      </c>
      <c r="M49" s="33">
        <f>IF(ISERROR(VLOOKUP($A49,ESPNData!$B:$O,7,0)),"",IF((VLOOKUP($A49,ESPNData!$B:$O,7,0)="--"),0,VLOOKUP($A49,ESPNData!$B:$O,7,0)))</f>
        <v>4</v>
      </c>
      <c r="N49" s="33">
        <f>IF(ISERROR(VLOOKUP($A49,ESPNData!$B:$O,9,0)),"",IF((VLOOKUP($A49,ESPNData!$B:$O,9,0)="--"),0,VLOOKUP($A49,ESPNData!$B:$O,9,0)))</f>
        <v>6</v>
      </c>
      <c r="O49" s="194">
        <f>IF(ISERROR(VLOOKUP($A49,ESPNData!$B:$O,10,0)),"",IF((VLOOKUP($A49,ESPNData!$B:$O,10,0)="--"),0,VLOOKUP($A49,ESPNData!$B:$O,10,0)))</f>
        <v>0</v>
      </c>
      <c r="P49" s="93" t="str">
        <f>IF(ISERROR(VLOOKUP($B49,SportslineData!$A:$O,4,0)),"",ROUND(VLOOKUP($B49,SportslineData!$A:$O,4,0),0))</f>
        <v/>
      </c>
      <c r="Q49" s="33" t="str">
        <f>IF(ISERROR(VLOOKUP($B49,SportslineData!$A:$O,5,0)),"",VLOOKUP($B49,SportslineData!$A:$O,5,0))</f>
        <v/>
      </c>
      <c r="R49" s="33" t="str">
        <f>IF(ISERROR(VLOOKUP($B49,SportslineData!$A:$O,6,0)),"",ROUND(VLOOKUP($B49,SportslineData!$A:$O,6,0),0))</f>
        <v/>
      </c>
      <c r="S49" s="33" t="str">
        <f>IF(ISERROR(VLOOKUP($B49,SportslineData!$A:$O,7,0)),"",ROUND(VLOOKUP($B49,SportslineData!$A:$O,7,0),0))</f>
        <v/>
      </c>
      <c r="T49" s="33" t="str">
        <f>IF(ISERROR(VLOOKUP($B49,SportslineData!$A:$O,11,0)),"",VLOOKUP($B49,SportslineData!$A:$O,11,0))</f>
        <v/>
      </c>
      <c r="U49" s="33" t="str">
        <f>IF(ISERROR(VLOOKUP($B49,SportslineData!$A:$O,13,0)),"",ROUND(VLOOKUP($B49,SportslineData!$A:$O,13,0),0))</f>
        <v/>
      </c>
      <c r="V49" s="64" t="str">
        <f>IF(ISERROR(VLOOKUP($B49,SportslineData!$A:$O,14,0)),"",ROUND(VLOOKUP($B49,SportslineData!$A:$O,14,0),0))</f>
        <v/>
      </c>
      <c r="W49" s="117"/>
      <c r="X49" s="33"/>
      <c r="Y49" s="38">
        <f>IF((E49=""),0,ROUND((((((ROUNDDOWN((E49/5),0)*Settings!$F$3)+(F49*Settings!$I$3))+(G49*Settings!$F$4))+(ROUNDDOWN((H49/5),0)*Settings!$F$7))+(I49*Settings!$I$7)),1))</f>
        <v>0</v>
      </c>
      <c r="Z49" s="38">
        <f>IF((K49=""),0,ROUND((((((ROUNDDOWN((K49/5),0)*Settings!$F$3)+(L49*Settings!$I$3))+(M49*Settings!$F$4))+(ROUNDDOWN((N49/5),0)*Settings!$F$7))+(O49*Settings!$I$7)),1))</f>
        <v>22.7</v>
      </c>
      <c r="AA49" s="38">
        <f>IF((Q49=""),0,ROUND(((((((ROUNDDOWN((Q49/5),0)*Settings!$F$3)+(R49*Settings!$I$3))+(S49*Settings!$F$4))+(ROUNDDOWN((T49/5),0)*Settings!$F$7))+(U49*Settings!$I$7))+(V49*Settings!$F$15)),1))</f>
        <v>0</v>
      </c>
      <c r="AB49" s="66">
        <f>ROUND((((Y49*Settings!$B$21)+(Z49*Settings!$B$22))+(AA49*Settings!$B$23)),1)</f>
        <v>7.5</v>
      </c>
      <c r="AC49" s="66">
        <f>IF(ISERROR(VLOOKUP(RANK(AB49,$AB$4:$AB$102),AC$4:AC48,1,0)),RANK(AB49,$AB$4:$AB$102),IF(ISERROR(VLOOKUP((RANK(AB49,$AB$4:$AB$102)+1),AC$4:AC48,1,0)),(RANK(AB49,$AB$4:$AB$102)+1),IF(ISERROR(VLOOKUP((RANK(AB49,$AB$4:$AB$102)+2),AC$4:AC48,1,0)),(RANK(AB49,$AB$4:$AB$102)+2),(RANK(AB49,$AB$4:$AB$102)+3))))</f>
        <v>51</v>
      </c>
      <c r="AD49" t="str">
        <f t="shared" si="5"/>
        <v>Jimmy Clausen</v>
      </c>
    </row>
    <row r="50" spans="1:30" ht="12.75" customHeight="1">
      <c r="A50" s="33" t="str">
        <f>ESPNData!B51</f>
        <v>Bruce Gradkowski, Pit QB</v>
      </c>
      <c r="B50" s="33" t="str">
        <f t="shared" si="3"/>
        <v>Bruce Gradkowski</v>
      </c>
      <c r="C50" s="64" t="str">
        <f t="shared" si="4"/>
        <v>PIT</v>
      </c>
      <c r="D50" s="117">
        <f>IF(ISERROR(VLOOKUP($B50,FFTodayData!$B:$M,4,0)),"",VLOOKUP($B50,FFTodayData!$B:$M,4,0))</f>
        <v>16</v>
      </c>
      <c r="E50" s="33">
        <f>IF(ISERROR(VLOOKUP($B50,FFTodayData!$B:$M,6,0)),"",VLOOKUP($B50,FFTodayData!$B:$M,6,0))</f>
        <v>185</v>
      </c>
      <c r="F50" s="33">
        <f>IF(ISERROR(VLOOKUP($B50,FFTodayData!$B:$M,7,0)),"",VLOOKUP($B50,FFTodayData!$B:$M,7,0))</f>
        <v>0</v>
      </c>
      <c r="G50" s="33">
        <f>IF(ISERROR(VLOOKUP($B50,FFTodayData!$B:$M,8,0)),"",VLOOKUP($B50,FFTodayData!$B:$M,8,0))</f>
        <v>0</v>
      </c>
      <c r="H50" s="33">
        <f>IF(ISERROR(VLOOKUP($B50,FFTodayData!$B:$M,10,0)),"",VLOOKUP($B50,FFTodayData!$B:$M,10,0))</f>
        <v>0</v>
      </c>
      <c r="I50" s="64">
        <f>IF(ISERROR(VLOOKUP($B50,FFTodayData!$B:$M,11,0)),"",VLOOKUP($B50,FFTodayData!$B:$M,11,0))</f>
        <v>0</v>
      </c>
      <c r="J50" s="117">
        <f>VALUE(IF(ISERROR(VLOOKUP($A50,ESPNData!$B:$O,4,0)),"",IF((VLOOKUP($A50,ESPNData!$B:$O,4,0)="--/--"),0,LEFT(VLOOKUP($A50,ESPNData!$B:$O,4,0),(FIND("/",VLOOKUP($A50,ESPNData!$B:$O,4,0))-1)))))</f>
        <v>40</v>
      </c>
      <c r="K50" s="33">
        <f>IF(ISERROR(VLOOKUP($A50,ESPNData!$B:$O,5,0)),"",IF((VLOOKUP($A50,ESPNData!$B:$O,5,0)="--"),0,VLOOKUP($A50,ESPNData!$B:$O,5,0)))</f>
        <v>409</v>
      </c>
      <c r="L50" s="33">
        <f>IF(ISERROR(VLOOKUP($A50,ESPNData!$B:$O,6,0)),"",IF((VLOOKUP($A50,ESPNData!$B:$O,6,0)="--"),0,VLOOKUP($A50,ESPNData!$B:$O,6,0)))</f>
        <v>4</v>
      </c>
      <c r="M50" s="33">
        <f>IF(ISERROR(VLOOKUP($A50,ESPNData!$B:$O,7,0)),"",IF((VLOOKUP($A50,ESPNData!$B:$O,7,0)="--"),0,VLOOKUP($A50,ESPNData!$B:$O,7,0)))</f>
        <v>4</v>
      </c>
      <c r="N50" s="33">
        <f>IF(ISERROR(VLOOKUP($A50,ESPNData!$B:$O,9,0)),"",IF((VLOOKUP($A50,ESPNData!$B:$O,9,0)="--"),0,VLOOKUP($A50,ESPNData!$B:$O,9,0)))</f>
        <v>27</v>
      </c>
      <c r="O50" s="194">
        <f>IF(ISERROR(VLOOKUP($A50,ESPNData!$B:$O,10,0)),"",IF((VLOOKUP($A50,ESPNData!$B:$O,10,0)="--"),0,VLOOKUP($A50,ESPNData!$B:$O,10,0)))</f>
        <v>0</v>
      </c>
      <c r="P50" s="93" t="str">
        <f>IF(ISERROR(VLOOKUP($B50,SportslineData!$A:$O,4,0)),"",ROUND(VLOOKUP($B50,SportslineData!$A:$O,4,0),0))</f>
        <v/>
      </c>
      <c r="Q50" s="33" t="str">
        <f>IF(ISERROR(VLOOKUP($B50,SportslineData!$A:$O,5,0)),"",VLOOKUP($B50,SportslineData!$A:$O,5,0))</f>
        <v/>
      </c>
      <c r="R50" s="33" t="str">
        <f>IF(ISERROR(VLOOKUP($B50,SportslineData!$A:$O,6,0)),"",ROUND(VLOOKUP($B50,SportslineData!$A:$O,6,0),0))</f>
        <v/>
      </c>
      <c r="S50" s="33" t="str">
        <f>IF(ISERROR(VLOOKUP($B50,SportslineData!$A:$O,7,0)),"",ROUND(VLOOKUP($B50,SportslineData!$A:$O,7,0),0))</f>
        <v/>
      </c>
      <c r="T50" s="33" t="str">
        <f>IF(ISERROR(VLOOKUP($B50,SportslineData!$A:$O,11,0)),"",VLOOKUP($B50,SportslineData!$A:$O,11,0))</f>
        <v/>
      </c>
      <c r="U50" s="33" t="str">
        <f>IF(ISERROR(VLOOKUP($B50,SportslineData!$A:$O,13,0)),"",ROUND(VLOOKUP($B50,SportslineData!$A:$O,13,0),0))</f>
        <v/>
      </c>
      <c r="V50" s="64" t="str">
        <f>IF(ISERROR(VLOOKUP($B50,SportslineData!$A:$O,14,0)),"",ROUND(VLOOKUP($B50,SportslineData!$A:$O,14,0),0))</f>
        <v/>
      </c>
      <c r="W50" s="117"/>
      <c r="X50" s="33"/>
      <c r="Y50" s="38">
        <f>IF((E50=""),0,ROUND((((((ROUNDDOWN((E50/5),0)*Settings!$F$3)+(F50*Settings!$I$3))+(G50*Settings!$F$4))+(ROUNDDOWN((H50/5),0)*Settings!$F$7))+(I50*Settings!$I$7)),1))</f>
        <v>7.4</v>
      </c>
      <c r="Z50" s="38">
        <f>IF((K50=""),0,ROUND((((((ROUNDDOWN((K50/5),0)*Settings!$F$3)+(L50*Settings!$I$3))+(M50*Settings!$F$4))+(ROUNDDOWN((N50/5),0)*Settings!$F$7))+(O50*Settings!$I$7)),1))</f>
        <v>34.700000000000003</v>
      </c>
      <c r="AA50" s="38">
        <f>IF((Q50=""),0,ROUND(((((((ROUNDDOWN((Q50/5),0)*Settings!$F$3)+(R50*Settings!$I$3))+(S50*Settings!$F$4))+(ROUNDDOWN((T50/5),0)*Settings!$F$7))+(U50*Settings!$I$7))+(V50*Settings!$F$15)),1))</f>
        <v>0</v>
      </c>
      <c r="AB50" s="66">
        <f>ROUND((((Y50*Settings!$B$21)+(Z50*Settings!$B$22))+(AA50*Settings!$B$23)),1)</f>
        <v>13.9</v>
      </c>
      <c r="AC50" s="66">
        <f>IF(ISERROR(VLOOKUP(RANK(AB50,$AB$4:$AB$102),AC$4:AC49,1,0)),RANK(AB50,$AB$4:$AB$102),IF(ISERROR(VLOOKUP((RANK(AB50,$AB$4:$AB$102)+1),AC$4:AC49,1,0)),(RANK(AB50,$AB$4:$AB$102)+1),IF(ISERROR(VLOOKUP((RANK(AB50,$AB$4:$AB$102)+2),AC$4:AC49,1,0)),(RANK(AB50,$AB$4:$AB$102)+2),(RANK(AB50,$AB$4:$AB$102)+3))))</f>
        <v>46</v>
      </c>
      <c r="AD50" t="str">
        <f t="shared" si="5"/>
        <v>Bruce Gradkowski</v>
      </c>
    </row>
    <row r="51" spans="1:30" ht="12.75" customHeight="1">
      <c r="A51" s="33" t="str">
        <f>ESPNData!B52</f>
        <v>Derek Carr, Oak QB  P</v>
      </c>
      <c r="B51" s="33" t="str">
        <f t="shared" si="3"/>
        <v>Derek Carr</v>
      </c>
      <c r="C51" s="64" t="str">
        <f t="shared" si="4"/>
        <v>OAK</v>
      </c>
      <c r="D51" s="117">
        <f>IF(ISERROR(VLOOKUP($B51,FFTodayData!$B:$M,4,0)),"",VLOOKUP($B51,FFTodayData!$B:$M,4,0))</f>
        <v>22</v>
      </c>
      <c r="E51" s="33">
        <f>IF(ISERROR(VLOOKUP($B51,FFTodayData!$B:$M,6,0)),"",VLOOKUP($B51,FFTodayData!$B:$M,6,0))</f>
        <v>255</v>
      </c>
      <c r="F51" s="33">
        <f>IF(ISERROR(VLOOKUP($B51,FFTodayData!$B:$M,7,0)),"",VLOOKUP($B51,FFTodayData!$B:$M,7,0))</f>
        <v>1</v>
      </c>
      <c r="G51" s="33">
        <f>IF(ISERROR(VLOOKUP($B51,FFTodayData!$B:$M,8,0)),"",VLOOKUP($B51,FFTodayData!$B:$M,8,0))</f>
        <v>1</v>
      </c>
      <c r="H51" s="33">
        <f>IF(ISERROR(VLOOKUP($B51,FFTodayData!$B:$M,10,0)),"",VLOOKUP($B51,FFTodayData!$B:$M,10,0))</f>
        <v>8</v>
      </c>
      <c r="I51" s="64">
        <f>IF(ISERROR(VLOOKUP($B51,FFTodayData!$B:$M,11,0)),"",VLOOKUP($B51,FFTodayData!$B:$M,11,0))</f>
        <v>0</v>
      </c>
      <c r="J51" s="117">
        <f>VALUE(IF(ISERROR(VLOOKUP($A51,ESPNData!$B:$O,4,0)),"",IF((VLOOKUP($A51,ESPNData!$B:$O,4,0)="--/--"),0,LEFT(VLOOKUP($A51,ESPNData!$B:$O,4,0),(FIND("/",VLOOKUP($A51,ESPNData!$B:$O,4,0))-1)))))</f>
        <v>68</v>
      </c>
      <c r="K51" s="33">
        <f>IF(ISERROR(VLOOKUP($A51,ESPNData!$B:$O,5,0)),"",IF((VLOOKUP($A51,ESPNData!$B:$O,5,0)="--"),0,VLOOKUP($A51,ESPNData!$B:$O,5,0)))</f>
        <v>779</v>
      </c>
      <c r="L51" s="33">
        <f>IF(ISERROR(VLOOKUP($A51,ESPNData!$B:$O,6,0)),"",IF((VLOOKUP($A51,ESPNData!$B:$O,6,0)="--"),0,VLOOKUP($A51,ESPNData!$B:$O,6,0)))</f>
        <v>5</v>
      </c>
      <c r="M51" s="33">
        <f>IF(ISERROR(VLOOKUP($A51,ESPNData!$B:$O,7,0)),"",IF((VLOOKUP($A51,ESPNData!$B:$O,7,0)="--"),0,VLOOKUP($A51,ESPNData!$B:$O,7,0)))</f>
        <v>8</v>
      </c>
      <c r="N51" s="33">
        <f>IF(ISERROR(VLOOKUP($A51,ESPNData!$B:$O,9,0)),"",IF((VLOOKUP($A51,ESPNData!$B:$O,9,0)="--"),0,VLOOKUP($A51,ESPNData!$B:$O,9,0)))</f>
        <v>42</v>
      </c>
      <c r="O51" s="194">
        <f>IF(ISERROR(VLOOKUP($A51,ESPNData!$B:$O,10,0)),"",IF((VLOOKUP($A51,ESPNData!$B:$O,10,0)="--"),0,VLOOKUP($A51,ESPNData!$B:$O,10,0)))</f>
        <v>0</v>
      </c>
      <c r="P51" s="93">
        <f>IF(ISERROR(VLOOKUP($B51,SportslineData!$A:$O,4,0)),"",ROUND(VLOOKUP($B51,SportslineData!$A:$O,4,0),0))</f>
        <v>100</v>
      </c>
      <c r="Q51" s="33">
        <f>IF(ISERROR(VLOOKUP($B51,SportslineData!$A:$O,5,0)),"",VLOOKUP($B51,SportslineData!$A:$O,5,0))</f>
        <v>1070</v>
      </c>
      <c r="R51" s="33">
        <f>IF(ISERROR(VLOOKUP($B51,SportslineData!$A:$O,6,0)),"",ROUND(VLOOKUP($B51,SportslineData!$A:$O,6,0),0))</f>
        <v>6</v>
      </c>
      <c r="S51" s="33">
        <f>IF(ISERROR(VLOOKUP($B51,SportslineData!$A:$O,7,0)),"",ROUND(VLOOKUP($B51,SportslineData!$A:$O,7,0),0))</f>
        <v>5</v>
      </c>
      <c r="T51" s="33">
        <f>IF(ISERROR(VLOOKUP($B51,SportslineData!$A:$O,11,0)),"",VLOOKUP($B51,SportslineData!$A:$O,11,0))</f>
        <v>19.5</v>
      </c>
      <c r="U51" s="33">
        <f>IF(ISERROR(VLOOKUP($B51,SportslineData!$A:$O,13,0)),"",ROUND(VLOOKUP($B51,SportslineData!$A:$O,13,0),0))</f>
        <v>0</v>
      </c>
      <c r="V51" s="64">
        <f>IF(ISERROR(VLOOKUP($B51,SportslineData!$A:$O,14,0)),"",ROUND(VLOOKUP($B51,SportslineData!$A:$O,14,0),0))</f>
        <v>2</v>
      </c>
      <c r="W51" s="117"/>
      <c r="X51" s="33"/>
      <c r="Y51" s="38">
        <f>IF((E51=""),0,ROUND((((((ROUNDDOWN((E51/5),0)*Settings!$F$3)+(F51*Settings!$I$3))+(G51*Settings!$F$4))+(ROUNDDOWN((H51/5),0)*Settings!$F$7))+(I51*Settings!$I$7)),1))</f>
        <v>14.7</v>
      </c>
      <c r="Z51" s="38">
        <f>IF((K51=""),0,ROUND((((((ROUNDDOWN((K51/5),0)*Settings!$F$3)+(L51*Settings!$I$3))+(M51*Settings!$F$4))+(ROUNDDOWN((N51/5),0)*Settings!$F$7))+(O51*Settings!$I$7)),1))</f>
        <v>49</v>
      </c>
      <c r="AA51" s="38">
        <f>IF((Q51=""),0,ROUND(((((((ROUNDDOWN((Q51/5),0)*Settings!$F$3)+(R51*Settings!$I$3))+(S51*Settings!$F$4))+(ROUNDDOWN((T51/5),0)*Settings!$F$7))+(U51*Settings!$I$7))+(V51*Settings!$F$15)),1))</f>
        <v>68.3</v>
      </c>
      <c r="AB51" s="66">
        <f>ROUND((((Y51*Settings!$B$21)+(Z51*Settings!$B$22))+(AA51*Settings!$B$23)),1)</f>
        <v>44.2</v>
      </c>
      <c r="AC51" s="66">
        <f>IF(ISERROR(VLOOKUP(RANK(AB51,$AB$4:$AB$102),AC$4:AC50,1,0)),RANK(AB51,$AB$4:$AB$102),IF(ISERROR(VLOOKUP((RANK(AB51,$AB$4:$AB$102)+1),AC$4:AC50,1,0)),(RANK(AB51,$AB$4:$AB$102)+1),IF(ISERROR(VLOOKUP((RANK(AB51,$AB$4:$AB$102)+2),AC$4:AC50,1,0)),(RANK(AB51,$AB$4:$AB$102)+2),(RANK(AB51,$AB$4:$AB$102)+3))))</f>
        <v>39</v>
      </c>
      <c r="AD51" t="str">
        <f t="shared" si="5"/>
        <v>Derek Carr</v>
      </c>
    </row>
    <row r="52" spans="1:30" ht="12.75" customHeight="1">
      <c r="A52" s="33" t="str">
        <f>ESPNData!B53</f>
        <v>Case Keenum, Hou QB</v>
      </c>
      <c r="B52" s="33" t="str">
        <f t="shared" si="3"/>
        <v>Case Keenum</v>
      </c>
      <c r="C52" s="64" t="str">
        <f t="shared" si="4"/>
        <v>HOU</v>
      </c>
      <c r="D52" s="117">
        <f>IF(ISERROR(VLOOKUP($B52,FFTodayData!$B:$M,4,0)),"",VLOOKUP($B52,FFTodayData!$B:$M,4,0))</f>
        <v>88</v>
      </c>
      <c r="E52" s="33">
        <f>IF(ISERROR(VLOOKUP($B52,FFTodayData!$B:$M,6,0)),"",VLOOKUP($B52,FFTodayData!$B:$M,6,0))</f>
        <v>1022</v>
      </c>
      <c r="F52" s="33">
        <f>IF(ISERROR(VLOOKUP($B52,FFTodayData!$B:$M,7,0)),"",VLOOKUP($B52,FFTodayData!$B:$M,7,0))</f>
        <v>5</v>
      </c>
      <c r="G52" s="33">
        <f>IF(ISERROR(VLOOKUP($B52,FFTodayData!$B:$M,8,0)),"",VLOOKUP($B52,FFTodayData!$B:$M,8,0))</f>
        <v>5</v>
      </c>
      <c r="H52" s="33">
        <f>IF(ISERROR(VLOOKUP($B52,FFTodayData!$B:$M,10,0)),"",VLOOKUP($B52,FFTodayData!$B:$M,10,0))</f>
        <v>67</v>
      </c>
      <c r="I52" s="64">
        <f>IF(ISERROR(VLOOKUP($B52,FFTodayData!$B:$M,11,0)),"",VLOOKUP($B52,FFTodayData!$B:$M,11,0))</f>
        <v>0</v>
      </c>
      <c r="J52" s="117">
        <f>VALUE(IF(ISERROR(VLOOKUP($A52,ESPNData!$B:$O,4,0)),"",IF((VLOOKUP($A52,ESPNData!$B:$O,4,0)="--/--"),0,LEFT(VLOOKUP($A52,ESPNData!$B:$O,4,0),(FIND("/",VLOOKUP($A52,ESPNData!$B:$O,4,0))-1)))))</f>
        <v>60</v>
      </c>
      <c r="K52" s="33">
        <f>IF(ISERROR(VLOOKUP($A52,ESPNData!$B:$O,5,0)),"",IF((VLOOKUP($A52,ESPNData!$B:$O,5,0)="--"),0,VLOOKUP($A52,ESPNData!$B:$O,5,0)))</f>
        <v>675</v>
      </c>
      <c r="L52" s="33">
        <f>IF(ISERROR(VLOOKUP($A52,ESPNData!$B:$O,6,0)),"",IF((VLOOKUP($A52,ESPNData!$B:$O,6,0)="--"),0,VLOOKUP($A52,ESPNData!$B:$O,6,0)))</f>
        <v>5</v>
      </c>
      <c r="M52" s="33">
        <f>IF(ISERROR(VLOOKUP($A52,ESPNData!$B:$O,7,0)),"",IF((VLOOKUP($A52,ESPNData!$B:$O,7,0)="--"),0,VLOOKUP($A52,ESPNData!$B:$O,7,0)))</f>
        <v>4</v>
      </c>
      <c r="N52" s="33">
        <f>IF(ISERROR(VLOOKUP($A52,ESPNData!$B:$O,9,0)),"",IF((VLOOKUP($A52,ESPNData!$B:$O,9,0)="--"),0,VLOOKUP($A52,ESPNData!$B:$O,9,0)))</f>
        <v>20</v>
      </c>
      <c r="O52" s="194">
        <f>IF(ISERROR(VLOOKUP($A52,ESPNData!$B:$O,10,0)),"",IF((VLOOKUP($A52,ESPNData!$B:$O,10,0)="--"),0,VLOOKUP($A52,ESPNData!$B:$O,10,0)))</f>
        <v>0</v>
      </c>
      <c r="P52" s="93" t="str">
        <f>IF(ISERROR(VLOOKUP($B52,SportslineData!$A:$O,4,0)),"",ROUND(VLOOKUP($B52,SportslineData!$A:$O,4,0),0))</f>
        <v/>
      </c>
      <c r="Q52" s="33" t="str">
        <f>IF(ISERROR(VLOOKUP($B52,SportslineData!$A:$O,5,0)),"",VLOOKUP($B52,SportslineData!$A:$O,5,0))</f>
        <v/>
      </c>
      <c r="R52" s="33" t="str">
        <f>IF(ISERROR(VLOOKUP($B52,SportslineData!$A:$O,6,0)),"",ROUND(VLOOKUP($B52,SportslineData!$A:$O,6,0),0))</f>
        <v/>
      </c>
      <c r="S52" s="33" t="str">
        <f>IF(ISERROR(VLOOKUP($B52,SportslineData!$A:$O,7,0)),"",ROUND(VLOOKUP($B52,SportslineData!$A:$O,7,0),0))</f>
        <v/>
      </c>
      <c r="T52" s="33" t="str">
        <f>IF(ISERROR(VLOOKUP($B52,SportslineData!$A:$O,11,0)),"",VLOOKUP($B52,SportslineData!$A:$O,11,0))</f>
        <v/>
      </c>
      <c r="U52" s="33" t="str">
        <f>IF(ISERROR(VLOOKUP($B52,SportslineData!$A:$O,13,0)),"",ROUND(VLOOKUP($B52,SportslineData!$A:$O,13,0),0))</f>
        <v/>
      </c>
      <c r="V52" s="64" t="str">
        <f>IF(ISERROR(VLOOKUP($B52,SportslineData!$A:$O,14,0)),"",ROUND(VLOOKUP($B52,SportslineData!$A:$O,14,0),0))</f>
        <v/>
      </c>
      <c r="W52" s="117"/>
      <c r="X52" s="33"/>
      <c r="Y52" s="38">
        <f>IF((E52=""),0,ROUND((((((ROUNDDOWN((E52/5),0)*Settings!$F$3)+(F52*Settings!$I$3))+(G52*Settings!$F$4))+(ROUNDDOWN((H52/5),0)*Settings!$F$7))+(I52*Settings!$I$7)),1))</f>
        <v>67.3</v>
      </c>
      <c r="Z52" s="38">
        <f>IF((K52=""),0,ROUND((((((ROUNDDOWN((K52/5),0)*Settings!$F$3)+(L52*Settings!$I$3))+(M52*Settings!$F$4))+(ROUNDDOWN((N52/5),0)*Settings!$F$7))+(O52*Settings!$I$7)),1))</f>
        <v>51</v>
      </c>
      <c r="AA52" s="38">
        <f>IF((Q52=""),0,ROUND(((((((ROUNDDOWN((Q52/5),0)*Settings!$F$3)+(R52*Settings!$I$3))+(S52*Settings!$F$4))+(ROUNDDOWN((T52/5),0)*Settings!$F$7))+(U52*Settings!$I$7))+(V52*Settings!$F$15)),1))</f>
        <v>0</v>
      </c>
      <c r="AB52" s="66">
        <f>ROUND((((Y52*Settings!$B$21)+(Z52*Settings!$B$22))+(AA52*Settings!$B$23)),1)</f>
        <v>39</v>
      </c>
      <c r="AC52" s="66">
        <f>IF(ISERROR(VLOOKUP(RANK(AB52,$AB$4:$AB$102),AC$4:AC51,1,0)),RANK(AB52,$AB$4:$AB$102),IF(ISERROR(VLOOKUP((RANK(AB52,$AB$4:$AB$102)+1),AC$4:AC51,1,0)),(RANK(AB52,$AB$4:$AB$102)+1),IF(ISERROR(VLOOKUP((RANK(AB52,$AB$4:$AB$102)+2),AC$4:AC51,1,0)),(RANK(AB52,$AB$4:$AB$102)+2),(RANK(AB52,$AB$4:$AB$102)+3))))</f>
        <v>41</v>
      </c>
      <c r="AD52" t="str">
        <f t="shared" si="5"/>
        <v>Case Keenum</v>
      </c>
    </row>
    <row r="53" spans="1:30" ht="12.75" customHeight="1">
      <c r="A53" s="33" t="str">
        <f>ESPNData!B54</f>
        <v>T.J. Yates, Atl QB</v>
      </c>
      <c r="B53" s="33" t="str">
        <f t="shared" si="3"/>
        <v>T.J. Yates</v>
      </c>
      <c r="C53" s="64" t="str">
        <f t="shared" si="4"/>
        <v>ATL</v>
      </c>
      <c r="D53" s="117" t="str">
        <f>IF(ISERROR(VLOOKUP($B53,FFTodayData!$B:$M,4,0)),"",VLOOKUP($B53,FFTodayData!$B:$M,4,0))</f>
        <v/>
      </c>
      <c r="E53" s="33" t="str">
        <f>IF(ISERROR(VLOOKUP($B53,FFTodayData!$B:$M,6,0)),"",VLOOKUP($B53,FFTodayData!$B:$M,6,0))</f>
        <v/>
      </c>
      <c r="F53" s="33" t="str">
        <f>IF(ISERROR(VLOOKUP($B53,FFTodayData!$B:$M,7,0)),"",VLOOKUP($B53,FFTodayData!$B:$M,7,0))</f>
        <v/>
      </c>
      <c r="G53" s="33" t="str">
        <f>IF(ISERROR(VLOOKUP($B53,FFTodayData!$B:$M,8,0)),"",VLOOKUP($B53,FFTodayData!$B:$M,8,0))</f>
        <v/>
      </c>
      <c r="H53" s="33" t="str">
        <f>IF(ISERROR(VLOOKUP($B53,FFTodayData!$B:$M,10,0)),"",VLOOKUP($B53,FFTodayData!$B:$M,10,0))</f>
        <v/>
      </c>
      <c r="I53" s="64" t="str">
        <f>IF(ISERROR(VLOOKUP($B53,FFTodayData!$B:$M,11,0)),"",VLOOKUP($B53,FFTodayData!$B:$M,11,0))</f>
        <v/>
      </c>
      <c r="J53" s="117">
        <f>VALUE(IF(ISERROR(VLOOKUP($A53,ESPNData!$B:$O,4,0)),"",IF((VLOOKUP($A53,ESPNData!$B:$O,4,0)="--/--"),0,LEFT(VLOOKUP($A53,ESPNData!$B:$O,4,0),(FIND("/",VLOOKUP($A53,ESPNData!$B:$O,4,0))-1)))))</f>
        <v>0</v>
      </c>
      <c r="K53" s="33">
        <f>IF(ISERROR(VLOOKUP($A53,ESPNData!$B:$O,5,0)),"",IF((VLOOKUP($A53,ESPNData!$B:$O,5,0)="--"),0,VLOOKUP($A53,ESPNData!$B:$O,5,0)))</f>
        <v>0</v>
      </c>
      <c r="L53" s="33">
        <f>IF(ISERROR(VLOOKUP($A53,ESPNData!$B:$O,6,0)),"",IF((VLOOKUP($A53,ESPNData!$B:$O,6,0)="--"),0,VLOOKUP($A53,ESPNData!$B:$O,6,0)))</f>
        <v>0</v>
      </c>
      <c r="M53" s="33">
        <f>IF(ISERROR(VLOOKUP($A53,ESPNData!$B:$O,7,0)),"",IF((VLOOKUP($A53,ESPNData!$B:$O,7,0)="--"),0,VLOOKUP($A53,ESPNData!$B:$O,7,0)))</f>
        <v>0</v>
      </c>
      <c r="N53" s="33">
        <f>IF(ISERROR(VLOOKUP($A53,ESPNData!$B:$O,9,0)),"",IF((VLOOKUP($A53,ESPNData!$B:$O,9,0)="--"),0,VLOOKUP($A53,ESPNData!$B:$O,9,0)))</f>
        <v>0</v>
      </c>
      <c r="O53" s="194">
        <f>IF(ISERROR(VLOOKUP($A53,ESPNData!$B:$O,10,0)),"",IF((VLOOKUP($A53,ESPNData!$B:$O,10,0)="--"),0,VLOOKUP($A53,ESPNData!$B:$O,10,0)))</f>
        <v>0</v>
      </c>
      <c r="P53" s="93" t="str">
        <f>IF(ISERROR(VLOOKUP($B53,SportslineData!$A:$O,4,0)),"",ROUND(VLOOKUP($B53,SportslineData!$A:$O,4,0),0))</f>
        <v/>
      </c>
      <c r="Q53" s="33" t="str">
        <f>IF(ISERROR(VLOOKUP($B53,SportslineData!$A:$O,5,0)),"",VLOOKUP($B53,SportslineData!$A:$O,5,0))</f>
        <v/>
      </c>
      <c r="R53" s="33" t="str">
        <f>IF(ISERROR(VLOOKUP($B53,SportslineData!$A:$O,6,0)),"",ROUND(VLOOKUP($B53,SportslineData!$A:$O,6,0),0))</f>
        <v/>
      </c>
      <c r="S53" s="33" t="str">
        <f>IF(ISERROR(VLOOKUP($B53,SportslineData!$A:$O,7,0)),"",ROUND(VLOOKUP($B53,SportslineData!$A:$O,7,0),0))</f>
        <v/>
      </c>
      <c r="T53" s="33" t="str">
        <f>IF(ISERROR(VLOOKUP($B53,SportslineData!$A:$O,11,0)),"",VLOOKUP($B53,SportslineData!$A:$O,11,0))</f>
        <v/>
      </c>
      <c r="U53" s="33" t="str">
        <f>IF(ISERROR(VLOOKUP($B53,SportslineData!$A:$O,13,0)),"",ROUND(VLOOKUP($B53,SportslineData!$A:$O,13,0),0))</f>
        <v/>
      </c>
      <c r="V53" s="64" t="str">
        <f>IF(ISERROR(VLOOKUP($B53,SportslineData!$A:$O,14,0)),"",ROUND(VLOOKUP($B53,SportslineData!$A:$O,14,0),0))</f>
        <v/>
      </c>
      <c r="W53" s="117"/>
      <c r="X53" s="33"/>
      <c r="Y53" s="38">
        <f>IF((E53=""),0,ROUND((((((ROUNDDOWN((E53/5),0)*Settings!$F$3)+(F53*Settings!$I$3))+(G53*Settings!$F$4))+(ROUNDDOWN((H53/5),0)*Settings!$F$7))+(I53*Settings!$I$7)),1))</f>
        <v>0</v>
      </c>
      <c r="Z53" s="38">
        <f>IF((K53=""),0,ROUND((((((ROUNDDOWN((K53/5),0)*Settings!$F$3)+(L53*Settings!$I$3))+(M53*Settings!$F$4))+(ROUNDDOWN((N53/5),0)*Settings!$F$7))+(O53*Settings!$I$7)),1))</f>
        <v>0</v>
      </c>
      <c r="AA53" s="38">
        <f>IF((Q53=""),0,ROUND(((((((ROUNDDOWN((Q53/5),0)*Settings!$F$3)+(R53*Settings!$I$3))+(S53*Settings!$F$4))+(ROUNDDOWN((T53/5),0)*Settings!$F$7))+(U53*Settings!$I$7))+(V53*Settings!$F$15)),1))</f>
        <v>0</v>
      </c>
      <c r="AB53" s="66">
        <f>ROUND((((Y53*Settings!$B$21)+(Z53*Settings!$B$22))+(AA53*Settings!$B$23)),1)</f>
        <v>0</v>
      </c>
      <c r="AC53" s="66">
        <f>IF(ISERROR(VLOOKUP(RANK(AB53,$AB$4:$AB$102),AC$4:AC52,1,0)),RANK(AB53,$AB$4:$AB$102),IF(ISERROR(VLOOKUP((RANK(AB53,$AB$4:$AB$102)+1),AC$4:AC52,1,0)),(RANK(AB53,$AB$4:$AB$102)+1),IF(ISERROR(VLOOKUP((RANK(AB53,$AB$4:$AB$102)+2),AC$4:AC52,1,0)),(RANK(AB53,$AB$4:$AB$102)+2),(RANK(AB53,$AB$4:$AB$102)+3))))</f>
        <v>66</v>
      </c>
      <c r="AD53" t="str">
        <f t="shared" si="5"/>
        <v>T.J. Yates</v>
      </c>
    </row>
    <row r="54" spans="1:30" ht="12.75" customHeight="1">
      <c r="A54" s="33" t="str">
        <f>ESPNData!B55</f>
        <v>Terrelle Pryor, Sea QB</v>
      </c>
      <c r="B54" s="33" t="str">
        <f t="shared" si="3"/>
        <v>Terrelle Pryor</v>
      </c>
      <c r="C54" s="64" t="str">
        <f t="shared" si="4"/>
        <v>SEA</v>
      </c>
      <c r="D54" s="117" t="str">
        <f>IF(ISERROR(VLOOKUP($B54,FFTodayData!$B:$M,4,0)),"",VLOOKUP($B54,FFTodayData!$B:$M,4,0))</f>
        <v/>
      </c>
      <c r="E54" s="33" t="str">
        <f>IF(ISERROR(VLOOKUP($B54,FFTodayData!$B:$M,6,0)),"",VLOOKUP($B54,FFTodayData!$B:$M,6,0))</f>
        <v/>
      </c>
      <c r="F54" s="33" t="str">
        <f>IF(ISERROR(VLOOKUP($B54,FFTodayData!$B:$M,7,0)),"",VLOOKUP($B54,FFTodayData!$B:$M,7,0))</f>
        <v/>
      </c>
      <c r="G54" s="33" t="str">
        <f>IF(ISERROR(VLOOKUP($B54,FFTodayData!$B:$M,8,0)),"",VLOOKUP($B54,FFTodayData!$B:$M,8,0))</f>
        <v/>
      </c>
      <c r="H54" s="33" t="str">
        <f>IF(ISERROR(VLOOKUP($B54,FFTodayData!$B:$M,10,0)),"",VLOOKUP($B54,FFTodayData!$B:$M,10,0))</f>
        <v/>
      </c>
      <c r="I54" s="64" t="str">
        <f>IF(ISERROR(VLOOKUP($B54,FFTodayData!$B:$M,11,0)),"",VLOOKUP($B54,FFTodayData!$B:$M,11,0))</f>
        <v/>
      </c>
      <c r="J54" s="117" t="e">
        <f>VALUE(IF(ISERROR(VLOOKUP($A54,ESPNData!$B:$O,4,0)),"",IF((VLOOKUP($A54,ESPNData!$B:$O,4,0)="--/--"),0,LEFT(VLOOKUP($A54,ESPNData!$B:$O,4,0),(FIND("/",VLOOKUP($A54,ESPNData!$B:$O,4,0))-1)))))</f>
        <v>#VALUE!</v>
      </c>
      <c r="K54" s="33">
        <f>IF(ISERROR(VLOOKUP($A54,ESPNData!$B:$O,5,0)),"",IF((VLOOKUP($A54,ESPNData!$B:$O,5,0)="--"),0,VLOOKUP($A54,ESPNData!$B:$O,5,0)))</f>
        <v>87</v>
      </c>
      <c r="L54" s="33">
        <f>IF(ISERROR(VLOOKUP($A54,ESPNData!$B:$O,6,0)),"",IF((VLOOKUP($A54,ESPNData!$B:$O,6,0)="--"),0,VLOOKUP($A54,ESPNData!$B:$O,6,0)))</f>
        <v>1</v>
      </c>
      <c r="M54" s="33">
        <f>IF(ISERROR(VLOOKUP($A54,ESPNData!$B:$O,7,0)),"",IF((VLOOKUP($A54,ESPNData!$B:$O,7,0)="--"),0,VLOOKUP($A54,ESPNData!$B:$O,7,0)))</f>
        <v>0</v>
      </c>
      <c r="N54" s="33">
        <f>IF(ISERROR(VLOOKUP($A54,ESPNData!$B:$O,9,0)),"",IF((VLOOKUP($A54,ESPNData!$B:$O,9,0)="--"),0,VLOOKUP($A54,ESPNData!$B:$O,9,0)))</f>
        <v>55</v>
      </c>
      <c r="O54" s="194">
        <f>IF(ISERROR(VLOOKUP($A54,ESPNData!$B:$O,10,0)),"",IF((VLOOKUP($A54,ESPNData!$B:$O,10,0)="--"),0,VLOOKUP($A54,ESPNData!$B:$O,10,0)))</f>
        <v>1</v>
      </c>
      <c r="P54" s="93" t="str">
        <f>IF(ISERROR(VLOOKUP($B54,SportslineData!$A:$O,4,0)),"",ROUND(VLOOKUP($B54,SportslineData!$A:$O,4,0),0))</f>
        <v/>
      </c>
      <c r="Q54" s="33" t="str">
        <f>IF(ISERROR(VLOOKUP($B54,SportslineData!$A:$O,5,0)),"",VLOOKUP($B54,SportslineData!$A:$O,5,0))</f>
        <v/>
      </c>
      <c r="R54" s="33" t="str">
        <f>IF(ISERROR(VLOOKUP($B54,SportslineData!$A:$O,6,0)),"",ROUND(VLOOKUP($B54,SportslineData!$A:$O,6,0),0))</f>
        <v/>
      </c>
      <c r="S54" s="33" t="str">
        <f>IF(ISERROR(VLOOKUP($B54,SportslineData!$A:$O,7,0)),"",ROUND(VLOOKUP($B54,SportslineData!$A:$O,7,0),0))</f>
        <v/>
      </c>
      <c r="T54" s="33" t="str">
        <f>IF(ISERROR(VLOOKUP($B54,SportslineData!$A:$O,11,0)),"",VLOOKUP($B54,SportslineData!$A:$O,11,0))</f>
        <v/>
      </c>
      <c r="U54" s="33" t="str">
        <f>IF(ISERROR(VLOOKUP($B54,SportslineData!$A:$O,13,0)),"",ROUND(VLOOKUP($B54,SportslineData!$A:$O,13,0),0))</f>
        <v/>
      </c>
      <c r="V54" s="64" t="str">
        <f>IF(ISERROR(VLOOKUP($B54,SportslineData!$A:$O,14,0)),"",ROUND(VLOOKUP($B54,SportslineData!$A:$O,14,0),0))</f>
        <v/>
      </c>
      <c r="W54" s="117"/>
      <c r="X54" s="33"/>
      <c r="Y54" s="38">
        <f>IF((E54=""),0,ROUND((((((ROUNDDOWN((E54/5),0)*Settings!$F$3)+(F54*Settings!$I$3))+(G54*Settings!$F$4))+(ROUNDDOWN((H54/5),0)*Settings!$F$7))+(I54*Settings!$I$7)),1))</f>
        <v>0</v>
      </c>
      <c r="Z54" s="38">
        <f>IF((K54=""),0,ROUND((((((ROUNDDOWN((K54/5),0)*Settings!$F$3)+(L54*Settings!$I$3))+(M54*Settings!$F$4))+(ROUNDDOWN((N54/5),0)*Settings!$F$7))+(O54*Settings!$I$7)),1))</f>
        <v>20.9</v>
      </c>
      <c r="AA54" s="38">
        <f>IF((Q54=""),0,ROUND(((((((ROUNDDOWN((Q54/5),0)*Settings!$F$3)+(R54*Settings!$I$3))+(S54*Settings!$F$4))+(ROUNDDOWN((T54/5),0)*Settings!$F$7))+(U54*Settings!$I$7))+(V54*Settings!$F$15)),1))</f>
        <v>0</v>
      </c>
      <c r="AB54" s="66">
        <f>ROUND((((Y54*Settings!$B$21)+(Z54*Settings!$B$22))+(AA54*Settings!$B$23)),1)</f>
        <v>6.9</v>
      </c>
      <c r="AC54" s="66">
        <f>IF(ISERROR(VLOOKUP(RANK(AB54,$AB$4:$AB$102),AC$4:AC53,1,0)),RANK(AB54,$AB$4:$AB$102),IF(ISERROR(VLOOKUP((RANK(AB54,$AB$4:$AB$102)+1),AC$4:AC53,1,0)),(RANK(AB54,$AB$4:$AB$102)+1),IF(ISERROR(VLOOKUP((RANK(AB54,$AB$4:$AB$102)+2),AC$4:AC53,1,0)),(RANK(AB54,$AB$4:$AB$102)+2),(RANK(AB54,$AB$4:$AB$102)+3))))</f>
        <v>52</v>
      </c>
      <c r="AD54" t="str">
        <f t="shared" si="5"/>
        <v>Terrelle Pryor</v>
      </c>
    </row>
    <row r="55" spans="1:30" ht="12.75" customHeight="1">
      <c r="A55" s="33" t="str">
        <f>ESPNData!B56</f>
        <v>Blaine Gabbert, SF QB</v>
      </c>
      <c r="B55" s="33" t="str">
        <f t="shared" si="3"/>
        <v>Blaine Gabbert</v>
      </c>
      <c r="C55" s="64" t="str">
        <f t="shared" si="4"/>
        <v>SF</v>
      </c>
      <c r="D55" s="117" t="str">
        <f>IF(ISERROR(VLOOKUP($B55,FFTodayData!$B:$M,4,0)),"",VLOOKUP($B55,FFTodayData!$B:$M,4,0))</f>
        <v/>
      </c>
      <c r="E55" s="33" t="str">
        <f>IF(ISERROR(VLOOKUP($B55,FFTodayData!$B:$M,6,0)),"",VLOOKUP($B55,FFTodayData!$B:$M,6,0))</f>
        <v/>
      </c>
      <c r="F55" s="33" t="str">
        <f>IF(ISERROR(VLOOKUP($B55,FFTodayData!$B:$M,7,0)),"",VLOOKUP($B55,FFTodayData!$B:$M,7,0))</f>
        <v/>
      </c>
      <c r="G55" s="33" t="str">
        <f>IF(ISERROR(VLOOKUP($B55,FFTodayData!$B:$M,8,0)),"",VLOOKUP($B55,FFTodayData!$B:$M,8,0))</f>
        <v/>
      </c>
      <c r="H55" s="33" t="str">
        <f>IF(ISERROR(VLOOKUP($B55,FFTodayData!$B:$M,10,0)),"",VLOOKUP($B55,FFTodayData!$B:$M,10,0))</f>
        <v/>
      </c>
      <c r="I55" s="64" t="str">
        <f>IF(ISERROR(VLOOKUP($B55,FFTodayData!$B:$M,11,0)),"",VLOOKUP($B55,FFTodayData!$B:$M,11,0))</f>
        <v/>
      </c>
      <c r="J55" s="117" t="e">
        <f>VALUE(IF(ISERROR(VLOOKUP($A55,ESPNData!$B:$O,4,0)),"",IF((VLOOKUP($A55,ESPNData!$B:$O,4,0)="--/--"),0,LEFT(VLOOKUP($A55,ESPNData!$B:$O,4,0),(FIND("/",VLOOKUP($A55,ESPNData!$B:$O,4,0))-1)))))</f>
        <v>#VALUE!</v>
      </c>
      <c r="K55" s="33">
        <f>IF(ISERROR(VLOOKUP($A55,ESPNData!$B:$O,5,0)),"",IF((VLOOKUP($A55,ESPNData!$B:$O,5,0)="--"),0,VLOOKUP($A55,ESPNData!$B:$O,5,0)))</f>
        <v>17</v>
      </c>
      <c r="L55" s="33">
        <f>IF(ISERROR(VLOOKUP($A55,ESPNData!$B:$O,6,0)),"",IF((VLOOKUP($A55,ESPNData!$B:$O,6,0)="--"),0,VLOOKUP($A55,ESPNData!$B:$O,6,0)))</f>
        <v>0</v>
      </c>
      <c r="M55" s="33">
        <f>IF(ISERROR(VLOOKUP($A55,ESPNData!$B:$O,7,0)),"",IF((VLOOKUP($A55,ESPNData!$B:$O,7,0)="--"),0,VLOOKUP($A55,ESPNData!$B:$O,7,0)))</f>
        <v>0</v>
      </c>
      <c r="N55" s="33">
        <f>IF(ISERROR(VLOOKUP($A55,ESPNData!$B:$O,9,0)),"",IF((VLOOKUP($A55,ESPNData!$B:$O,9,0)="--"),0,VLOOKUP($A55,ESPNData!$B:$O,9,0)))</f>
        <v>-3</v>
      </c>
      <c r="O55" s="194">
        <f>IF(ISERROR(VLOOKUP($A55,ESPNData!$B:$O,10,0)),"",IF((VLOOKUP($A55,ESPNData!$B:$O,10,0)="--"),0,VLOOKUP($A55,ESPNData!$B:$O,10,0)))</f>
        <v>0</v>
      </c>
      <c r="P55" s="93">
        <f>IF(ISERROR(VLOOKUP($B55,SportslineData!$A:$O,4,0)),"",ROUND(VLOOKUP($B55,SportslineData!$A:$O,4,0),0))</f>
        <v>11</v>
      </c>
      <c r="Q55" s="33">
        <f>IF(ISERROR(VLOOKUP($B55,SportslineData!$A:$O,5,0)),"",VLOOKUP($B55,SportslineData!$A:$O,5,0))</f>
        <v>122</v>
      </c>
      <c r="R55" s="33">
        <f>IF(ISERROR(VLOOKUP($B55,SportslineData!$A:$O,6,0)),"",ROUND(VLOOKUP($B55,SportslineData!$A:$O,6,0),0))</f>
        <v>1</v>
      </c>
      <c r="S55" s="33">
        <f>IF(ISERROR(VLOOKUP($B55,SportslineData!$A:$O,7,0)),"",ROUND(VLOOKUP($B55,SportslineData!$A:$O,7,0),0))</f>
        <v>0</v>
      </c>
      <c r="T55" s="33">
        <f>IF(ISERROR(VLOOKUP($B55,SportslineData!$A:$O,11,0)),"",VLOOKUP($B55,SportslineData!$A:$O,11,0))</f>
        <v>5.5</v>
      </c>
      <c r="U55" s="33">
        <f>IF(ISERROR(VLOOKUP($B55,SportslineData!$A:$O,13,0)),"",ROUND(VLOOKUP($B55,SportslineData!$A:$O,13,0),0))</f>
        <v>0</v>
      </c>
      <c r="V55" s="64">
        <f>IF(ISERROR(VLOOKUP($B55,SportslineData!$A:$O,14,0)),"",ROUND(VLOOKUP($B55,SportslineData!$A:$O,14,0),0))</f>
        <v>0</v>
      </c>
      <c r="W55" s="117"/>
      <c r="X55" s="33"/>
      <c r="Y55" s="38">
        <f>IF((E55=""),0,ROUND((((((ROUNDDOWN((E55/5),0)*Settings!$F$3)+(F55*Settings!$I$3))+(G55*Settings!$F$4))+(ROUNDDOWN((H55/5),0)*Settings!$F$7))+(I55*Settings!$I$7)),1))</f>
        <v>0</v>
      </c>
      <c r="Z55" s="38">
        <f>IF((K55=""),0,ROUND((((((ROUNDDOWN((K55/5),0)*Settings!$F$3)+(L55*Settings!$I$3))+(M55*Settings!$F$4))+(ROUNDDOWN((N55/5),0)*Settings!$F$7))+(O55*Settings!$I$7)),1))</f>
        <v>0.6</v>
      </c>
      <c r="AA55" s="38">
        <f>IF((Q55=""),0,ROUND(((((((ROUNDDOWN((Q55/5),0)*Settings!$F$3)+(R55*Settings!$I$3))+(S55*Settings!$F$4))+(ROUNDDOWN((T55/5),0)*Settings!$F$7))+(U55*Settings!$I$7))+(V55*Settings!$F$15)),1))</f>
        <v>11.3</v>
      </c>
      <c r="AB55" s="66">
        <f>ROUND((((Y55*Settings!$B$21)+(Z55*Settings!$B$22))+(AA55*Settings!$B$23)),1)</f>
        <v>4</v>
      </c>
      <c r="AC55" s="66">
        <f>IF(ISERROR(VLOOKUP(RANK(AB55,$AB$4:$AB$102),AC$4:AC54,1,0)),RANK(AB55,$AB$4:$AB$102),IF(ISERROR(VLOOKUP((RANK(AB55,$AB$4:$AB$102)+1),AC$4:AC54,1,0)),(RANK(AB55,$AB$4:$AB$102)+1),IF(ISERROR(VLOOKUP((RANK(AB55,$AB$4:$AB$102)+2),AC$4:AC54,1,0)),(RANK(AB55,$AB$4:$AB$102)+2),(RANK(AB55,$AB$4:$AB$102)+3))))</f>
        <v>58</v>
      </c>
      <c r="AD55" t="str">
        <f t="shared" si="5"/>
        <v>Blaine Gabbert</v>
      </c>
    </row>
    <row r="56" spans="1:30" ht="12.75" customHeight="1">
      <c r="A56" s="33" t="str">
        <f>ESPNData!B57</f>
        <v>Tarvaris Jackson, Sea QB</v>
      </c>
      <c r="B56" s="33" t="str">
        <f t="shared" si="3"/>
        <v>Tarvaris Jackson</v>
      </c>
      <c r="C56" s="64" t="str">
        <f t="shared" si="4"/>
        <v>SEA</v>
      </c>
      <c r="D56" s="117">
        <f>IF(ISERROR(VLOOKUP($B56,FFTodayData!$B:$M,4,0)),"",VLOOKUP($B56,FFTodayData!$B:$M,4,0))</f>
        <v>12</v>
      </c>
      <c r="E56" s="33">
        <f>IF(ISERROR(VLOOKUP($B56,FFTodayData!$B:$M,6,0)),"",VLOOKUP($B56,FFTodayData!$B:$M,6,0))</f>
        <v>144</v>
      </c>
      <c r="F56" s="33">
        <f>IF(ISERROR(VLOOKUP($B56,FFTodayData!$B:$M,7,0)),"",VLOOKUP($B56,FFTodayData!$B:$M,7,0))</f>
        <v>1</v>
      </c>
      <c r="G56" s="33">
        <f>IF(ISERROR(VLOOKUP($B56,FFTodayData!$B:$M,8,0)),"",VLOOKUP($B56,FFTodayData!$B:$M,8,0))</f>
        <v>1</v>
      </c>
      <c r="H56" s="33">
        <f>IF(ISERROR(VLOOKUP($B56,FFTodayData!$B:$M,10,0)),"",VLOOKUP($B56,FFTodayData!$B:$M,10,0))</f>
        <v>16</v>
      </c>
      <c r="I56" s="64">
        <f>IF(ISERROR(VLOOKUP($B56,FFTodayData!$B:$M,11,0)),"",VLOOKUP($B56,FFTodayData!$B:$M,11,0))</f>
        <v>0</v>
      </c>
      <c r="J56" s="117" t="e">
        <f>VALUE(IF(ISERROR(VLOOKUP($A56,ESPNData!$B:$O,4,0)),"",IF((VLOOKUP($A56,ESPNData!$B:$O,4,0)="--/--"),0,LEFT(VLOOKUP($A56,ESPNData!$B:$O,4,0),(FIND("/",VLOOKUP($A56,ESPNData!$B:$O,4,0))-1)))))</f>
        <v>#VALUE!</v>
      </c>
      <c r="K56" s="33">
        <f>IF(ISERROR(VLOOKUP($A56,ESPNData!$B:$O,5,0)),"",IF((VLOOKUP($A56,ESPNData!$B:$O,5,0)="--"),0,VLOOKUP($A56,ESPNData!$B:$O,5,0)))</f>
        <v>67</v>
      </c>
      <c r="L56" s="33">
        <f>IF(ISERROR(VLOOKUP($A56,ESPNData!$B:$O,6,0)),"",IF((VLOOKUP($A56,ESPNData!$B:$O,6,0)="--"),0,VLOOKUP($A56,ESPNData!$B:$O,6,0)))</f>
        <v>0</v>
      </c>
      <c r="M56" s="33">
        <f>IF(ISERROR(VLOOKUP($A56,ESPNData!$B:$O,7,0)),"",IF((VLOOKUP($A56,ESPNData!$B:$O,7,0)="--"),0,VLOOKUP($A56,ESPNData!$B:$O,7,0)))</f>
        <v>0</v>
      </c>
      <c r="N56" s="33">
        <f>IF(ISERROR(VLOOKUP($A56,ESPNData!$B:$O,9,0)),"",IF((VLOOKUP($A56,ESPNData!$B:$O,9,0)="--"),0,VLOOKUP($A56,ESPNData!$B:$O,9,0)))</f>
        <v>9</v>
      </c>
      <c r="O56" s="194">
        <f>IF(ISERROR(VLOOKUP($A56,ESPNData!$B:$O,10,0)),"",IF((VLOOKUP($A56,ESPNData!$B:$O,10,0)="--"),0,VLOOKUP($A56,ESPNData!$B:$O,10,0)))</f>
        <v>0</v>
      </c>
      <c r="P56" s="93" t="str">
        <f>IF(ISERROR(VLOOKUP($B56,SportslineData!$A:$O,4,0)),"",ROUND(VLOOKUP($B56,SportslineData!$A:$O,4,0),0))</f>
        <v/>
      </c>
      <c r="Q56" s="33" t="str">
        <f>IF(ISERROR(VLOOKUP($B56,SportslineData!$A:$O,5,0)),"",VLOOKUP($B56,SportslineData!$A:$O,5,0))</f>
        <v/>
      </c>
      <c r="R56" s="33" t="str">
        <f>IF(ISERROR(VLOOKUP($B56,SportslineData!$A:$O,6,0)),"",ROUND(VLOOKUP($B56,SportslineData!$A:$O,6,0),0))</f>
        <v/>
      </c>
      <c r="S56" s="33" t="str">
        <f>IF(ISERROR(VLOOKUP($B56,SportslineData!$A:$O,7,0)),"",ROUND(VLOOKUP($B56,SportslineData!$A:$O,7,0),0))</f>
        <v/>
      </c>
      <c r="T56" s="33" t="str">
        <f>IF(ISERROR(VLOOKUP($B56,SportslineData!$A:$O,11,0)),"",VLOOKUP($B56,SportslineData!$A:$O,11,0))</f>
        <v/>
      </c>
      <c r="U56" s="33" t="str">
        <f>IF(ISERROR(VLOOKUP($B56,SportslineData!$A:$O,13,0)),"",ROUND(VLOOKUP($B56,SportslineData!$A:$O,13,0),0))</f>
        <v/>
      </c>
      <c r="V56" s="64" t="str">
        <f>IF(ISERROR(VLOOKUP($B56,SportslineData!$A:$O,14,0)),"",ROUND(VLOOKUP($B56,SportslineData!$A:$O,14,0),0))</f>
        <v/>
      </c>
      <c r="W56" s="117"/>
      <c r="X56" s="33"/>
      <c r="Y56" s="38">
        <f>IF((E56=""),0,ROUND((((((ROUNDDOWN((E56/5),0)*Settings!$F$3)+(F56*Settings!$I$3))+(G56*Settings!$F$4))+(ROUNDDOWN((H56/5),0)*Settings!$F$7))+(I56*Settings!$I$7)),1))</f>
        <v>11.1</v>
      </c>
      <c r="Z56" s="38">
        <f>IF((K56=""),0,ROUND((((((ROUNDDOWN((K56/5),0)*Settings!$F$3)+(L56*Settings!$I$3))+(M56*Settings!$F$4))+(ROUNDDOWN((N56/5),0)*Settings!$F$7))+(O56*Settings!$I$7)),1))</f>
        <v>3.1</v>
      </c>
      <c r="AA56" s="38">
        <f>IF((Q56=""),0,ROUND(((((((ROUNDDOWN((Q56/5),0)*Settings!$F$3)+(R56*Settings!$I$3))+(S56*Settings!$F$4))+(ROUNDDOWN((T56/5),0)*Settings!$F$7))+(U56*Settings!$I$7))+(V56*Settings!$F$15)),1))</f>
        <v>0</v>
      </c>
      <c r="AB56" s="66">
        <f>ROUND((((Y56*Settings!$B$21)+(Z56*Settings!$B$22))+(AA56*Settings!$B$23)),1)</f>
        <v>4.7</v>
      </c>
      <c r="AC56" s="66">
        <f>IF(ISERROR(VLOOKUP(RANK(AB56,$AB$4:$AB$102),AC$4:AC55,1,0)),RANK(AB56,$AB$4:$AB$102),IF(ISERROR(VLOOKUP((RANK(AB56,$AB$4:$AB$102)+1),AC$4:AC55,1,0)),(RANK(AB56,$AB$4:$AB$102)+1),IF(ISERROR(VLOOKUP((RANK(AB56,$AB$4:$AB$102)+2),AC$4:AC55,1,0)),(RANK(AB56,$AB$4:$AB$102)+2),(RANK(AB56,$AB$4:$AB$102)+3))))</f>
        <v>57</v>
      </c>
      <c r="AD56" t="str">
        <f t="shared" si="5"/>
        <v>Tarvaris Jackson</v>
      </c>
    </row>
    <row r="57" spans="1:30" ht="12.75" customHeight="1">
      <c r="A57" s="33" t="str">
        <f>ESPNData!B58</f>
        <v>Matt Moore, Mia QB</v>
      </c>
      <c r="B57" s="33" t="str">
        <f t="shared" si="3"/>
        <v>Matt Moore</v>
      </c>
      <c r="C57" s="64" t="str">
        <f t="shared" si="4"/>
        <v>MIA</v>
      </c>
      <c r="D57" s="117" t="str">
        <f>IF(ISERROR(VLOOKUP($B57,FFTodayData!$B:$M,4,0)),"",VLOOKUP($B57,FFTodayData!$B:$M,4,0))</f>
        <v/>
      </c>
      <c r="E57" s="33" t="str">
        <f>IF(ISERROR(VLOOKUP($B57,FFTodayData!$B:$M,6,0)),"",VLOOKUP($B57,FFTodayData!$B:$M,6,0))</f>
        <v/>
      </c>
      <c r="F57" s="33" t="str">
        <f>IF(ISERROR(VLOOKUP($B57,FFTodayData!$B:$M,7,0)),"",VLOOKUP($B57,FFTodayData!$B:$M,7,0))</f>
        <v/>
      </c>
      <c r="G57" s="33" t="str">
        <f>IF(ISERROR(VLOOKUP($B57,FFTodayData!$B:$M,8,0)),"",VLOOKUP($B57,FFTodayData!$B:$M,8,0))</f>
        <v/>
      </c>
      <c r="H57" s="33" t="str">
        <f>IF(ISERROR(VLOOKUP($B57,FFTodayData!$B:$M,10,0)),"",VLOOKUP($B57,FFTodayData!$B:$M,10,0))</f>
        <v/>
      </c>
      <c r="I57" s="64" t="str">
        <f>IF(ISERROR(VLOOKUP($B57,FFTodayData!$B:$M,11,0)),"",VLOOKUP($B57,FFTodayData!$B:$M,11,0))</f>
        <v/>
      </c>
      <c r="J57" s="117" t="e">
        <f>VALUE(IF(ISERROR(VLOOKUP($A57,ESPNData!$B:$O,4,0)),"",IF((VLOOKUP($A57,ESPNData!$B:$O,4,0)="--/--"),0,LEFT(VLOOKUP($A57,ESPNData!$B:$O,4,0),(FIND("/",VLOOKUP($A57,ESPNData!$B:$O,4,0))-1)))))</f>
        <v>#VALUE!</v>
      </c>
      <c r="K57" s="33">
        <f>IF(ISERROR(VLOOKUP($A57,ESPNData!$B:$O,5,0)),"",IF((VLOOKUP($A57,ESPNData!$B:$O,5,0)="--"),0,VLOOKUP($A57,ESPNData!$B:$O,5,0)))</f>
        <v>101</v>
      </c>
      <c r="L57" s="33">
        <f>IF(ISERROR(VLOOKUP($A57,ESPNData!$B:$O,6,0)),"",IF((VLOOKUP($A57,ESPNData!$B:$O,6,0)="--"),0,VLOOKUP($A57,ESPNData!$B:$O,6,0)))</f>
        <v>0</v>
      </c>
      <c r="M57" s="33">
        <f>IF(ISERROR(VLOOKUP($A57,ESPNData!$B:$O,7,0)),"",IF((VLOOKUP($A57,ESPNData!$B:$O,7,0)="--"),0,VLOOKUP($A57,ESPNData!$B:$O,7,0)))</f>
        <v>1</v>
      </c>
      <c r="N57" s="33">
        <f>IF(ISERROR(VLOOKUP($A57,ESPNData!$B:$O,9,0)),"",IF((VLOOKUP($A57,ESPNData!$B:$O,9,0)="--"),0,VLOOKUP($A57,ESPNData!$B:$O,9,0)))</f>
        <v>-1</v>
      </c>
      <c r="O57" s="194">
        <f>IF(ISERROR(VLOOKUP($A57,ESPNData!$B:$O,10,0)),"",IF((VLOOKUP($A57,ESPNData!$B:$O,10,0)="--"),0,VLOOKUP($A57,ESPNData!$B:$O,10,0)))</f>
        <v>0</v>
      </c>
      <c r="P57" s="93">
        <f>IF(ISERROR(VLOOKUP($B57,SportslineData!$A:$O,4,0)),"",ROUND(VLOOKUP($B57,SportslineData!$A:$O,4,0),0))</f>
        <v>23</v>
      </c>
      <c r="Q57" s="33">
        <f>IF(ISERROR(VLOOKUP($B57,SportslineData!$A:$O,5,0)),"",VLOOKUP($B57,SportslineData!$A:$O,5,0))</f>
        <v>238.5</v>
      </c>
      <c r="R57" s="33">
        <f>IF(ISERROR(VLOOKUP($B57,SportslineData!$A:$O,6,0)),"",ROUND(VLOOKUP($B57,SportslineData!$A:$O,6,0),0))</f>
        <v>1</v>
      </c>
      <c r="S57" s="33">
        <f>IF(ISERROR(VLOOKUP($B57,SportslineData!$A:$O,7,0)),"",ROUND(VLOOKUP($B57,SportslineData!$A:$O,7,0),0))</f>
        <v>1</v>
      </c>
      <c r="T57" s="33">
        <f>IF(ISERROR(VLOOKUP($B57,SportslineData!$A:$O,11,0)),"",VLOOKUP($B57,SportslineData!$A:$O,11,0))</f>
        <v>4.5</v>
      </c>
      <c r="U57" s="33">
        <f>IF(ISERROR(VLOOKUP($B57,SportslineData!$A:$O,13,0)),"",ROUND(VLOOKUP($B57,SportslineData!$A:$O,13,0),0))</f>
        <v>0</v>
      </c>
      <c r="V57" s="64">
        <f>IF(ISERROR(VLOOKUP($B57,SportslineData!$A:$O,14,0)),"",ROUND(VLOOKUP($B57,SportslineData!$A:$O,14,0),0))</f>
        <v>1</v>
      </c>
      <c r="W57" s="117"/>
      <c r="X57" s="33"/>
      <c r="Y57" s="38">
        <f>IF((E57=""),0,ROUND((((((ROUNDDOWN((E57/5),0)*Settings!$F$3)+(F57*Settings!$I$3))+(G57*Settings!$F$4))+(ROUNDDOWN((H57/5),0)*Settings!$F$7))+(I57*Settings!$I$7)),1))</f>
        <v>0</v>
      </c>
      <c r="Z57" s="38">
        <f>IF((K57=""),0,ROUND((((((ROUNDDOWN((K57/5),0)*Settings!$F$3)+(L57*Settings!$I$3))+(M57*Settings!$F$4))+(ROUNDDOWN((N57/5),0)*Settings!$F$7))+(O57*Settings!$I$7)),1))</f>
        <v>2</v>
      </c>
      <c r="AA57" s="38">
        <f>IF((Q57=""),0,ROUND(((((((ROUNDDOWN((Q57/5),0)*Settings!$F$3)+(R57*Settings!$I$3))+(S57*Settings!$F$4))+(ROUNDDOWN((T57/5),0)*Settings!$F$7))+(U57*Settings!$I$7))+(V57*Settings!$F$15)),1))</f>
        <v>12.4</v>
      </c>
      <c r="AB57" s="66">
        <f>ROUND((((Y57*Settings!$B$21)+(Z57*Settings!$B$22))+(AA57*Settings!$B$23)),1)</f>
        <v>4.9000000000000004</v>
      </c>
      <c r="AC57" s="66">
        <f>IF(ISERROR(VLOOKUP(RANK(AB57,$AB$4:$AB$102),AC$4:AC56,1,0)),RANK(AB57,$AB$4:$AB$102),IF(ISERROR(VLOOKUP((RANK(AB57,$AB$4:$AB$102)+1),AC$4:AC56,1,0)),(RANK(AB57,$AB$4:$AB$102)+1),IF(ISERROR(VLOOKUP((RANK(AB57,$AB$4:$AB$102)+2),AC$4:AC56,1,0)),(RANK(AB57,$AB$4:$AB$102)+2),(RANK(AB57,$AB$4:$AB$102)+3))))</f>
        <v>56</v>
      </c>
      <c r="AD57" t="str">
        <f t="shared" si="5"/>
        <v>Matt Moore</v>
      </c>
    </row>
    <row r="58" spans="1:30" ht="12.75" customHeight="1">
      <c r="A58" s="33" t="str">
        <f>ESPNData!B59</f>
        <v>Matt Hasselbeck, Ind QB</v>
      </c>
      <c r="B58" s="33" t="str">
        <f t="shared" si="3"/>
        <v>Matt Hasselbeck</v>
      </c>
      <c r="C58" s="64" t="str">
        <f t="shared" si="4"/>
        <v>IND</v>
      </c>
      <c r="D58" s="117" t="str">
        <f>IF(ISERROR(VLOOKUP($B58,FFTodayData!$B:$M,4,0)),"",VLOOKUP($B58,FFTodayData!$B:$M,4,0))</f>
        <v/>
      </c>
      <c r="E58" s="33" t="str">
        <f>IF(ISERROR(VLOOKUP($B58,FFTodayData!$B:$M,6,0)),"",VLOOKUP($B58,FFTodayData!$B:$M,6,0))</f>
        <v/>
      </c>
      <c r="F58" s="33" t="str">
        <f>IF(ISERROR(VLOOKUP($B58,FFTodayData!$B:$M,7,0)),"",VLOOKUP($B58,FFTodayData!$B:$M,7,0))</f>
        <v/>
      </c>
      <c r="G58" s="33" t="str">
        <f>IF(ISERROR(VLOOKUP($B58,FFTodayData!$B:$M,8,0)),"",VLOOKUP($B58,FFTodayData!$B:$M,8,0))</f>
        <v/>
      </c>
      <c r="H58" s="33" t="str">
        <f>IF(ISERROR(VLOOKUP($B58,FFTodayData!$B:$M,10,0)),"",VLOOKUP($B58,FFTodayData!$B:$M,10,0))</f>
        <v/>
      </c>
      <c r="I58" s="64" t="str">
        <f>IF(ISERROR(VLOOKUP($B58,FFTodayData!$B:$M,11,0)),"",VLOOKUP($B58,FFTodayData!$B:$M,11,0))</f>
        <v/>
      </c>
      <c r="J58" s="117" t="e">
        <f>VALUE(IF(ISERROR(VLOOKUP($A58,ESPNData!$B:$O,4,0)),"",IF((VLOOKUP($A58,ESPNData!$B:$O,4,0)="--/--"),0,LEFT(VLOOKUP($A58,ESPNData!$B:$O,4,0),(FIND("/",VLOOKUP($A58,ESPNData!$B:$O,4,0))-1)))))</f>
        <v>#VALUE!</v>
      </c>
      <c r="K58" s="33">
        <f>IF(ISERROR(VLOOKUP($A58,ESPNData!$B:$O,5,0)),"",IF((VLOOKUP($A58,ESPNData!$B:$O,5,0)="--"),0,VLOOKUP($A58,ESPNData!$B:$O,5,0)))</f>
        <v>58</v>
      </c>
      <c r="L58" s="33">
        <f>IF(ISERROR(VLOOKUP($A58,ESPNData!$B:$O,6,0)),"",IF((VLOOKUP($A58,ESPNData!$B:$O,6,0)="--"),0,VLOOKUP($A58,ESPNData!$B:$O,6,0)))</f>
        <v>0</v>
      </c>
      <c r="M58" s="33">
        <f>IF(ISERROR(VLOOKUP($A58,ESPNData!$B:$O,7,0)),"",IF((VLOOKUP($A58,ESPNData!$B:$O,7,0)="--"),0,VLOOKUP($A58,ESPNData!$B:$O,7,0)))</f>
        <v>0</v>
      </c>
      <c r="N58" s="33">
        <f>IF(ISERROR(VLOOKUP($A58,ESPNData!$B:$O,9,0)),"",IF((VLOOKUP($A58,ESPNData!$B:$O,9,0)="--"),0,VLOOKUP($A58,ESPNData!$B:$O,9,0)))</f>
        <v>0</v>
      </c>
      <c r="O58" s="194">
        <f>IF(ISERROR(VLOOKUP($A58,ESPNData!$B:$O,10,0)),"",IF((VLOOKUP($A58,ESPNData!$B:$O,10,0)="--"),0,VLOOKUP($A58,ESPNData!$B:$O,10,0)))</f>
        <v>0</v>
      </c>
      <c r="P58" s="93" t="str">
        <f>IF(ISERROR(VLOOKUP($B58,SportslineData!$A:$O,4,0)),"",ROUND(VLOOKUP($B58,SportslineData!$A:$O,4,0),0))</f>
        <v/>
      </c>
      <c r="Q58" s="33" t="str">
        <f>IF(ISERROR(VLOOKUP($B58,SportslineData!$A:$O,5,0)),"",VLOOKUP($B58,SportslineData!$A:$O,5,0))</f>
        <v/>
      </c>
      <c r="R58" s="33" t="str">
        <f>IF(ISERROR(VLOOKUP($B58,SportslineData!$A:$O,6,0)),"",ROUND(VLOOKUP($B58,SportslineData!$A:$O,6,0),0))</f>
        <v/>
      </c>
      <c r="S58" s="33" t="str">
        <f>IF(ISERROR(VLOOKUP($B58,SportslineData!$A:$O,7,0)),"",ROUND(VLOOKUP($B58,SportslineData!$A:$O,7,0),0))</f>
        <v/>
      </c>
      <c r="T58" s="33" t="str">
        <f>IF(ISERROR(VLOOKUP($B58,SportslineData!$A:$O,11,0)),"",VLOOKUP($B58,SportslineData!$A:$O,11,0))</f>
        <v/>
      </c>
      <c r="U58" s="33" t="str">
        <f>IF(ISERROR(VLOOKUP($B58,SportslineData!$A:$O,13,0)),"",ROUND(VLOOKUP($B58,SportslineData!$A:$O,13,0),0))</f>
        <v/>
      </c>
      <c r="V58" s="64" t="str">
        <f>IF(ISERROR(VLOOKUP($B58,SportslineData!$A:$O,14,0)),"",ROUND(VLOOKUP($B58,SportslineData!$A:$O,14,0),0))</f>
        <v/>
      </c>
      <c r="W58" s="117"/>
      <c r="X58" s="33"/>
      <c r="Y58" s="38">
        <f>IF((E58=""),0,ROUND((((((ROUNDDOWN((E58/5),0)*Settings!$F$3)+(F58*Settings!$I$3))+(G58*Settings!$F$4))+(ROUNDDOWN((H58/5),0)*Settings!$F$7))+(I58*Settings!$I$7)),1))</f>
        <v>0</v>
      </c>
      <c r="Z58" s="38">
        <f>IF((K58=""),0,ROUND((((((ROUNDDOWN((K58/5),0)*Settings!$F$3)+(L58*Settings!$I$3))+(M58*Settings!$F$4))+(ROUNDDOWN((N58/5),0)*Settings!$F$7))+(O58*Settings!$I$7)),1))</f>
        <v>2.2000000000000002</v>
      </c>
      <c r="AA58" s="38">
        <f>IF((Q58=""),0,ROUND(((((((ROUNDDOWN((Q58/5),0)*Settings!$F$3)+(R58*Settings!$I$3))+(S58*Settings!$F$4))+(ROUNDDOWN((T58/5),0)*Settings!$F$7))+(U58*Settings!$I$7))+(V58*Settings!$F$15)),1))</f>
        <v>0</v>
      </c>
      <c r="AB58" s="66">
        <f>ROUND((((Y58*Settings!$B$21)+(Z58*Settings!$B$22))+(AA58*Settings!$B$23)),1)</f>
        <v>0.7</v>
      </c>
      <c r="AC58" s="66">
        <f>IF(ISERROR(VLOOKUP(RANK(AB58,$AB$4:$AB$102),AC$4:AC57,1,0)),RANK(AB58,$AB$4:$AB$102),IF(ISERROR(VLOOKUP((RANK(AB58,$AB$4:$AB$102)+1),AC$4:AC57,1,0)),(RANK(AB58,$AB$4:$AB$102)+1),IF(ISERROR(VLOOKUP((RANK(AB58,$AB$4:$AB$102)+2),AC$4:AC57,1,0)),(RANK(AB58,$AB$4:$AB$102)+2),(RANK(AB58,$AB$4:$AB$102)+3))))</f>
        <v>65</v>
      </c>
      <c r="AD58" t="str">
        <f t="shared" si="5"/>
        <v>Matt Hasselbeck</v>
      </c>
    </row>
    <row r="59" spans="1:30" ht="12.75" customHeight="1">
      <c r="A59" s="33" t="str">
        <f>ESPNData!B60</f>
        <v>Ryan Mallett, NE QB</v>
      </c>
      <c r="B59" s="33" t="str">
        <f t="shared" si="3"/>
        <v>Ryan Mallett</v>
      </c>
      <c r="C59" s="64" t="str">
        <f t="shared" si="4"/>
        <v>NE</v>
      </c>
      <c r="D59" s="117">
        <f>IF(ISERROR(VLOOKUP($B59,FFTodayData!$B:$M,4,0)),"",VLOOKUP($B59,FFTodayData!$B:$M,4,0))</f>
        <v>11</v>
      </c>
      <c r="E59" s="33">
        <f>IF(ISERROR(VLOOKUP($B59,FFTodayData!$B:$M,6,0)),"",VLOOKUP($B59,FFTodayData!$B:$M,6,0))</f>
        <v>136</v>
      </c>
      <c r="F59" s="33">
        <f>IF(ISERROR(VLOOKUP($B59,FFTodayData!$B:$M,7,0)),"",VLOOKUP($B59,FFTodayData!$B:$M,7,0))</f>
        <v>0</v>
      </c>
      <c r="G59" s="33">
        <f>IF(ISERROR(VLOOKUP($B59,FFTodayData!$B:$M,8,0)),"",VLOOKUP($B59,FFTodayData!$B:$M,8,0))</f>
        <v>0</v>
      </c>
      <c r="H59" s="33">
        <f>IF(ISERROR(VLOOKUP($B59,FFTodayData!$B:$M,10,0)),"",VLOOKUP($B59,FFTodayData!$B:$M,10,0))</f>
        <v>0</v>
      </c>
      <c r="I59" s="64">
        <f>IF(ISERROR(VLOOKUP($B59,FFTodayData!$B:$M,11,0)),"",VLOOKUP($B59,FFTodayData!$B:$M,11,0))</f>
        <v>0</v>
      </c>
      <c r="J59" s="117" t="e">
        <f>VALUE(IF(ISERROR(VLOOKUP($A59,ESPNData!$B:$O,4,0)),"",IF((VLOOKUP($A59,ESPNData!$B:$O,4,0)="--/--"),0,LEFT(VLOOKUP($A59,ESPNData!$B:$O,4,0),(FIND("/",VLOOKUP($A59,ESPNData!$B:$O,4,0))-1)))))</f>
        <v>#VALUE!</v>
      </c>
      <c r="K59" s="33">
        <f>IF(ISERROR(VLOOKUP($A59,ESPNData!$B:$O,5,0)),"",IF((VLOOKUP($A59,ESPNData!$B:$O,5,0)="--"),0,VLOOKUP($A59,ESPNData!$B:$O,5,0)))</f>
        <v>14</v>
      </c>
      <c r="L59" s="33">
        <f>IF(ISERROR(VLOOKUP($A59,ESPNData!$B:$O,6,0)),"",IF((VLOOKUP($A59,ESPNData!$B:$O,6,0)="--"),0,VLOOKUP($A59,ESPNData!$B:$O,6,0)))</f>
        <v>0</v>
      </c>
      <c r="M59" s="33">
        <f>IF(ISERROR(VLOOKUP($A59,ESPNData!$B:$O,7,0)),"",IF((VLOOKUP($A59,ESPNData!$B:$O,7,0)="--"),0,VLOOKUP($A59,ESPNData!$B:$O,7,0)))</f>
        <v>0</v>
      </c>
      <c r="N59" s="33">
        <f>IF(ISERROR(VLOOKUP($A59,ESPNData!$B:$O,9,0)),"",IF((VLOOKUP($A59,ESPNData!$B:$O,9,0)="--"),0,VLOOKUP($A59,ESPNData!$B:$O,9,0)))</f>
        <v>-3</v>
      </c>
      <c r="O59" s="194">
        <f>IF(ISERROR(VLOOKUP($A59,ESPNData!$B:$O,10,0)),"",IF((VLOOKUP($A59,ESPNData!$B:$O,10,0)="--"),0,VLOOKUP($A59,ESPNData!$B:$O,10,0)))</f>
        <v>0</v>
      </c>
      <c r="P59" s="93" t="str">
        <f>IF(ISERROR(VLOOKUP($B59,SportslineData!$A:$O,4,0)),"",ROUND(VLOOKUP($B59,SportslineData!$A:$O,4,0),0))</f>
        <v/>
      </c>
      <c r="Q59" s="33" t="str">
        <f>IF(ISERROR(VLOOKUP($B59,SportslineData!$A:$O,5,0)),"",VLOOKUP($B59,SportslineData!$A:$O,5,0))</f>
        <v/>
      </c>
      <c r="R59" s="33" t="str">
        <f>IF(ISERROR(VLOOKUP($B59,SportslineData!$A:$O,6,0)),"",ROUND(VLOOKUP($B59,SportslineData!$A:$O,6,0),0))</f>
        <v/>
      </c>
      <c r="S59" s="33" t="str">
        <f>IF(ISERROR(VLOOKUP($B59,SportslineData!$A:$O,7,0)),"",ROUND(VLOOKUP($B59,SportslineData!$A:$O,7,0),0))</f>
        <v/>
      </c>
      <c r="T59" s="33" t="str">
        <f>IF(ISERROR(VLOOKUP($B59,SportslineData!$A:$O,11,0)),"",VLOOKUP($B59,SportslineData!$A:$O,11,0))</f>
        <v/>
      </c>
      <c r="U59" s="33" t="str">
        <f>IF(ISERROR(VLOOKUP($B59,SportslineData!$A:$O,13,0)),"",ROUND(VLOOKUP($B59,SportslineData!$A:$O,13,0),0))</f>
        <v/>
      </c>
      <c r="V59" s="64" t="str">
        <f>IF(ISERROR(VLOOKUP($B59,SportslineData!$A:$O,14,0)),"",ROUND(VLOOKUP($B59,SportslineData!$A:$O,14,0),0))</f>
        <v/>
      </c>
      <c r="W59" s="117"/>
      <c r="X59" s="33"/>
      <c r="Y59" s="38">
        <f>IF((E59=""),0,ROUND((((((ROUNDDOWN((E59/5),0)*Settings!$F$3)+(F59*Settings!$I$3))+(G59*Settings!$F$4))+(ROUNDDOWN((H59/5),0)*Settings!$F$7))+(I59*Settings!$I$7)),1))</f>
        <v>5.4</v>
      </c>
      <c r="Z59" s="38">
        <f>IF((K59=""),0,ROUND((((((ROUNDDOWN((K59/5),0)*Settings!$F$3)+(L59*Settings!$I$3))+(M59*Settings!$F$4))+(ROUNDDOWN((N59/5),0)*Settings!$F$7))+(O59*Settings!$I$7)),1))</f>
        <v>0.4</v>
      </c>
      <c r="AA59" s="38">
        <f>IF((Q59=""),0,ROUND(((((((ROUNDDOWN((Q59/5),0)*Settings!$F$3)+(R59*Settings!$I$3))+(S59*Settings!$F$4))+(ROUNDDOWN((T59/5),0)*Settings!$F$7))+(U59*Settings!$I$7))+(V59*Settings!$F$15)),1))</f>
        <v>0</v>
      </c>
      <c r="AB59" s="66">
        <f>ROUND((((Y59*Settings!$B$21)+(Z59*Settings!$B$22))+(AA59*Settings!$B$23)),1)</f>
        <v>1.9</v>
      </c>
      <c r="AC59" s="66">
        <f>IF(ISERROR(VLOOKUP(RANK(AB59,$AB$4:$AB$102),AC$4:AC58,1,0)),RANK(AB59,$AB$4:$AB$102),IF(ISERROR(VLOOKUP((RANK(AB59,$AB$4:$AB$102)+1),AC$4:AC58,1,0)),(RANK(AB59,$AB$4:$AB$102)+1),IF(ISERROR(VLOOKUP((RANK(AB59,$AB$4:$AB$102)+2),AC$4:AC58,1,0)),(RANK(AB59,$AB$4:$AB$102)+2),(RANK(AB59,$AB$4:$AB$102)+3))))</f>
        <v>62</v>
      </c>
      <c r="AD59" t="str">
        <f t="shared" si="5"/>
        <v>Ryan Mallett</v>
      </c>
    </row>
    <row r="60" spans="1:30" ht="12.75" customHeight="1">
      <c r="A60" s="33" t="str">
        <f>ESPNData!B61</f>
        <v>Kellen Clemens, SD QB</v>
      </c>
      <c r="B60" s="33" t="str">
        <f t="shared" si="3"/>
        <v>Kellen Clemens</v>
      </c>
      <c r="C60" s="64" t="str">
        <f t="shared" si="4"/>
        <v>SD</v>
      </c>
      <c r="D60" s="117" t="str">
        <f>IF(ISERROR(VLOOKUP($B60,FFTodayData!$B:$M,4,0)),"",VLOOKUP($B60,FFTodayData!$B:$M,4,0))</f>
        <v/>
      </c>
      <c r="E60" s="33" t="str">
        <f>IF(ISERROR(VLOOKUP($B60,FFTodayData!$B:$M,6,0)),"",VLOOKUP($B60,FFTodayData!$B:$M,6,0))</f>
        <v/>
      </c>
      <c r="F60" s="33" t="str">
        <f>IF(ISERROR(VLOOKUP($B60,FFTodayData!$B:$M,7,0)),"",VLOOKUP($B60,FFTodayData!$B:$M,7,0))</f>
        <v/>
      </c>
      <c r="G60" s="33" t="str">
        <f>IF(ISERROR(VLOOKUP($B60,FFTodayData!$B:$M,8,0)),"",VLOOKUP($B60,FFTodayData!$B:$M,8,0))</f>
        <v/>
      </c>
      <c r="H60" s="33" t="str">
        <f>IF(ISERROR(VLOOKUP($B60,FFTodayData!$B:$M,10,0)),"",VLOOKUP($B60,FFTodayData!$B:$M,10,0))</f>
        <v/>
      </c>
      <c r="I60" s="64" t="str">
        <f>IF(ISERROR(VLOOKUP($B60,FFTodayData!$B:$M,11,0)),"",VLOOKUP($B60,FFTodayData!$B:$M,11,0))</f>
        <v/>
      </c>
      <c r="J60" s="117">
        <f>VALUE(IF(ISERROR(VLOOKUP($A60,ESPNData!$B:$O,4,0)),"",IF((VLOOKUP($A60,ESPNData!$B:$O,4,0)="--/--"),0,LEFT(VLOOKUP($A60,ESPNData!$B:$O,4,0),(FIND("/",VLOOKUP($A60,ESPNData!$B:$O,4,0))-1)))))</f>
        <v>0</v>
      </c>
      <c r="K60" s="33">
        <f>IF(ISERROR(VLOOKUP($A60,ESPNData!$B:$O,5,0)),"",IF((VLOOKUP($A60,ESPNData!$B:$O,5,0)="--"),0,VLOOKUP($A60,ESPNData!$B:$O,5,0)))</f>
        <v>0</v>
      </c>
      <c r="L60" s="33">
        <f>IF(ISERROR(VLOOKUP($A60,ESPNData!$B:$O,6,0)),"",IF((VLOOKUP($A60,ESPNData!$B:$O,6,0)="--"),0,VLOOKUP($A60,ESPNData!$B:$O,6,0)))</f>
        <v>0</v>
      </c>
      <c r="M60" s="33">
        <f>IF(ISERROR(VLOOKUP($A60,ESPNData!$B:$O,7,0)),"",IF((VLOOKUP($A60,ESPNData!$B:$O,7,0)="--"),0,VLOOKUP($A60,ESPNData!$B:$O,7,0)))</f>
        <v>0</v>
      </c>
      <c r="N60" s="33">
        <f>IF(ISERROR(VLOOKUP($A60,ESPNData!$B:$O,9,0)),"",IF((VLOOKUP($A60,ESPNData!$B:$O,9,0)="--"),0,VLOOKUP($A60,ESPNData!$B:$O,9,0)))</f>
        <v>0</v>
      </c>
      <c r="O60" s="194">
        <f>IF(ISERROR(VLOOKUP($A60,ESPNData!$B:$O,10,0)),"",IF((VLOOKUP($A60,ESPNData!$B:$O,10,0)="--"),0,VLOOKUP($A60,ESPNData!$B:$O,10,0)))</f>
        <v>0</v>
      </c>
      <c r="P60" s="93" t="str">
        <f>IF(ISERROR(VLOOKUP($B60,SportslineData!$A:$O,4,0)),"",ROUND(VLOOKUP($B60,SportslineData!$A:$O,4,0),0))</f>
        <v/>
      </c>
      <c r="Q60" s="33" t="str">
        <f>IF(ISERROR(VLOOKUP($B60,SportslineData!$A:$O,5,0)),"",VLOOKUP($B60,SportslineData!$A:$O,5,0))</f>
        <v/>
      </c>
      <c r="R60" s="33" t="str">
        <f>IF(ISERROR(VLOOKUP($B60,SportslineData!$A:$O,6,0)),"",ROUND(VLOOKUP($B60,SportslineData!$A:$O,6,0),0))</f>
        <v/>
      </c>
      <c r="S60" s="33" t="str">
        <f>IF(ISERROR(VLOOKUP($B60,SportslineData!$A:$O,7,0)),"",ROUND(VLOOKUP($B60,SportslineData!$A:$O,7,0),0))</f>
        <v/>
      </c>
      <c r="T60" s="33" t="str">
        <f>IF(ISERROR(VLOOKUP($B60,SportslineData!$A:$O,11,0)),"",VLOOKUP($B60,SportslineData!$A:$O,11,0))</f>
        <v/>
      </c>
      <c r="U60" s="33" t="str">
        <f>IF(ISERROR(VLOOKUP($B60,SportslineData!$A:$O,13,0)),"",ROUND(VLOOKUP($B60,SportslineData!$A:$O,13,0),0))</f>
        <v/>
      </c>
      <c r="V60" s="64" t="str">
        <f>IF(ISERROR(VLOOKUP($B60,SportslineData!$A:$O,14,0)),"",ROUND(VLOOKUP($B60,SportslineData!$A:$O,14,0),0))</f>
        <v/>
      </c>
      <c r="W60" s="117"/>
      <c r="X60" s="33"/>
      <c r="Y60" s="38">
        <f>IF((E60=""),0,ROUND((((((ROUNDDOWN((E60/5),0)*Settings!$F$3)+(F60*Settings!$I$3))+(G60*Settings!$F$4))+(ROUNDDOWN((H60/5),0)*Settings!$F$7))+(I60*Settings!$I$7)),1))</f>
        <v>0</v>
      </c>
      <c r="Z60" s="38">
        <f>IF((K60=""),0,ROUND((((((ROUNDDOWN((K60/5),0)*Settings!$F$3)+(L60*Settings!$I$3))+(M60*Settings!$F$4))+(ROUNDDOWN((N60/5),0)*Settings!$F$7))+(O60*Settings!$I$7)),1))</f>
        <v>0</v>
      </c>
      <c r="AA60" s="38">
        <f>IF((Q60=""),0,ROUND(((((((ROUNDDOWN((Q60/5),0)*Settings!$F$3)+(R60*Settings!$I$3))+(S60*Settings!$F$4))+(ROUNDDOWN((T60/5),0)*Settings!$F$7))+(U60*Settings!$I$7))+(V60*Settings!$F$15)),1))</f>
        <v>0</v>
      </c>
      <c r="AB60" s="66">
        <f>ROUND((((Y60*Settings!$B$21)+(Z60*Settings!$B$22))+(AA60*Settings!$B$23)),1)</f>
        <v>0</v>
      </c>
      <c r="AC60" s="66">
        <f>IF(ISERROR(VLOOKUP(RANK(AB60,$AB$4:$AB$102),AC$4:AC59,1,0)),RANK(AB60,$AB$4:$AB$102),IF(ISERROR(VLOOKUP((RANK(AB60,$AB$4:$AB$102)+1),AC$4:AC59,1,0)),(RANK(AB60,$AB$4:$AB$102)+1),IF(ISERROR(VLOOKUP((RANK(AB60,$AB$4:$AB$102)+2),AC$4:AC59,1,0)),(RANK(AB60,$AB$4:$AB$102)+2),(RANK(AB60,$AB$4:$AB$102)+3))))</f>
        <v>67</v>
      </c>
      <c r="AD60" t="str">
        <f t="shared" si="5"/>
        <v>Kellen Clemens</v>
      </c>
    </row>
    <row r="61" spans="1:30" ht="12.75" customHeight="1">
      <c r="A61" s="33" t="str">
        <f>ESPNData!B62</f>
        <v>Tyrod Taylor, Bal QB  P</v>
      </c>
      <c r="B61" s="33" t="str">
        <f t="shared" si="3"/>
        <v>Tyrod Taylor</v>
      </c>
      <c r="C61" s="64" t="str">
        <f t="shared" si="4"/>
        <v>BAL</v>
      </c>
      <c r="D61" s="117">
        <f>IF(ISERROR(VLOOKUP($B61,FFTodayData!$B:$M,4,0)),"",VLOOKUP($B61,FFTodayData!$B:$M,4,0))</f>
        <v>9</v>
      </c>
      <c r="E61" s="33">
        <f>IF(ISERROR(VLOOKUP($B61,FFTodayData!$B:$M,6,0)),"",VLOOKUP($B61,FFTodayData!$B:$M,6,0))</f>
        <v>97</v>
      </c>
      <c r="F61" s="33">
        <f>IF(ISERROR(VLOOKUP($B61,FFTodayData!$B:$M,7,0)),"",VLOOKUP($B61,FFTodayData!$B:$M,7,0))</f>
        <v>0</v>
      </c>
      <c r="G61" s="33">
        <f>IF(ISERROR(VLOOKUP($B61,FFTodayData!$B:$M,8,0)),"",VLOOKUP($B61,FFTodayData!$B:$M,8,0))</f>
        <v>0</v>
      </c>
      <c r="H61" s="33">
        <f>IF(ISERROR(VLOOKUP($B61,FFTodayData!$B:$M,10,0)),"",VLOOKUP($B61,FFTodayData!$B:$M,10,0))</f>
        <v>3</v>
      </c>
      <c r="I61" s="64">
        <f>IF(ISERROR(VLOOKUP($B61,FFTodayData!$B:$M,11,0)),"",VLOOKUP($B61,FFTodayData!$B:$M,11,0))</f>
        <v>0</v>
      </c>
      <c r="J61" s="117" t="e">
        <f>VALUE(IF(ISERROR(VLOOKUP($A61,ESPNData!$B:$O,4,0)),"",IF((VLOOKUP($A61,ESPNData!$B:$O,4,0)="--/--"),0,LEFT(VLOOKUP($A61,ESPNData!$B:$O,4,0),(FIND("/",VLOOKUP($A61,ESPNData!$B:$O,4,0))-1)))))</f>
        <v>#VALUE!</v>
      </c>
      <c r="K61" s="33">
        <f>IF(ISERROR(VLOOKUP($A61,ESPNData!$B:$O,5,0)),"",IF((VLOOKUP($A61,ESPNData!$B:$O,5,0)="--"),0,VLOOKUP($A61,ESPNData!$B:$O,5,0)))</f>
        <v>17</v>
      </c>
      <c r="L61" s="33">
        <f>IF(ISERROR(VLOOKUP($A61,ESPNData!$B:$O,6,0)),"",IF((VLOOKUP($A61,ESPNData!$B:$O,6,0)="--"),0,VLOOKUP($A61,ESPNData!$B:$O,6,0)))</f>
        <v>0</v>
      </c>
      <c r="M61" s="33">
        <f>IF(ISERROR(VLOOKUP($A61,ESPNData!$B:$O,7,0)),"",IF((VLOOKUP($A61,ESPNData!$B:$O,7,0)="--"),0,VLOOKUP($A61,ESPNData!$B:$O,7,0)))</f>
        <v>0</v>
      </c>
      <c r="N61" s="33">
        <f>IF(ISERROR(VLOOKUP($A61,ESPNData!$B:$O,9,0)),"",IF((VLOOKUP($A61,ESPNData!$B:$O,9,0)="--"),0,VLOOKUP($A61,ESPNData!$B:$O,9,0)))</f>
        <v>65</v>
      </c>
      <c r="O61" s="194">
        <f>IF(ISERROR(VLOOKUP($A61,ESPNData!$B:$O,10,0)),"",IF((VLOOKUP($A61,ESPNData!$B:$O,10,0)="--"),0,VLOOKUP($A61,ESPNData!$B:$O,10,0)))</f>
        <v>0</v>
      </c>
      <c r="P61" s="93" t="str">
        <f>IF(ISERROR(VLOOKUP($B61,SportslineData!$A:$O,4,0)),"",ROUND(VLOOKUP($B61,SportslineData!$A:$O,4,0),0))</f>
        <v/>
      </c>
      <c r="Q61" s="33" t="str">
        <f>IF(ISERROR(VLOOKUP($B61,SportslineData!$A:$O,5,0)),"",VLOOKUP($B61,SportslineData!$A:$O,5,0))</f>
        <v/>
      </c>
      <c r="R61" s="33" t="str">
        <f>IF(ISERROR(VLOOKUP($B61,SportslineData!$A:$O,6,0)),"",ROUND(VLOOKUP($B61,SportslineData!$A:$O,6,0),0))</f>
        <v/>
      </c>
      <c r="S61" s="33" t="str">
        <f>IF(ISERROR(VLOOKUP($B61,SportslineData!$A:$O,7,0)),"",ROUND(VLOOKUP($B61,SportslineData!$A:$O,7,0),0))</f>
        <v/>
      </c>
      <c r="T61" s="33" t="str">
        <f>IF(ISERROR(VLOOKUP($B61,SportslineData!$A:$O,11,0)),"",VLOOKUP($B61,SportslineData!$A:$O,11,0))</f>
        <v/>
      </c>
      <c r="U61" s="33" t="str">
        <f>IF(ISERROR(VLOOKUP($B61,SportslineData!$A:$O,13,0)),"",ROUND(VLOOKUP($B61,SportslineData!$A:$O,13,0),0))</f>
        <v/>
      </c>
      <c r="V61" s="64" t="str">
        <f>IF(ISERROR(VLOOKUP($B61,SportslineData!$A:$O,14,0)),"",ROUND(VLOOKUP($B61,SportslineData!$A:$O,14,0),0))</f>
        <v/>
      </c>
      <c r="W61" s="117"/>
      <c r="X61" s="33"/>
      <c r="Y61" s="38">
        <f>IF((E61=""),0,ROUND((((((ROUNDDOWN((E61/5),0)*Settings!$F$3)+(F61*Settings!$I$3))+(G61*Settings!$F$4))+(ROUNDDOWN((H61/5),0)*Settings!$F$7))+(I61*Settings!$I$7)),1))</f>
        <v>3.8</v>
      </c>
      <c r="Z61" s="38">
        <f>IF((K61=""),0,ROUND((((((ROUNDDOWN((K61/5),0)*Settings!$F$3)+(L61*Settings!$I$3))+(M61*Settings!$F$4))+(ROUNDDOWN((N61/5),0)*Settings!$F$7))+(O61*Settings!$I$7)),1))</f>
        <v>7.1</v>
      </c>
      <c r="AA61" s="38">
        <f>IF((Q61=""),0,ROUND(((((((ROUNDDOWN((Q61/5),0)*Settings!$F$3)+(R61*Settings!$I$3))+(S61*Settings!$F$4))+(ROUNDDOWN((T61/5),0)*Settings!$F$7))+(U61*Settings!$I$7))+(V61*Settings!$F$15)),1))</f>
        <v>0</v>
      </c>
      <c r="AB61" s="66">
        <f>ROUND((((Y61*Settings!$B$21)+(Z61*Settings!$B$22))+(AA61*Settings!$B$23)),1)</f>
        <v>3.6</v>
      </c>
      <c r="AC61" s="66">
        <f>IF(ISERROR(VLOOKUP(RANK(AB61,$AB$4:$AB$102),AC$4:AC60,1,0)),RANK(AB61,$AB$4:$AB$102),IF(ISERROR(VLOOKUP((RANK(AB61,$AB$4:$AB$102)+1),AC$4:AC60,1,0)),(RANK(AB61,$AB$4:$AB$102)+1),IF(ISERROR(VLOOKUP((RANK(AB61,$AB$4:$AB$102)+2),AC$4:AC60,1,0)),(RANK(AB61,$AB$4:$AB$102)+2),(RANK(AB61,$AB$4:$AB$102)+3))))</f>
        <v>59</v>
      </c>
      <c r="AD61" t="str">
        <f t="shared" si="5"/>
        <v>Tyrod Taylor</v>
      </c>
    </row>
    <row r="62" spans="1:30" ht="12.75" customHeight="1">
      <c r="A62" s="33" t="str">
        <f>ESPNData!B63</f>
        <v>Jason Campbell, Cin QB  P</v>
      </c>
      <c r="B62" s="33" t="str">
        <f t="shared" si="3"/>
        <v>Jason Campbell</v>
      </c>
      <c r="C62" s="64" t="str">
        <f t="shared" si="4"/>
        <v>CIN</v>
      </c>
      <c r="D62" s="117">
        <f>IF(ISERROR(VLOOKUP($B62,FFTodayData!$B:$M,4,0)),"",VLOOKUP($B62,FFTodayData!$B:$M,4,0))</f>
        <v>27</v>
      </c>
      <c r="E62" s="33">
        <f>IF(ISERROR(VLOOKUP($B62,FFTodayData!$B:$M,6,0)),"",VLOOKUP($B62,FFTodayData!$B:$M,6,0))</f>
        <v>313</v>
      </c>
      <c r="F62" s="33">
        <f>IF(ISERROR(VLOOKUP($B62,FFTodayData!$B:$M,7,0)),"",VLOOKUP($B62,FFTodayData!$B:$M,7,0))</f>
        <v>1</v>
      </c>
      <c r="G62" s="33">
        <f>IF(ISERROR(VLOOKUP($B62,FFTodayData!$B:$M,8,0)),"",VLOOKUP($B62,FFTodayData!$B:$M,8,0))</f>
        <v>1</v>
      </c>
      <c r="H62" s="33">
        <f>IF(ISERROR(VLOOKUP($B62,FFTodayData!$B:$M,10,0)),"",VLOOKUP($B62,FFTodayData!$B:$M,10,0))</f>
        <v>4</v>
      </c>
      <c r="I62" s="64">
        <f>IF(ISERROR(VLOOKUP($B62,FFTodayData!$B:$M,11,0)),"",VLOOKUP($B62,FFTodayData!$B:$M,11,0))</f>
        <v>0</v>
      </c>
      <c r="J62" s="117">
        <f>VALUE(IF(ISERROR(VLOOKUP($A62,ESPNData!$B:$O,4,0)),"",IF((VLOOKUP($A62,ESPNData!$B:$O,4,0)="--/--"),0,LEFT(VLOOKUP($A62,ESPNData!$B:$O,4,0),(FIND("/",VLOOKUP($A62,ESPNData!$B:$O,4,0))-1)))))</f>
        <v>0</v>
      </c>
      <c r="K62" s="33">
        <f>IF(ISERROR(VLOOKUP($A62,ESPNData!$B:$O,5,0)),"",IF((VLOOKUP($A62,ESPNData!$B:$O,5,0)="--"),0,VLOOKUP($A62,ESPNData!$B:$O,5,0)))</f>
        <v>0</v>
      </c>
      <c r="L62" s="33">
        <f>IF(ISERROR(VLOOKUP($A62,ESPNData!$B:$O,6,0)),"",IF((VLOOKUP($A62,ESPNData!$B:$O,6,0)="--"),0,VLOOKUP($A62,ESPNData!$B:$O,6,0)))</f>
        <v>0</v>
      </c>
      <c r="M62" s="33">
        <f>IF(ISERROR(VLOOKUP($A62,ESPNData!$B:$O,7,0)),"",IF((VLOOKUP($A62,ESPNData!$B:$O,7,0)="--"),0,VLOOKUP($A62,ESPNData!$B:$O,7,0)))</f>
        <v>0</v>
      </c>
      <c r="N62" s="33">
        <f>IF(ISERROR(VLOOKUP($A62,ESPNData!$B:$O,9,0)),"",IF((VLOOKUP($A62,ESPNData!$B:$O,9,0)="--"),0,VLOOKUP($A62,ESPNData!$B:$O,9,0)))</f>
        <v>0</v>
      </c>
      <c r="O62" s="194">
        <f>IF(ISERROR(VLOOKUP($A62,ESPNData!$B:$O,10,0)),"",IF((VLOOKUP($A62,ESPNData!$B:$O,10,0)="--"),0,VLOOKUP($A62,ESPNData!$B:$O,10,0)))</f>
        <v>0</v>
      </c>
      <c r="P62" s="93">
        <f>IF(ISERROR(VLOOKUP($B62,SportslineData!$A:$O,4,0)),"",ROUND(VLOOKUP($B62,SportslineData!$A:$O,4,0),0))</f>
        <v>10</v>
      </c>
      <c r="Q62" s="33">
        <f>IF(ISERROR(VLOOKUP($B62,SportslineData!$A:$O,5,0)),"",VLOOKUP($B62,SportslineData!$A:$O,5,0))</f>
        <v>123</v>
      </c>
      <c r="R62" s="33">
        <f>IF(ISERROR(VLOOKUP($B62,SportslineData!$A:$O,6,0)),"",ROUND(VLOOKUP($B62,SportslineData!$A:$O,6,0),0))</f>
        <v>0</v>
      </c>
      <c r="S62" s="33">
        <f>IF(ISERROR(VLOOKUP($B62,SportslineData!$A:$O,7,0)),"",ROUND(VLOOKUP($B62,SportslineData!$A:$O,7,0),0))</f>
        <v>1</v>
      </c>
      <c r="T62" s="33">
        <f>IF(ISERROR(VLOOKUP($B62,SportslineData!$A:$O,11,0)),"",VLOOKUP($B62,SportslineData!$A:$O,11,0))</f>
        <v>1</v>
      </c>
      <c r="U62" s="33">
        <f>IF(ISERROR(VLOOKUP($B62,SportslineData!$A:$O,13,0)),"",ROUND(VLOOKUP($B62,SportslineData!$A:$O,13,0),0))</f>
        <v>0</v>
      </c>
      <c r="V62" s="64">
        <f>IF(ISERROR(VLOOKUP($B62,SportslineData!$A:$O,14,0)),"",ROUND(VLOOKUP($B62,SportslineData!$A:$O,14,0),0))</f>
        <v>0</v>
      </c>
      <c r="W62" s="117"/>
      <c r="X62" s="33"/>
      <c r="Y62" s="38">
        <f>IF((E62=""),0,ROUND((((((ROUNDDOWN((E62/5),0)*Settings!$F$3)+(F62*Settings!$I$3))+(G62*Settings!$F$4))+(ROUNDDOWN((H62/5),0)*Settings!$F$7))+(I62*Settings!$I$7)),1))</f>
        <v>16.399999999999999</v>
      </c>
      <c r="Z62" s="38">
        <f>IF((K62=""),0,ROUND((((((ROUNDDOWN((K62/5),0)*Settings!$F$3)+(L62*Settings!$I$3))+(M62*Settings!$F$4))+(ROUNDDOWN((N62/5),0)*Settings!$F$7))+(O62*Settings!$I$7)),1))</f>
        <v>0</v>
      </c>
      <c r="AA62" s="38">
        <f>IF((Q62=""),0,ROUND(((((((ROUNDDOWN((Q62/5),0)*Settings!$F$3)+(R62*Settings!$I$3))+(S62*Settings!$F$4))+(ROUNDDOWN((T62/5),0)*Settings!$F$7))+(U62*Settings!$I$7))+(V62*Settings!$F$15)),1))</f>
        <v>2.8</v>
      </c>
      <c r="AB62" s="66">
        <f>ROUND((((Y62*Settings!$B$21)+(Z62*Settings!$B$22))+(AA62*Settings!$B$23)),1)</f>
        <v>6.4</v>
      </c>
      <c r="AC62" s="66">
        <f>IF(ISERROR(VLOOKUP(RANK(AB62,$AB$4:$AB$102),AC$4:AC61,1,0)),RANK(AB62,$AB$4:$AB$102),IF(ISERROR(VLOOKUP((RANK(AB62,$AB$4:$AB$102)+1),AC$4:AC61,1,0)),(RANK(AB62,$AB$4:$AB$102)+1),IF(ISERROR(VLOOKUP((RANK(AB62,$AB$4:$AB$102)+2),AC$4:AC61,1,0)),(RANK(AB62,$AB$4:$AB$102)+2),(RANK(AB62,$AB$4:$AB$102)+3))))</f>
        <v>53</v>
      </c>
      <c r="AD62" t="str">
        <f t="shared" si="5"/>
        <v>Jason Campbell</v>
      </c>
    </row>
    <row r="63" spans="1:30" ht="12.75" customHeight="1">
      <c r="A63" s="33" t="str">
        <f>ESPNData!B64</f>
        <v>Ryan Nassib, NYG QB</v>
      </c>
      <c r="B63" s="33" t="str">
        <f t="shared" si="3"/>
        <v>Ryan Nassib</v>
      </c>
      <c r="C63" s="64" t="str">
        <f t="shared" si="4"/>
        <v>NYG</v>
      </c>
      <c r="D63" s="117" t="str">
        <f>IF(ISERROR(VLOOKUP($B63,FFTodayData!$B:$M,4,0)),"",VLOOKUP($B63,FFTodayData!$B:$M,4,0))</f>
        <v/>
      </c>
      <c r="E63" s="33" t="str">
        <f>IF(ISERROR(VLOOKUP($B63,FFTodayData!$B:$M,6,0)),"",VLOOKUP($B63,FFTodayData!$B:$M,6,0))</f>
        <v/>
      </c>
      <c r="F63" s="33" t="str">
        <f>IF(ISERROR(VLOOKUP($B63,FFTodayData!$B:$M,7,0)),"",VLOOKUP($B63,FFTodayData!$B:$M,7,0))</f>
        <v/>
      </c>
      <c r="G63" s="33" t="str">
        <f>IF(ISERROR(VLOOKUP($B63,FFTodayData!$B:$M,8,0)),"",VLOOKUP($B63,FFTodayData!$B:$M,8,0))</f>
        <v/>
      </c>
      <c r="H63" s="33" t="str">
        <f>IF(ISERROR(VLOOKUP($B63,FFTodayData!$B:$M,10,0)),"",VLOOKUP($B63,FFTodayData!$B:$M,10,0))</f>
        <v/>
      </c>
      <c r="I63" s="64" t="str">
        <f>IF(ISERROR(VLOOKUP($B63,FFTodayData!$B:$M,11,0)),"",VLOOKUP($B63,FFTodayData!$B:$M,11,0))</f>
        <v/>
      </c>
      <c r="J63" s="117">
        <f>VALUE(IF(ISERROR(VLOOKUP($A63,ESPNData!$B:$O,4,0)),"",IF((VLOOKUP($A63,ESPNData!$B:$O,4,0)="--/--"),0,LEFT(VLOOKUP($A63,ESPNData!$B:$O,4,0),(FIND("/",VLOOKUP($A63,ESPNData!$B:$O,4,0))-1)))))</f>
        <v>0</v>
      </c>
      <c r="K63" s="33">
        <f>IF(ISERROR(VLOOKUP($A63,ESPNData!$B:$O,5,0)),"",IF((VLOOKUP($A63,ESPNData!$B:$O,5,0)="--"),0,VLOOKUP($A63,ESPNData!$B:$O,5,0)))</f>
        <v>0</v>
      </c>
      <c r="L63" s="33">
        <f>IF(ISERROR(VLOOKUP($A63,ESPNData!$B:$O,6,0)),"",IF((VLOOKUP($A63,ESPNData!$B:$O,6,0)="--"),0,VLOOKUP($A63,ESPNData!$B:$O,6,0)))</f>
        <v>0</v>
      </c>
      <c r="M63" s="33">
        <f>IF(ISERROR(VLOOKUP($A63,ESPNData!$B:$O,7,0)),"",IF((VLOOKUP($A63,ESPNData!$B:$O,7,0)="--"),0,VLOOKUP($A63,ESPNData!$B:$O,7,0)))</f>
        <v>0</v>
      </c>
      <c r="N63" s="33">
        <f>IF(ISERROR(VLOOKUP($A63,ESPNData!$B:$O,9,0)),"",IF((VLOOKUP($A63,ESPNData!$B:$O,9,0)="--"),0,VLOOKUP($A63,ESPNData!$B:$O,9,0)))</f>
        <v>0</v>
      </c>
      <c r="O63" s="194">
        <f>IF(ISERROR(VLOOKUP($A63,ESPNData!$B:$O,10,0)),"",IF((VLOOKUP($A63,ESPNData!$B:$O,10,0)="--"),0,VLOOKUP($A63,ESPNData!$B:$O,10,0)))</f>
        <v>0</v>
      </c>
      <c r="P63" s="93" t="str">
        <f>IF(ISERROR(VLOOKUP($B63,SportslineData!$A:$O,4,0)),"",ROUND(VLOOKUP($B63,SportslineData!$A:$O,4,0),0))</f>
        <v/>
      </c>
      <c r="Q63" s="33" t="str">
        <f>IF(ISERROR(VLOOKUP($B63,SportslineData!$A:$O,5,0)),"",VLOOKUP($B63,SportslineData!$A:$O,5,0))</f>
        <v/>
      </c>
      <c r="R63" s="33" t="str">
        <f>IF(ISERROR(VLOOKUP($B63,SportslineData!$A:$O,6,0)),"",ROUND(VLOOKUP($B63,SportslineData!$A:$O,6,0),0))</f>
        <v/>
      </c>
      <c r="S63" s="33" t="str">
        <f>IF(ISERROR(VLOOKUP($B63,SportslineData!$A:$O,7,0)),"",ROUND(VLOOKUP($B63,SportslineData!$A:$O,7,0),0))</f>
        <v/>
      </c>
      <c r="T63" s="33" t="str">
        <f>IF(ISERROR(VLOOKUP($B63,SportslineData!$A:$O,11,0)),"",VLOOKUP($B63,SportslineData!$A:$O,11,0))</f>
        <v/>
      </c>
      <c r="U63" s="33" t="str">
        <f>IF(ISERROR(VLOOKUP($B63,SportslineData!$A:$O,13,0)),"",ROUND(VLOOKUP($B63,SportslineData!$A:$O,13,0),0))</f>
        <v/>
      </c>
      <c r="V63" s="64" t="str">
        <f>IF(ISERROR(VLOOKUP($B63,SportslineData!$A:$O,14,0)),"",ROUND(VLOOKUP($B63,SportslineData!$A:$O,14,0),0))</f>
        <v/>
      </c>
      <c r="W63" s="117"/>
      <c r="X63" s="33"/>
      <c r="Y63" s="38">
        <f>IF((E63=""),0,ROUND((((((ROUNDDOWN((E63/5),0)*Settings!$F$3)+(F63*Settings!$I$3))+(G63*Settings!$F$4))+(ROUNDDOWN((H63/5),0)*Settings!$F$7))+(I63*Settings!$I$7)),1))</f>
        <v>0</v>
      </c>
      <c r="Z63" s="38">
        <f>IF((K63=""),0,ROUND((((((ROUNDDOWN((K63/5),0)*Settings!$F$3)+(L63*Settings!$I$3))+(M63*Settings!$F$4))+(ROUNDDOWN((N63/5),0)*Settings!$F$7))+(O63*Settings!$I$7)),1))</f>
        <v>0</v>
      </c>
      <c r="AA63" s="38">
        <f>IF((Q63=""),0,ROUND(((((((ROUNDDOWN((Q63/5),0)*Settings!$F$3)+(R63*Settings!$I$3))+(S63*Settings!$F$4))+(ROUNDDOWN((T63/5),0)*Settings!$F$7))+(U63*Settings!$I$7))+(V63*Settings!$F$15)),1))</f>
        <v>0</v>
      </c>
      <c r="AB63" s="66">
        <f>ROUND((((Y63*Settings!$B$21)+(Z63*Settings!$B$22))+(AA63*Settings!$B$23)),1)</f>
        <v>0</v>
      </c>
      <c r="AC63" s="66">
        <f>IF(ISERROR(VLOOKUP(RANK(AB63,$AB$4:$AB$102),AC$4:AC62,1,0)),RANK(AB63,$AB$4:$AB$102),IF(ISERROR(VLOOKUP((RANK(AB63,$AB$4:$AB$102)+1),AC$4:AC62,1,0)),(RANK(AB63,$AB$4:$AB$102)+1),IF(ISERROR(VLOOKUP((RANK(AB63,$AB$4:$AB$102)+2),AC$4:AC62,1,0)),(RANK(AB63,$AB$4:$AB$102)+2),(RANK(AB63,$AB$4:$AB$102)+3))))</f>
        <v>68</v>
      </c>
      <c r="AD63" t="str">
        <f t="shared" si="5"/>
        <v>Ryan Nassib</v>
      </c>
    </row>
    <row r="64" spans="1:30" ht="12.75" customHeight="1">
      <c r="A64" s="33" t="str">
        <f>ESPNData!B65</f>
        <v>Matt Barkley, Phi QB</v>
      </c>
      <c r="B64" s="33" t="str">
        <f t="shared" si="3"/>
        <v>Matt Barkley</v>
      </c>
      <c r="C64" s="64" t="str">
        <f t="shared" si="4"/>
        <v>PHI</v>
      </c>
      <c r="D64" s="117" t="str">
        <f>IF(ISERROR(VLOOKUP($B64,FFTodayData!$B:$M,4,0)),"",VLOOKUP($B64,FFTodayData!$B:$M,4,0))</f>
        <v/>
      </c>
      <c r="E64" s="33" t="str">
        <f>IF(ISERROR(VLOOKUP($B64,FFTodayData!$B:$M,6,0)),"",VLOOKUP($B64,FFTodayData!$B:$M,6,0))</f>
        <v/>
      </c>
      <c r="F64" s="33" t="str">
        <f>IF(ISERROR(VLOOKUP($B64,FFTodayData!$B:$M,7,0)),"",VLOOKUP($B64,FFTodayData!$B:$M,7,0))</f>
        <v/>
      </c>
      <c r="G64" s="33" t="str">
        <f>IF(ISERROR(VLOOKUP($B64,FFTodayData!$B:$M,8,0)),"",VLOOKUP($B64,FFTodayData!$B:$M,8,0))</f>
        <v/>
      </c>
      <c r="H64" s="33" t="str">
        <f>IF(ISERROR(VLOOKUP($B64,FFTodayData!$B:$M,10,0)),"",VLOOKUP($B64,FFTodayData!$B:$M,10,0))</f>
        <v/>
      </c>
      <c r="I64" s="64" t="str">
        <f>IF(ISERROR(VLOOKUP($B64,FFTodayData!$B:$M,11,0)),"",VLOOKUP($B64,FFTodayData!$B:$M,11,0))</f>
        <v/>
      </c>
      <c r="J64" s="117">
        <f>VALUE(IF(ISERROR(VLOOKUP($A64,ESPNData!$B:$O,4,0)),"",IF((VLOOKUP($A64,ESPNData!$B:$O,4,0)="--/--"),0,LEFT(VLOOKUP($A64,ESPNData!$B:$O,4,0),(FIND("/",VLOOKUP($A64,ESPNData!$B:$O,4,0))-1)))))</f>
        <v>0</v>
      </c>
      <c r="K64" s="33">
        <f>IF(ISERROR(VLOOKUP($A64,ESPNData!$B:$O,5,0)),"",IF((VLOOKUP($A64,ESPNData!$B:$O,5,0)="--"),0,VLOOKUP($A64,ESPNData!$B:$O,5,0)))</f>
        <v>0</v>
      </c>
      <c r="L64" s="33">
        <f>IF(ISERROR(VLOOKUP($A64,ESPNData!$B:$O,6,0)),"",IF((VLOOKUP($A64,ESPNData!$B:$O,6,0)="--"),0,VLOOKUP($A64,ESPNData!$B:$O,6,0)))</f>
        <v>0</v>
      </c>
      <c r="M64" s="33">
        <f>IF(ISERROR(VLOOKUP($A64,ESPNData!$B:$O,7,0)),"",IF((VLOOKUP($A64,ESPNData!$B:$O,7,0)="--"),0,VLOOKUP($A64,ESPNData!$B:$O,7,0)))</f>
        <v>0</v>
      </c>
      <c r="N64" s="33">
        <f>IF(ISERROR(VLOOKUP($A64,ESPNData!$B:$O,9,0)),"",IF((VLOOKUP($A64,ESPNData!$B:$O,9,0)="--"),0,VLOOKUP($A64,ESPNData!$B:$O,9,0)))</f>
        <v>0</v>
      </c>
      <c r="O64" s="194">
        <f>IF(ISERROR(VLOOKUP($A64,ESPNData!$B:$O,10,0)),"",IF((VLOOKUP($A64,ESPNData!$B:$O,10,0)="--"),0,VLOOKUP($A64,ESPNData!$B:$O,10,0)))</f>
        <v>0</v>
      </c>
      <c r="P64" s="93" t="str">
        <f>IF(ISERROR(VLOOKUP($B64,SportslineData!$A:$O,4,0)),"",ROUND(VLOOKUP($B64,SportslineData!$A:$O,4,0),0))</f>
        <v/>
      </c>
      <c r="Q64" s="33" t="str">
        <f>IF(ISERROR(VLOOKUP($B64,SportslineData!$A:$O,5,0)),"",VLOOKUP($B64,SportslineData!$A:$O,5,0))</f>
        <v/>
      </c>
      <c r="R64" s="33" t="str">
        <f>IF(ISERROR(VLOOKUP($B64,SportslineData!$A:$O,6,0)),"",ROUND(VLOOKUP($B64,SportslineData!$A:$O,6,0),0))</f>
        <v/>
      </c>
      <c r="S64" s="33" t="str">
        <f>IF(ISERROR(VLOOKUP($B64,SportslineData!$A:$O,7,0)),"",ROUND(VLOOKUP($B64,SportslineData!$A:$O,7,0),0))</f>
        <v/>
      </c>
      <c r="T64" s="33" t="str">
        <f>IF(ISERROR(VLOOKUP($B64,SportslineData!$A:$O,11,0)),"",VLOOKUP($B64,SportslineData!$A:$O,11,0))</f>
        <v/>
      </c>
      <c r="U64" s="33" t="str">
        <f>IF(ISERROR(VLOOKUP($B64,SportslineData!$A:$O,13,0)),"",ROUND(VLOOKUP($B64,SportslineData!$A:$O,13,0),0))</f>
        <v/>
      </c>
      <c r="V64" s="64" t="str">
        <f>IF(ISERROR(VLOOKUP($B64,SportslineData!$A:$O,14,0)),"",ROUND(VLOOKUP($B64,SportslineData!$A:$O,14,0),0))</f>
        <v/>
      </c>
      <c r="W64" s="117"/>
      <c r="X64" s="33"/>
      <c r="Y64" s="38">
        <f>IF((E64=""),0,ROUND((((((ROUNDDOWN((E64/5),0)*Settings!$F$3)+(F64*Settings!$I$3))+(G64*Settings!$F$4))+(ROUNDDOWN((H64/5),0)*Settings!$F$7))+(I64*Settings!$I$7)),1))</f>
        <v>0</v>
      </c>
      <c r="Z64" s="38">
        <f>IF((K64=""),0,ROUND((((((ROUNDDOWN((K64/5),0)*Settings!$F$3)+(L64*Settings!$I$3))+(M64*Settings!$F$4))+(ROUNDDOWN((N64/5),0)*Settings!$F$7))+(O64*Settings!$I$7)),1))</f>
        <v>0</v>
      </c>
      <c r="AA64" s="38">
        <f>IF((Q64=""),0,ROUND(((((((ROUNDDOWN((Q64/5),0)*Settings!$F$3)+(R64*Settings!$I$3))+(S64*Settings!$F$4))+(ROUNDDOWN((T64/5),0)*Settings!$F$7))+(U64*Settings!$I$7))+(V64*Settings!$F$15)),1))</f>
        <v>0</v>
      </c>
      <c r="AB64" s="66">
        <f>ROUND((((Y64*Settings!$B$21)+(Z64*Settings!$B$22))+(AA64*Settings!$B$23)),1)</f>
        <v>0</v>
      </c>
      <c r="AC64" s="66">
        <f>IF(ISERROR(VLOOKUP(RANK(AB64,$AB$4:$AB$102),AC$4:AC63,1,0)),RANK(AB64,$AB$4:$AB$102),IF(ISERROR(VLOOKUP((RANK(AB64,$AB$4:$AB$102)+1),AC$4:AC63,1,0)),(RANK(AB64,$AB$4:$AB$102)+1),IF(ISERROR(VLOOKUP((RANK(AB64,$AB$4:$AB$102)+2),AC$4:AC63,1,0)),(RANK(AB64,$AB$4:$AB$102)+2),(RANK(AB64,$AB$4:$AB$102)+3))))</f>
        <v>69</v>
      </c>
      <c r="AD64" t="str">
        <f t="shared" si="5"/>
        <v>Matt Barkley</v>
      </c>
    </row>
    <row r="65" spans="1:30" ht="12.75" customHeight="1">
      <c r="A65" s="33" t="str">
        <f>ESPNData!B66</f>
        <v>Matt McGloin, Oak QB</v>
      </c>
      <c r="B65" s="33" t="str">
        <f t="shared" si="3"/>
        <v>Matt McGloin</v>
      </c>
      <c r="C65" s="64" t="str">
        <f t="shared" si="4"/>
        <v>OAK</v>
      </c>
      <c r="D65" s="117" t="str">
        <f>IF(ISERROR(VLOOKUP($B65,FFTodayData!$B:$M,4,0)),"",VLOOKUP($B65,FFTodayData!$B:$M,4,0))</f>
        <v/>
      </c>
      <c r="E65" s="33" t="str">
        <f>IF(ISERROR(VLOOKUP($B65,FFTodayData!$B:$M,6,0)),"",VLOOKUP($B65,FFTodayData!$B:$M,6,0))</f>
        <v/>
      </c>
      <c r="F65" s="33" t="str">
        <f>IF(ISERROR(VLOOKUP($B65,FFTodayData!$B:$M,7,0)),"",VLOOKUP($B65,FFTodayData!$B:$M,7,0))</f>
        <v/>
      </c>
      <c r="G65" s="33" t="str">
        <f>IF(ISERROR(VLOOKUP($B65,FFTodayData!$B:$M,8,0)),"",VLOOKUP($B65,FFTodayData!$B:$M,8,0))</f>
        <v/>
      </c>
      <c r="H65" s="33" t="str">
        <f>IF(ISERROR(VLOOKUP($B65,FFTodayData!$B:$M,10,0)),"",VLOOKUP($B65,FFTodayData!$B:$M,10,0))</f>
        <v/>
      </c>
      <c r="I65" s="64" t="str">
        <f>IF(ISERROR(VLOOKUP($B65,FFTodayData!$B:$M,11,0)),"",VLOOKUP($B65,FFTodayData!$B:$M,11,0))</f>
        <v/>
      </c>
      <c r="J65" s="117">
        <f>VALUE(IF(ISERROR(VLOOKUP($A65,ESPNData!$B:$O,4,0)),"",IF((VLOOKUP($A65,ESPNData!$B:$O,4,0)="--/--"),0,LEFT(VLOOKUP($A65,ESPNData!$B:$O,4,0),(FIND("/",VLOOKUP($A65,ESPNData!$B:$O,4,0))-1)))))</f>
        <v>0</v>
      </c>
      <c r="K65" s="33">
        <f>IF(ISERROR(VLOOKUP($A65,ESPNData!$B:$O,5,0)),"",IF((VLOOKUP($A65,ESPNData!$B:$O,5,0)="--"),0,VLOOKUP($A65,ESPNData!$B:$O,5,0)))</f>
        <v>0</v>
      </c>
      <c r="L65" s="33">
        <f>IF(ISERROR(VLOOKUP($A65,ESPNData!$B:$O,6,0)),"",IF((VLOOKUP($A65,ESPNData!$B:$O,6,0)="--"),0,VLOOKUP($A65,ESPNData!$B:$O,6,0)))</f>
        <v>0</v>
      </c>
      <c r="M65" s="33">
        <f>IF(ISERROR(VLOOKUP($A65,ESPNData!$B:$O,7,0)),"",IF((VLOOKUP($A65,ESPNData!$B:$O,7,0)="--"),0,VLOOKUP($A65,ESPNData!$B:$O,7,0)))</f>
        <v>0</v>
      </c>
      <c r="N65" s="33">
        <f>IF(ISERROR(VLOOKUP($A65,ESPNData!$B:$O,9,0)),"",IF((VLOOKUP($A65,ESPNData!$B:$O,9,0)="--"),0,VLOOKUP($A65,ESPNData!$B:$O,9,0)))</f>
        <v>0</v>
      </c>
      <c r="O65" s="194">
        <f>IF(ISERROR(VLOOKUP($A65,ESPNData!$B:$O,10,0)),"",IF((VLOOKUP($A65,ESPNData!$B:$O,10,0)="--"),0,VLOOKUP($A65,ESPNData!$B:$O,10,0)))</f>
        <v>0</v>
      </c>
      <c r="P65" s="93" t="str">
        <f>IF(ISERROR(VLOOKUP($B65,SportslineData!$A:$O,4,0)),"",ROUND(VLOOKUP($B65,SportslineData!$A:$O,4,0),0))</f>
        <v/>
      </c>
      <c r="Q65" s="33" t="str">
        <f>IF(ISERROR(VLOOKUP($B65,SportslineData!$A:$O,5,0)),"",VLOOKUP($B65,SportslineData!$A:$O,5,0))</f>
        <v/>
      </c>
      <c r="R65" s="33" t="str">
        <f>IF(ISERROR(VLOOKUP($B65,SportslineData!$A:$O,6,0)),"",ROUND(VLOOKUP($B65,SportslineData!$A:$O,6,0),0))</f>
        <v/>
      </c>
      <c r="S65" s="33" t="str">
        <f>IF(ISERROR(VLOOKUP($B65,SportslineData!$A:$O,7,0)),"",ROUND(VLOOKUP($B65,SportslineData!$A:$O,7,0),0))</f>
        <v/>
      </c>
      <c r="T65" s="33" t="str">
        <f>IF(ISERROR(VLOOKUP($B65,SportslineData!$A:$O,11,0)),"",VLOOKUP($B65,SportslineData!$A:$O,11,0))</f>
        <v/>
      </c>
      <c r="U65" s="33" t="str">
        <f>IF(ISERROR(VLOOKUP($B65,SportslineData!$A:$O,13,0)),"",ROUND(VLOOKUP($B65,SportslineData!$A:$O,13,0),0))</f>
        <v/>
      </c>
      <c r="V65" s="64" t="str">
        <f>IF(ISERROR(VLOOKUP($B65,SportslineData!$A:$O,14,0)),"",ROUND(VLOOKUP($B65,SportslineData!$A:$O,14,0),0))</f>
        <v/>
      </c>
      <c r="W65" s="117"/>
      <c r="X65" s="33"/>
      <c r="Y65" s="38">
        <f>IF((E65=""),0,ROUND((((((ROUNDDOWN((E65/5),0)*Settings!$F$3)+(F65*Settings!$I$3))+(G65*Settings!$F$4))+(ROUNDDOWN((H65/5),0)*Settings!$F$7))+(I65*Settings!$I$7)),1))</f>
        <v>0</v>
      </c>
      <c r="Z65" s="38">
        <f>IF((K65=""),0,ROUND((((((ROUNDDOWN((K65/5),0)*Settings!$F$3)+(L65*Settings!$I$3))+(M65*Settings!$F$4))+(ROUNDDOWN((N65/5),0)*Settings!$F$7))+(O65*Settings!$I$7)),1))</f>
        <v>0</v>
      </c>
      <c r="AA65" s="38">
        <f>IF((Q65=""),0,ROUND(((((((ROUNDDOWN((Q65/5),0)*Settings!$F$3)+(R65*Settings!$I$3))+(S65*Settings!$F$4))+(ROUNDDOWN((T65/5),0)*Settings!$F$7))+(U65*Settings!$I$7))+(V65*Settings!$F$15)),1))</f>
        <v>0</v>
      </c>
      <c r="AB65" s="66">
        <f>ROUND((((Y65*Settings!$B$21)+(Z65*Settings!$B$22))+(AA65*Settings!$B$23)),1)</f>
        <v>0</v>
      </c>
      <c r="AC65" s="66">
        <f>IF(ISERROR(VLOOKUP(RANK(AB65,$AB$4:$AB$102),AC$4:AC64,1,0)),RANK(AB65,$AB$4:$AB$102),IF(ISERROR(VLOOKUP((RANK(AB65,$AB$4:$AB$102)+1),AC$4:AC64,1,0)),(RANK(AB65,$AB$4:$AB$102)+1),IF(ISERROR(VLOOKUP((RANK(AB65,$AB$4:$AB$102)+2),AC$4:AC64,1,0)),(RANK(AB65,$AB$4:$AB$102)+2),(RANK(AB65,$AB$4:$AB$102)+3))))</f>
        <v>69</v>
      </c>
      <c r="AD65" t="str">
        <f t="shared" si="5"/>
        <v>Matt McGloin</v>
      </c>
    </row>
    <row r="66" spans="1:30" ht="12.75" customHeight="1">
      <c r="A66" s="33" t="str">
        <f>ESPNData!B67</f>
        <v>Charlie Whitehurst, Ten QB  P</v>
      </c>
      <c r="B66" s="33" t="str">
        <f t="shared" si="3"/>
        <v>Charlie Whitehurst</v>
      </c>
      <c r="C66" s="64" t="str">
        <f t="shared" si="4"/>
        <v>TEN</v>
      </c>
      <c r="D66" s="117">
        <f>IF(ISERROR(VLOOKUP($B66,FFTodayData!$B:$M,4,0)),"",VLOOKUP($B66,FFTodayData!$B:$M,4,0))</f>
        <v>122</v>
      </c>
      <c r="E66" s="33">
        <f>IF(ISERROR(VLOOKUP($B66,FFTodayData!$B:$M,6,0)),"",VLOOKUP($B66,FFTodayData!$B:$M,6,0))</f>
        <v>1355</v>
      </c>
      <c r="F66" s="33">
        <f>IF(ISERROR(VLOOKUP($B66,FFTodayData!$B:$M,7,0)),"",VLOOKUP($B66,FFTodayData!$B:$M,7,0))</f>
        <v>9</v>
      </c>
      <c r="G66" s="33">
        <f>IF(ISERROR(VLOOKUP($B66,FFTodayData!$B:$M,8,0)),"",VLOOKUP($B66,FFTodayData!$B:$M,8,0))</f>
        <v>5</v>
      </c>
      <c r="H66" s="33">
        <f>IF(ISERROR(VLOOKUP($B66,FFTodayData!$B:$M,10,0)),"",VLOOKUP($B66,FFTodayData!$B:$M,10,0))</f>
        <v>111</v>
      </c>
      <c r="I66" s="64">
        <f>IF(ISERROR(VLOOKUP($B66,FFTodayData!$B:$M,11,0)),"",VLOOKUP($B66,FFTodayData!$B:$M,11,0))</f>
        <v>0</v>
      </c>
      <c r="J66" s="117">
        <f>VALUE(IF(ISERROR(VLOOKUP($A66,ESPNData!$B:$O,4,0)),"",IF((VLOOKUP($A66,ESPNData!$B:$O,4,0)="--/--"),0,LEFT(VLOOKUP($A66,ESPNData!$B:$O,4,0),(FIND("/",VLOOKUP($A66,ESPNData!$B:$O,4,0))-1)))))</f>
        <v>36</v>
      </c>
      <c r="K66" s="33">
        <f>IF(ISERROR(VLOOKUP($A66,ESPNData!$B:$O,5,0)),"",IF((VLOOKUP($A66,ESPNData!$B:$O,5,0)="--"),0,VLOOKUP($A66,ESPNData!$B:$O,5,0)))</f>
        <v>380</v>
      </c>
      <c r="L66" s="33">
        <f>IF(ISERROR(VLOOKUP($A66,ESPNData!$B:$O,6,0)),"",IF((VLOOKUP($A66,ESPNData!$B:$O,6,0)="--"),0,VLOOKUP($A66,ESPNData!$B:$O,6,0)))</f>
        <v>2</v>
      </c>
      <c r="M66" s="33">
        <f>IF(ISERROR(VLOOKUP($A66,ESPNData!$B:$O,7,0)),"",IF((VLOOKUP($A66,ESPNData!$B:$O,7,0)="--"),0,VLOOKUP($A66,ESPNData!$B:$O,7,0)))</f>
        <v>3</v>
      </c>
      <c r="N66" s="33">
        <f>IF(ISERROR(VLOOKUP($A66,ESPNData!$B:$O,9,0)),"",IF((VLOOKUP($A66,ESPNData!$B:$O,9,0)="--"),0,VLOOKUP($A66,ESPNData!$B:$O,9,0)))</f>
        <v>18</v>
      </c>
      <c r="O66" s="194">
        <f>IF(ISERROR(VLOOKUP($A66,ESPNData!$B:$O,10,0)),"",IF((VLOOKUP($A66,ESPNData!$B:$O,10,0)="--"),0,VLOOKUP($A66,ESPNData!$B:$O,10,0)))</f>
        <v>0</v>
      </c>
      <c r="P66" s="93">
        <f>IF(ISERROR(VLOOKUP($B66,SportslineData!$A:$O,4,0)),"",ROUND(VLOOKUP($B66,SportslineData!$A:$O,4,0),0))</f>
        <v>30</v>
      </c>
      <c r="Q66" s="33">
        <f>IF(ISERROR(VLOOKUP($B66,SportslineData!$A:$O,5,0)),"",VLOOKUP($B66,SportslineData!$A:$O,5,0))</f>
        <v>302.5</v>
      </c>
      <c r="R66" s="33">
        <f>IF(ISERROR(VLOOKUP($B66,SportslineData!$A:$O,6,0)),"",ROUND(VLOOKUP($B66,SportslineData!$A:$O,6,0),0))</f>
        <v>2</v>
      </c>
      <c r="S66" s="33">
        <f>IF(ISERROR(VLOOKUP($B66,SportslineData!$A:$O,7,0)),"",ROUND(VLOOKUP($B66,SportslineData!$A:$O,7,0),0))</f>
        <v>2</v>
      </c>
      <c r="T66" s="33">
        <f>IF(ISERROR(VLOOKUP($B66,SportslineData!$A:$O,11,0)),"",VLOOKUP($B66,SportslineData!$A:$O,11,0))</f>
        <v>17.5</v>
      </c>
      <c r="U66" s="33">
        <f>IF(ISERROR(VLOOKUP($B66,SportslineData!$A:$O,13,0)),"",ROUND(VLOOKUP($B66,SportslineData!$A:$O,13,0),0))</f>
        <v>0</v>
      </c>
      <c r="V66" s="64">
        <f>IF(ISERROR(VLOOKUP($B66,SportslineData!$A:$O,14,0)),"",ROUND(VLOOKUP($B66,SportslineData!$A:$O,14,0),0))</f>
        <v>1</v>
      </c>
      <c r="W66" s="117"/>
      <c r="X66" s="33"/>
      <c r="Y66" s="38">
        <f>IF((E66=""),0,ROUND((((((ROUNDDOWN((E66/5),0)*Settings!$F$3)+(F66*Settings!$I$3))+(G66*Settings!$F$4))+(ROUNDDOWN((H66/5),0)*Settings!$F$7))+(I66*Settings!$I$7)),1))</f>
        <v>109.2</v>
      </c>
      <c r="Z66" s="38">
        <f>IF((K66=""),0,ROUND((((((ROUNDDOWN((K66/5),0)*Settings!$F$3)+(L66*Settings!$I$3))+(M66*Settings!$F$4))+(ROUNDDOWN((N66/5),0)*Settings!$F$7))+(O66*Settings!$I$7)),1))</f>
        <v>22.7</v>
      </c>
      <c r="AA66" s="38">
        <f>IF((Q66=""),0,ROUND(((((((ROUNDDOWN((Q66/5),0)*Settings!$F$3)+(R66*Settings!$I$3))+(S66*Settings!$F$4))+(ROUNDDOWN((T66/5),0)*Settings!$F$7))+(U66*Settings!$I$7))+(V66*Settings!$F$15)),1))</f>
        <v>20.5</v>
      </c>
      <c r="AB66" s="66">
        <f>ROUND((((Y66*Settings!$B$21)+(Z66*Settings!$B$22))+(AA66*Settings!$B$23)),1)</f>
        <v>50.5</v>
      </c>
      <c r="AC66" s="66">
        <f>IF(ISERROR(VLOOKUP(RANK(AB66,$AB$4:$AB$102),AC$4:AC65,1,0)),RANK(AB66,$AB$4:$AB$102),IF(ISERROR(VLOOKUP((RANK(AB66,$AB$4:$AB$102)+1),AC$4:AC65,1,0)),(RANK(AB66,$AB$4:$AB$102)+1),IF(ISERROR(VLOOKUP((RANK(AB66,$AB$4:$AB$102)+2),AC$4:AC65,1,0)),(RANK(AB66,$AB$4:$AB$102)+2),(RANK(AB66,$AB$4:$AB$102)+3))))</f>
        <v>37</v>
      </c>
      <c r="AD66" t="str">
        <f t="shared" si="5"/>
        <v>Charlie Whitehurst</v>
      </c>
    </row>
    <row r="67" spans="1:30" ht="12.75" customHeight="1">
      <c r="A67" s="33" t="str">
        <f>ESPNData!B68</f>
        <v>AJ McCarron, Cin QB  Q</v>
      </c>
      <c r="B67" s="33" t="str">
        <f t="shared" si="3"/>
        <v>AJ McCarron</v>
      </c>
      <c r="C67" s="64" t="str">
        <f t="shared" si="4"/>
        <v>CIN</v>
      </c>
      <c r="D67" s="117" t="str">
        <f>IF(ISERROR(VLOOKUP($B67,FFTodayData!$B:$M,4,0)),"",VLOOKUP($B67,FFTodayData!$B:$M,4,0))</f>
        <v/>
      </c>
      <c r="E67" s="33" t="str">
        <f>IF(ISERROR(VLOOKUP($B67,FFTodayData!$B:$M,6,0)),"",VLOOKUP($B67,FFTodayData!$B:$M,6,0))</f>
        <v/>
      </c>
      <c r="F67" s="33" t="str">
        <f>IF(ISERROR(VLOOKUP($B67,FFTodayData!$B:$M,7,0)),"",VLOOKUP($B67,FFTodayData!$B:$M,7,0))</f>
        <v/>
      </c>
      <c r="G67" s="33" t="str">
        <f>IF(ISERROR(VLOOKUP($B67,FFTodayData!$B:$M,8,0)),"",VLOOKUP($B67,FFTodayData!$B:$M,8,0))</f>
        <v/>
      </c>
      <c r="H67" s="33" t="str">
        <f>IF(ISERROR(VLOOKUP($B67,FFTodayData!$B:$M,10,0)),"",VLOOKUP($B67,FFTodayData!$B:$M,10,0))</f>
        <v/>
      </c>
      <c r="I67" s="64" t="str">
        <f>IF(ISERROR(VLOOKUP($B67,FFTodayData!$B:$M,11,0)),"",VLOOKUP($B67,FFTodayData!$B:$M,11,0))</f>
        <v/>
      </c>
      <c r="J67" s="117">
        <f>VALUE(IF(ISERROR(VLOOKUP($A67,ESPNData!$B:$O,4,0)),"",IF((VLOOKUP($A67,ESPNData!$B:$O,4,0)="--/--"),0,LEFT(VLOOKUP($A67,ESPNData!$B:$O,4,0),(FIND("/",VLOOKUP($A67,ESPNData!$B:$O,4,0))-1)))))</f>
        <v>0</v>
      </c>
      <c r="K67" s="33">
        <f>IF(ISERROR(VLOOKUP($A67,ESPNData!$B:$O,5,0)),"",IF((VLOOKUP($A67,ESPNData!$B:$O,5,0)="--"),0,VLOOKUP($A67,ESPNData!$B:$O,5,0)))</f>
        <v>0</v>
      </c>
      <c r="L67" s="33">
        <f>IF(ISERROR(VLOOKUP($A67,ESPNData!$B:$O,6,0)),"",IF((VLOOKUP($A67,ESPNData!$B:$O,6,0)="--"),0,VLOOKUP($A67,ESPNData!$B:$O,6,0)))</f>
        <v>0</v>
      </c>
      <c r="M67" s="33">
        <f>IF(ISERROR(VLOOKUP($A67,ESPNData!$B:$O,7,0)),"",IF((VLOOKUP($A67,ESPNData!$B:$O,7,0)="--"),0,VLOOKUP($A67,ESPNData!$B:$O,7,0)))</f>
        <v>0</v>
      </c>
      <c r="N67" s="33">
        <f>IF(ISERROR(VLOOKUP($A67,ESPNData!$B:$O,9,0)),"",IF((VLOOKUP($A67,ESPNData!$B:$O,9,0)="--"),0,VLOOKUP($A67,ESPNData!$B:$O,9,0)))</f>
        <v>0</v>
      </c>
      <c r="O67" s="194">
        <f>IF(ISERROR(VLOOKUP($A67,ESPNData!$B:$O,10,0)),"",IF((VLOOKUP($A67,ESPNData!$B:$O,10,0)="--"),0,VLOOKUP($A67,ESPNData!$B:$O,10,0)))</f>
        <v>0</v>
      </c>
      <c r="P67" s="93" t="str">
        <f>IF(ISERROR(VLOOKUP($B67,SportslineData!$A:$O,4,0)),"",ROUND(VLOOKUP($B67,SportslineData!$A:$O,4,0),0))</f>
        <v/>
      </c>
      <c r="Q67" s="33" t="str">
        <f>IF(ISERROR(VLOOKUP($B67,SportslineData!$A:$O,5,0)),"",VLOOKUP($B67,SportslineData!$A:$O,5,0))</f>
        <v/>
      </c>
      <c r="R67" s="33" t="str">
        <f>IF(ISERROR(VLOOKUP($B67,SportslineData!$A:$O,6,0)),"",ROUND(VLOOKUP($B67,SportslineData!$A:$O,6,0),0))</f>
        <v/>
      </c>
      <c r="S67" s="33" t="str">
        <f>IF(ISERROR(VLOOKUP($B67,SportslineData!$A:$O,7,0)),"",ROUND(VLOOKUP($B67,SportslineData!$A:$O,7,0),0))</f>
        <v/>
      </c>
      <c r="T67" s="33" t="str">
        <f>IF(ISERROR(VLOOKUP($B67,SportslineData!$A:$O,11,0)),"",VLOOKUP($B67,SportslineData!$A:$O,11,0))</f>
        <v/>
      </c>
      <c r="U67" s="33" t="str">
        <f>IF(ISERROR(VLOOKUP($B67,SportslineData!$A:$O,13,0)),"",ROUND(VLOOKUP($B67,SportslineData!$A:$O,13,0),0))</f>
        <v/>
      </c>
      <c r="V67" s="64" t="str">
        <f>IF(ISERROR(VLOOKUP($B67,SportslineData!$A:$O,14,0)),"",ROUND(VLOOKUP($B67,SportslineData!$A:$O,14,0),0))</f>
        <v/>
      </c>
      <c r="W67" s="117"/>
      <c r="X67" s="33"/>
      <c r="Y67" s="38">
        <f>IF((E67=""),0,ROUND((((((ROUNDDOWN((E67/5),0)*Settings!$F$3)+(F67*Settings!$I$3))+(G67*Settings!$F$4))+(ROUNDDOWN((H67/5),0)*Settings!$F$7))+(I67*Settings!$I$7)),1))</f>
        <v>0</v>
      </c>
      <c r="Z67" s="38">
        <f>IF((K67=""),0,ROUND((((((ROUNDDOWN((K67/5),0)*Settings!$F$3)+(L67*Settings!$I$3))+(M67*Settings!$F$4))+(ROUNDDOWN((N67/5),0)*Settings!$F$7))+(O67*Settings!$I$7)),1))</f>
        <v>0</v>
      </c>
      <c r="AA67" s="38">
        <f>IF((Q67=""),0,ROUND(((((((ROUNDDOWN((Q67/5),0)*Settings!$F$3)+(R67*Settings!$I$3))+(S67*Settings!$F$4))+(ROUNDDOWN((T67/5),0)*Settings!$F$7))+(U67*Settings!$I$7))+(V67*Settings!$F$15)),1))</f>
        <v>0</v>
      </c>
      <c r="AB67" s="66">
        <f>ROUND((((Y67*Settings!$B$21)+(Z67*Settings!$B$22))+(AA67*Settings!$B$23)),1)</f>
        <v>0</v>
      </c>
      <c r="AC67" s="66">
        <f>IF(ISERROR(VLOOKUP(RANK(AB67,$AB$4:$AB$102),AC$4:AC66,1,0)),RANK(AB67,$AB$4:$AB$102),IF(ISERROR(VLOOKUP((RANK(AB67,$AB$4:$AB$102)+1),AC$4:AC66,1,0)),(RANK(AB67,$AB$4:$AB$102)+1),IF(ISERROR(VLOOKUP((RANK(AB67,$AB$4:$AB$102)+2),AC$4:AC66,1,0)),(RANK(AB67,$AB$4:$AB$102)+2),(RANK(AB67,$AB$4:$AB$102)+3))))</f>
        <v>69</v>
      </c>
      <c r="AD67" t="str">
        <f t="shared" si="5"/>
        <v>AJ McCarron</v>
      </c>
    </row>
    <row r="68" spans="1:30" ht="12.75" customHeight="1">
      <c r="A68" s="33" t="str">
        <f>ESPNData!B69</f>
        <v>Drew Stanton, Ari QB</v>
      </c>
      <c r="B68" s="33" t="str">
        <f t="shared" ref="B68:B99" si="6">IF(OR((A68=""),(A68=0)),"",IF(ISERROR(FIND("*",A68)),LEFT(A68,(FIND(",",A68)-1)),LEFT(A68,(FIND("*",A68)-1))))</f>
        <v>Drew Stanton</v>
      </c>
      <c r="C68" s="64" t="str">
        <f t="shared" ref="C68:C102" si="7">IF((A68=""),"",UPPER(RIGHT(LEFT(A68,(FIND("QB",A68)-2)),(LEN(LEFT(A68,(FIND("QB",A68)-2)))-(FIND(",",LEFT(A68,(FIND("QB",A68)-2)))+1)))))</f>
        <v>ARI</v>
      </c>
      <c r="D68" s="117" t="str">
        <f>IF(ISERROR(VLOOKUP($B68,FFTodayData!$B:$M,4,0)),"",VLOOKUP($B68,FFTodayData!$B:$M,4,0))</f>
        <v/>
      </c>
      <c r="E68" s="33" t="str">
        <f>IF(ISERROR(VLOOKUP($B68,FFTodayData!$B:$M,6,0)),"",VLOOKUP($B68,FFTodayData!$B:$M,6,0))</f>
        <v/>
      </c>
      <c r="F68" s="33" t="str">
        <f>IF(ISERROR(VLOOKUP($B68,FFTodayData!$B:$M,7,0)),"",VLOOKUP($B68,FFTodayData!$B:$M,7,0))</f>
        <v/>
      </c>
      <c r="G68" s="33" t="str">
        <f>IF(ISERROR(VLOOKUP($B68,FFTodayData!$B:$M,8,0)),"",VLOOKUP($B68,FFTodayData!$B:$M,8,0))</f>
        <v/>
      </c>
      <c r="H68" s="33" t="str">
        <f>IF(ISERROR(VLOOKUP($B68,FFTodayData!$B:$M,10,0)),"",VLOOKUP($B68,FFTodayData!$B:$M,10,0))</f>
        <v/>
      </c>
      <c r="I68" s="64" t="str">
        <f>IF(ISERROR(VLOOKUP($B68,FFTodayData!$B:$M,11,0)),"",VLOOKUP($B68,FFTodayData!$B:$M,11,0))</f>
        <v/>
      </c>
      <c r="J68" s="117">
        <f>VALUE(IF(ISERROR(VLOOKUP($A68,ESPNData!$B:$O,4,0)),"",IF((VLOOKUP($A68,ESPNData!$B:$O,4,0)="--/--"),0,LEFT(VLOOKUP($A68,ESPNData!$B:$O,4,0),(FIND("/",VLOOKUP($A68,ESPNData!$B:$O,4,0))-1)))))</f>
        <v>0</v>
      </c>
      <c r="K68" s="33">
        <f>IF(ISERROR(VLOOKUP($A68,ESPNData!$B:$O,5,0)),"",IF((VLOOKUP($A68,ESPNData!$B:$O,5,0)="--"),0,VLOOKUP($A68,ESPNData!$B:$O,5,0)))</f>
        <v>0</v>
      </c>
      <c r="L68" s="33">
        <f>IF(ISERROR(VLOOKUP($A68,ESPNData!$B:$O,6,0)),"",IF((VLOOKUP($A68,ESPNData!$B:$O,6,0)="--"),0,VLOOKUP($A68,ESPNData!$B:$O,6,0)))</f>
        <v>0</v>
      </c>
      <c r="M68" s="33">
        <f>IF(ISERROR(VLOOKUP($A68,ESPNData!$B:$O,7,0)),"",IF((VLOOKUP($A68,ESPNData!$B:$O,7,0)="--"),0,VLOOKUP($A68,ESPNData!$B:$O,7,0)))</f>
        <v>0</v>
      </c>
      <c r="N68" s="33">
        <f>IF(ISERROR(VLOOKUP($A68,ESPNData!$B:$O,9,0)),"",IF((VLOOKUP($A68,ESPNData!$B:$O,9,0)="--"),0,VLOOKUP($A68,ESPNData!$B:$O,9,0)))</f>
        <v>0</v>
      </c>
      <c r="O68" s="194">
        <f>IF(ISERROR(VLOOKUP($A68,ESPNData!$B:$O,10,0)),"",IF((VLOOKUP($A68,ESPNData!$B:$O,10,0)="--"),0,VLOOKUP($A68,ESPNData!$B:$O,10,0)))</f>
        <v>0</v>
      </c>
      <c r="P68" s="93" t="str">
        <f>IF(ISERROR(VLOOKUP($B68,SportslineData!$A:$O,4,0)),"",ROUND(VLOOKUP($B68,SportslineData!$A:$O,4,0),0))</f>
        <v/>
      </c>
      <c r="Q68" s="33" t="str">
        <f>IF(ISERROR(VLOOKUP($B68,SportslineData!$A:$O,5,0)),"",VLOOKUP($B68,SportslineData!$A:$O,5,0))</f>
        <v/>
      </c>
      <c r="R68" s="33" t="str">
        <f>IF(ISERROR(VLOOKUP($B68,SportslineData!$A:$O,6,0)),"",ROUND(VLOOKUP($B68,SportslineData!$A:$O,6,0),0))</f>
        <v/>
      </c>
      <c r="S68" s="33" t="str">
        <f>IF(ISERROR(VLOOKUP($B68,SportslineData!$A:$O,7,0)),"",ROUND(VLOOKUP($B68,SportslineData!$A:$O,7,0),0))</f>
        <v/>
      </c>
      <c r="T68" s="33" t="str">
        <f>IF(ISERROR(VLOOKUP($B68,SportslineData!$A:$O,11,0)),"",VLOOKUP($B68,SportslineData!$A:$O,11,0))</f>
        <v/>
      </c>
      <c r="U68" s="33" t="str">
        <f>IF(ISERROR(VLOOKUP($B68,SportslineData!$A:$O,13,0)),"",ROUND(VLOOKUP($B68,SportslineData!$A:$O,13,0),0))</f>
        <v/>
      </c>
      <c r="V68" s="64" t="str">
        <f>IF(ISERROR(VLOOKUP($B68,SportslineData!$A:$O,14,0)),"",ROUND(VLOOKUP($B68,SportslineData!$A:$O,14,0),0))</f>
        <v/>
      </c>
      <c r="W68" s="117"/>
      <c r="X68" s="33"/>
      <c r="Y68" s="38">
        <f>IF((E68=""),0,ROUND((((((ROUNDDOWN((E68/5),0)*Settings!$F$3)+(F68*Settings!$I$3))+(G68*Settings!$F$4))+(ROUNDDOWN((H68/5),0)*Settings!$F$7))+(I68*Settings!$I$7)),1))</f>
        <v>0</v>
      </c>
      <c r="Z68" s="38">
        <f>IF((K68=""),0,ROUND((((((ROUNDDOWN((K68/5),0)*Settings!$F$3)+(L68*Settings!$I$3))+(M68*Settings!$F$4))+(ROUNDDOWN((N68/5),0)*Settings!$F$7))+(O68*Settings!$I$7)),1))</f>
        <v>0</v>
      </c>
      <c r="AA68" s="38">
        <f>IF((Q68=""),0,ROUND(((((((ROUNDDOWN((Q68/5),0)*Settings!$F$3)+(R68*Settings!$I$3))+(S68*Settings!$F$4))+(ROUNDDOWN((T68/5),0)*Settings!$F$7))+(U68*Settings!$I$7))+(V68*Settings!$F$15)),1))</f>
        <v>0</v>
      </c>
      <c r="AB68" s="66">
        <f>ROUND((((Y68*Settings!$B$21)+(Z68*Settings!$B$22))+(AA68*Settings!$B$23)),1)</f>
        <v>0</v>
      </c>
      <c r="AC68" s="66">
        <f>IF(ISERROR(VLOOKUP(RANK(AB68,$AB$4:$AB$102),AC$4:AC67,1,0)),RANK(AB68,$AB$4:$AB$102),IF(ISERROR(VLOOKUP((RANK(AB68,$AB$4:$AB$102)+1),AC$4:AC67,1,0)),(RANK(AB68,$AB$4:$AB$102)+1),IF(ISERROR(VLOOKUP((RANK(AB68,$AB$4:$AB$102)+2),AC$4:AC67,1,0)),(RANK(AB68,$AB$4:$AB$102)+2),(RANK(AB68,$AB$4:$AB$102)+3))))</f>
        <v>69</v>
      </c>
      <c r="AD68" t="str">
        <f t="shared" ref="AD68:AD102" si="8">B68</f>
        <v>Drew Stanton</v>
      </c>
    </row>
    <row r="69" spans="1:30" ht="12.75" customHeight="1">
      <c r="A69" s="33" t="str">
        <f>ESPNData!B70</f>
        <v>Chase Daniel, KC QB</v>
      </c>
      <c r="B69" s="33" t="str">
        <f t="shared" si="6"/>
        <v>Chase Daniel</v>
      </c>
      <c r="C69" s="64" t="str">
        <f t="shared" si="7"/>
        <v>KC</v>
      </c>
      <c r="D69" s="117">
        <f>IF(ISERROR(VLOOKUP($B69,FFTodayData!$B:$M,4,0)),"",VLOOKUP($B69,FFTodayData!$B:$M,4,0))</f>
        <v>22</v>
      </c>
      <c r="E69" s="33">
        <f>IF(ISERROR(VLOOKUP($B69,FFTodayData!$B:$M,6,0)),"",VLOOKUP($B69,FFTodayData!$B:$M,6,0))</f>
        <v>249</v>
      </c>
      <c r="F69" s="33">
        <f>IF(ISERROR(VLOOKUP($B69,FFTodayData!$B:$M,7,0)),"",VLOOKUP($B69,FFTodayData!$B:$M,7,0))</f>
        <v>1</v>
      </c>
      <c r="G69" s="33">
        <f>IF(ISERROR(VLOOKUP($B69,FFTodayData!$B:$M,8,0)),"",VLOOKUP($B69,FFTodayData!$B:$M,8,0))</f>
        <v>1</v>
      </c>
      <c r="H69" s="33">
        <f>IF(ISERROR(VLOOKUP($B69,FFTodayData!$B:$M,10,0)),"",VLOOKUP($B69,FFTodayData!$B:$M,10,0))</f>
        <v>8</v>
      </c>
      <c r="I69" s="64">
        <f>IF(ISERROR(VLOOKUP($B69,FFTodayData!$B:$M,11,0)),"",VLOOKUP($B69,FFTodayData!$B:$M,11,0))</f>
        <v>0</v>
      </c>
      <c r="J69" s="117" t="e">
        <f>VALUE(IF(ISERROR(VLOOKUP($A69,ESPNData!$B:$O,4,0)),"",IF((VLOOKUP($A69,ESPNData!$B:$O,4,0)="--/--"),0,LEFT(VLOOKUP($A69,ESPNData!$B:$O,4,0),(FIND("/",VLOOKUP($A69,ESPNData!$B:$O,4,0))-1)))))</f>
        <v>#VALUE!</v>
      </c>
      <c r="K69" s="33">
        <f>IF(ISERROR(VLOOKUP($A69,ESPNData!$B:$O,5,0)),"",IF((VLOOKUP($A69,ESPNData!$B:$O,5,0)="--"),0,VLOOKUP($A69,ESPNData!$B:$O,5,0)))</f>
        <v>28</v>
      </c>
      <c r="L69" s="33">
        <f>IF(ISERROR(VLOOKUP($A69,ESPNData!$B:$O,6,0)),"",IF((VLOOKUP($A69,ESPNData!$B:$O,6,0)="--"),0,VLOOKUP($A69,ESPNData!$B:$O,6,0)))</f>
        <v>0</v>
      </c>
      <c r="M69" s="33">
        <f>IF(ISERROR(VLOOKUP($A69,ESPNData!$B:$O,7,0)),"",IF((VLOOKUP($A69,ESPNData!$B:$O,7,0)="--"),0,VLOOKUP($A69,ESPNData!$B:$O,7,0)))</f>
        <v>0</v>
      </c>
      <c r="N69" s="33">
        <f>IF(ISERROR(VLOOKUP($A69,ESPNData!$B:$O,9,0)),"",IF((VLOOKUP($A69,ESPNData!$B:$O,9,0)="--"),0,VLOOKUP($A69,ESPNData!$B:$O,9,0)))</f>
        <v>-2</v>
      </c>
      <c r="O69" s="194">
        <f>IF(ISERROR(VLOOKUP($A69,ESPNData!$B:$O,10,0)),"",IF((VLOOKUP($A69,ESPNData!$B:$O,10,0)="--"),0,VLOOKUP($A69,ESPNData!$B:$O,10,0)))</f>
        <v>0</v>
      </c>
      <c r="P69" s="93" t="str">
        <f>IF(ISERROR(VLOOKUP($B69,SportslineData!$A:$O,4,0)),"",ROUND(VLOOKUP($B69,SportslineData!$A:$O,4,0),0))</f>
        <v/>
      </c>
      <c r="Q69" s="33" t="str">
        <f>IF(ISERROR(VLOOKUP($B69,SportslineData!$A:$O,5,0)),"",VLOOKUP($B69,SportslineData!$A:$O,5,0))</f>
        <v/>
      </c>
      <c r="R69" s="33" t="str">
        <f>IF(ISERROR(VLOOKUP($B69,SportslineData!$A:$O,6,0)),"",ROUND(VLOOKUP($B69,SportslineData!$A:$O,6,0),0))</f>
        <v/>
      </c>
      <c r="S69" s="33" t="str">
        <f>IF(ISERROR(VLOOKUP($B69,SportslineData!$A:$O,7,0)),"",ROUND(VLOOKUP($B69,SportslineData!$A:$O,7,0),0))</f>
        <v/>
      </c>
      <c r="T69" s="33" t="str">
        <f>IF(ISERROR(VLOOKUP($B69,SportslineData!$A:$O,11,0)),"",VLOOKUP($B69,SportslineData!$A:$O,11,0))</f>
        <v/>
      </c>
      <c r="U69" s="33" t="str">
        <f>IF(ISERROR(VLOOKUP($B69,SportslineData!$A:$O,13,0)),"",ROUND(VLOOKUP($B69,SportslineData!$A:$O,13,0),0))</f>
        <v/>
      </c>
      <c r="V69" s="64" t="str">
        <f>IF(ISERROR(VLOOKUP($B69,SportslineData!$A:$O,14,0)),"",ROUND(VLOOKUP($B69,SportslineData!$A:$O,14,0),0))</f>
        <v/>
      </c>
      <c r="W69" s="117"/>
      <c r="X69" s="33"/>
      <c r="Y69" s="38">
        <f>IF((E69=""),0,ROUND((((((ROUNDDOWN((E69/5),0)*Settings!$F$3)+(F69*Settings!$I$3))+(G69*Settings!$F$4))+(ROUNDDOWN((H69/5),0)*Settings!$F$7))+(I69*Settings!$I$7)),1))</f>
        <v>14.3</v>
      </c>
      <c r="Z69" s="38">
        <f>IF((K69=""),0,ROUND((((((ROUNDDOWN((K69/5),0)*Settings!$F$3)+(L69*Settings!$I$3))+(M69*Settings!$F$4))+(ROUNDDOWN((N69/5),0)*Settings!$F$7))+(O69*Settings!$I$7)),1))</f>
        <v>1</v>
      </c>
      <c r="AA69" s="38">
        <f>IF((Q69=""),0,ROUND(((((((ROUNDDOWN((Q69/5),0)*Settings!$F$3)+(R69*Settings!$I$3))+(S69*Settings!$F$4))+(ROUNDDOWN((T69/5),0)*Settings!$F$7))+(U69*Settings!$I$7))+(V69*Settings!$F$15)),1))</f>
        <v>0</v>
      </c>
      <c r="AB69" s="66">
        <f>ROUND((((Y69*Settings!$B$21)+(Z69*Settings!$B$22))+(AA69*Settings!$B$23)),1)</f>
        <v>5</v>
      </c>
      <c r="AC69" s="66">
        <f>IF(ISERROR(VLOOKUP(RANK(AB69,$AB$4:$AB$102),AC$4:AC68,1,0)),RANK(AB69,$AB$4:$AB$102),IF(ISERROR(VLOOKUP((RANK(AB69,$AB$4:$AB$102)+1),AC$4:AC68,1,0)),(RANK(AB69,$AB$4:$AB$102)+1),IF(ISERROR(VLOOKUP((RANK(AB69,$AB$4:$AB$102)+2),AC$4:AC68,1,0)),(RANK(AB69,$AB$4:$AB$102)+2),(RANK(AB69,$AB$4:$AB$102)+3))))</f>
        <v>55</v>
      </c>
      <c r="AD69" t="str">
        <f t="shared" si="8"/>
        <v>Chase Daniel</v>
      </c>
    </row>
    <row r="70" spans="1:30" ht="12.75" customHeight="1">
      <c r="A70" s="33" t="str">
        <f>ESPNData!B71</f>
        <v>Jordan Palmer, Chi QB</v>
      </c>
      <c r="B70" s="33" t="str">
        <f t="shared" si="6"/>
        <v>Jordan Palmer</v>
      </c>
      <c r="C70" s="64" t="str">
        <f t="shared" si="7"/>
        <v>CHI</v>
      </c>
      <c r="D70" s="117" t="str">
        <f>IF(ISERROR(VLOOKUP($B70,FFTodayData!$B:$M,4,0)),"",VLOOKUP($B70,FFTodayData!$B:$M,4,0))</f>
        <v/>
      </c>
      <c r="E70" s="33" t="str">
        <f>IF(ISERROR(VLOOKUP($B70,FFTodayData!$B:$M,6,0)),"",VLOOKUP($B70,FFTodayData!$B:$M,6,0))</f>
        <v/>
      </c>
      <c r="F70" s="33" t="str">
        <f>IF(ISERROR(VLOOKUP($B70,FFTodayData!$B:$M,7,0)),"",VLOOKUP($B70,FFTodayData!$B:$M,7,0))</f>
        <v/>
      </c>
      <c r="G70" s="33" t="str">
        <f>IF(ISERROR(VLOOKUP($B70,FFTodayData!$B:$M,8,0)),"",VLOOKUP($B70,FFTodayData!$B:$M,8,0))</f>
        <v/>
      </c>
      <c r="H70" s="33" t="str">
        <f>IF(ISERROR(VLOOKUP($B70,FFTodayData!$B:$M,10,0)),"",VLOOKUP($B70,FFTodayData!$B:$M,10,0))</f>
        <v/>
      </c>
      <c r="I70" s="64" t="str">
        <f>IF(ISERROR(VLOOKUP($B70,FFTodayData!$B:$M,11,0)),"",VLOOKUP($B70,FFTodayData!$B:$M,11,0))</f>
        <v/>
      </c>
      <c r="J70" s="117">
        <f>VALUE(IF(ISERROR(VLOOKUP($A70,ESPNData!$B:$O,4,0)),"",IF((VLOOKUP($A70,ESPNData!$B:$O,4,0)="--/--"),0,LEFT(VLOOKUP($A70,ESPNData!$B:$O,4,0),(FIND("/",VLOOKUP($A70,ESPNData!$B:$O,4,0))-1)))))</f>
        <v>0</v>
      </c>
      <c r="K70" s="33">
        <f>IF(ISERROR(VLOOKUP($A70,ESPNData!$B:$O,5,0)),"",IF((VLOOKUP($A70,ESPNData!$B:$O,5,0)="--"),0,VLOOKUP($A70,ESPNData!$B:$O,5,0)))</f>
        <v>0</v>
      </c>
      <c r="L70" s="33">
        <f>IF(ISERROR(VLOOKUP($A70,ESPNData!$B:$O,6,0)),"",IF((VLOOKUP($A70,ESPNData!$B:$O,6,0)="--"),0,VLOOKUP($A70,ESPNData!$B:$O,6,0)))</f>
        <v>0</v>
      </c>
      <c r="M70" s="33">
        <f>IF(ISERROR(VLOOKUP($A70,ESPNData!$B:$O,7,0)),"",IF((VLOOKUP($A70,ESPNData!$B:$O,7,0)="--"),0,VLOOKUP($A70,ESPNData!$B:$O,7,0)))</f>
        <v>0</v>
      </c>
      <c r="N70" s="33">
        <f>IF(ISERROR(VLOOKUP($A70,ESPNData!$B:$O,9,0)),"",IF((VLOOKUP($A70,ESPNData!$B:$O,9,0)="--"),0,VLOOKUP($A70,ESPNData!$B:$O,9,0)))</f>
        <v>0</v>
      </c>
      <c r="O70" s="194">
        <f>IF(ISERROR(VLOOKUP($A70,ESPNData!$B:$O,10,0)),"",IF((VLOOKUP($A70,ESPNData!$B:$O,10,0)="--"),0,VLOOKUP($A70,ESPNData!$B:$O,10,0)))</f>
        <v>0</v>
      </c>
      <c r="P70" s="93">
        <f>IF(ISERROR(VLOOKUP($B70,SportslineData!$A:$O,4,0)),"",ROUND(VLOOKUP($B70,SportslineData!$A:$O,4,0),0))</f>
        <v>47</v>
      </c>
      <c r="Q70" s="33">
        <f>IF(ISERROR(VLOOKUP($B70,SportslineData!$A:$O,5,0)),"",VLOOKUP($B70,SportslineData!$A:$O,5,0))</f>
        <v>539.5</v>
      </c>
      <c r="R70" s="33">
        <f>IF(ISERROR(VLOOKUP($B70,SportslineData!$A:$O,6,0)),"",ROUND(VLOOKUP($B70,SportslineData!$A:$O,6,0),0))</f>
        <v>1</v>
      </c>
      <c r="S70" s="33">
        <f>IF(ISERROR(VLOOKUP($B70,SportslineData!$A:$O,7,0)),"",ROUND(VLOOKUP($B70,SportslineData!$A:$O,7,0),0))</f>
        <v>2</v>
      </c>
      <c r="T70" s="33">
        <f>IF(ISERROR(VLOOKUP($B70,SportslineData!$A:$O,11,0)),"",VLOOKUP($B70,SportslineData!$A:$O,11,0))</f>
        <v>7.5</v>
      </c>
      <c r="U70" s="33">
        <f>IF(ISERROR(VLOOKUP($B70,SportslineData!$A:$O,13,0)),"",ROUND(VLOOKUP($B70,SportslineData!$A:$O,13,0),0))</f>
        <v>0</v>
      </c>
      <c r="V70" s="64">
        <f>IF(ISERROR(VLOOKUP($B70,SportslineData!$A:$O,14,0)),"",ROUND(VLOOKUP($B70,SportslineData!$A:$O,14,0),0))</f>
        <v>1</v>
      </c>
      <c r="W70" s="117"/>
      <c r="X70" s="33"/>
      <c r="Y70" s="38">
        <f>IF((E70=""),0,ROUND((((((ROUNDDOWN((E70/5),0)*Settings!$F$3)+(F70*Settings!$I$3))+(G70*Settings!$F$4))+(ROUNDDOWN((H70/5),0)*Settings!$F$7))+(I70*Settings!$I$7)),1))</f>
        <v>0</v>
      </c>
      <c r="Z70" s="38">
        <f>IF((K70=""),0,ROUND((((((ROUNDDOWN((K70/5),0)*Settings!$F$3)+(L70*Settings!$I$3))+(M70*Settings!$F$4))+(ROUNDDOWN((N70/5),0)*Settings!$F$7))+(O70*Settings!$I$7)),1))</f>
        <v>0</v>
      </c>
      <c r="AA70" s="38">
        <f>IF((Q70=""),0,ROUND(((((((ROUNDDOWN((Q70/5),0)*Settings!$F$3)+(R70*Settings!$I$3))+(S70*Settings!$F$4))+(ROUNDDOWN((T70/5),0)*Settings!$F$7))+(U70*Settings!$I$7))+(V70*Settings!$F$15)),1))</f>
        <v>22.9</v>
      </c>
      <c r="AB70" s="66">
        <f>ROUND((((Y70*Settings!$B$21)+(Z70*Settings!$B$22))+(AA70*Settings!$B$23)),1)</f>
        <v>7.8</v>
      </c>
      <c r="AC70" s="66">
        <f>IF(ISERROR(VLOOKUP(RANK(AB70,$AB$4:$AB$102),AC$4:AC69,1,0)),RANK(AB70,$AB$4:$AB$102),IF(ISERROR(VLOOKUP((RANK(AB70,$AB$4:$AB$102)+1),AC$4:AC69,1,0)),(RANK(AB70,$AB$4:$AB$102)+1),IF(ISERROR(VLOOKUP((RANK(AB70,$AB$4:$AB$102)+2),AC$4:AC69,1,0)),(RANK(AB70,$AB$4:$AB$102)+2),(RANK(AB70,$AB$4:$AB$102)+3))))</f>
        <v>50</v>
      </c>
      <c r="AD70" t="str">
        <f t="shared" si="8"/>
        <v>Jordan Palmer</v>
      </c>
    </row>
    <row r="71" spans="1:30" ht="12.75" customHeight="1">
      <c r="A71" s="33" t="str">
        <f>ESPNData!B72</f>
        <v>Jimmy Garoppolo, NE QB</v>
      </c>
      <c r="B71" s="33" t="str">
        <f t="shared" si="6"/>
        <v>Jimmy Garoppolo</v>
      </c>
      <c r="C71" s="64" t="str">
        <f t="shared" si="7"/>
        <v>NE</v>
      </c>
      <c r="D71" s="117" t="str">
        <f>IF(ISERROR(VLOOKUP($B71,FFTodayData!$B:$M,4,0)),"",VLOOKUP($B71,FFTodayData!$B:$M,4,0))</f>
        <v/>
      </c>
      <c r="E71" s="33" t="str">
        <f>IF(ISERROR(VLOOKUP($B71,FFTodayData!$B:$M,6,0)),"",VLOOKUP($B71,FFTodayData!$B:$M,6,0))</f>
        <v/>
      </c>
      <c r="F71" s="33" t="str">
        <f>IF(ISERROR(VLOOKUP($B71,FFTodayData!$B:$M,7,0)),"",VLOOKUP($B71,FFTodayData!$B:$M,7,0))</f>
        <v/>
      </c>
      <c r="G71" s="33" t="str">
        <f>IF(ISERROR(VLOOKUP($B71,FFTodayData!$B:$M,8,0)),"",VLOOKUP($B71,FFTodayData!$B:$M,8,0))</f>
        <v/>
      </c>
      <c r="H71" s="33" t="str">
        <f>IF(ISERROR(VLOOKUP($B71,FFTodayData!$B:$M,10,0)),"",VLOOKUP($B71,FFTodayData!$B:$M,10,0))</f>
        <v/>
      </c>
      <c r="I71" s="64" t="str">
        <f>IF(ISERROR(VLOOKUP($B71,FFTodayData!$B:$M,11,0)),"",VLOOKUP($B71,FFTodayData!$B:$M,11,0))</f>
        <v/>
      </c>
      <c r="J71" s="117">
        <f>VALUE(IF(ISERROR(VLOOKUP($A71,ESPNData!$B:$O,4,0)),"",IF((VLOOKUP($A71,ESPNData!$B:$O,4,0)="--/--"),0,LEFT(VLOOKUP($A71,ESPNData!$B:$O,4,0),(FIND("/",VLOOKUP($A71,ESPNData!$B:$O,4,0))-1)))))</f>
        <v>0</v>
      </c>
      <c r="K71" s="33">
        <f>IF(ISERROR(VLOOKUP($A71,ESPNData!$B:$O,5,0)),"",IF((VLOOKUP($A71,ESPNData!$B:$O,5,0)="--"),0,VLOOKUP($A71,ESPNData!$B:$O,5,0)))</f>
        <v>0</v>
      </c>
      <c r="L71" s="33">
        <f>IF(ISERROR(VLOOKUP($A71,ESPNData!$B:$O,6,0)),"",IF((VLOOKUP($A71,ESPNData!$B:$O,6,0)="--"),0,VLOOKUP($A71,ESPNData!$B:$O,6,0)))</f>
        <v>0</v>
      </c>
      <c r="M71" s="33">
        <f>IF(ISERROR(VLOOKUP($A71,ESPNData!$B:$O,7,0)),"",IF((VLOOKUP($A71,ESPNData!$B:$O,7,0)="--"),0,VLOOKUP($A71,ESPNData!$B:$O,7,0)))</f>
        <v>0</v>
      </c>
      <c r="N71" s="33">
        <f>IF(ISERROR(VLOOKUP($A71,ESPNData!$B:$O,9,0)),"",IF((VLOOKUP($A71,ESPNData!$B:$O,9,0)="--"),0,VLOOKUP($A71,ESPNData!$B:$O,9,0)))</f>
        <v>0</v>
      </c>
      <c r="O71" s="194">
        <f>IF(ISERROR(VLOOKUP($A71,ESPNData!$B:$O,10,0)),"",IF((VLOOKUP($A71,ESPNData!$B:$O,10,0)="--"),0,VLOOKUP($A71,ESPNData!$B:$O,10,0)))</f>
        <v>0</v>
      </c>
      <c r="P71" s="93" t="str">
        <f>IF(ISERROR(VLOOKUP($B71,SportslineData!$A:$O,4,0)),"",ROUND(VLOOKUP($B71,SportslineData!$A:$O,4,0),0))</f>
        <v/>
      </c>
      <c r="Q71" s="33" t="str">
        <f>IF(ISERROR(VLOOKUP($B71,SportslineData!$A:$O,5,0)),"",VLOOKUP($B71,SportslineData!$A:$O,5,0))</f>
        <v/>
      </c>
      <c r="R71" s="33" t="str">
        <f>IF(ISERROR(VLOOKUP($B71,SportslineData!$A:$O,6,0)),"",ROUND(VLOOKUP($B71,SportslineData!$A:$O,6,0),0))</f>
        <v/>
      </c>
      <c r="S71" s="33" t="str">
        <f>IF(ISERROR(VLOOKUP($B71,SportslineData!$A:$O,7,0)),"",ROUND(VLOOKUP($B71,SportslineData!$A:$O,7,0),0))</f>
        <v/>
      </c>
      <c r="T71" s="33" t="str">
        <f>IF(ISERROR(VLOOKUP($B71,SportslineData!$A:$O,11,0)),"",VLOOKUP($B71,SportslineData!$A:$O,11,0))</f>
        <v/>
      </c>
      <c r="U71" s="33" t="str">
        <f>IF(ISERROR(VLOOKUP($B71,SportslineData!$A:$O,13,0)),"",ROUND(VLOOKUP($B71,SportslineData!$A:$O,13,0),0))</f>
        <v/>
      </c>
      <c r="V71" s="64" t="str">
        <f>IF(ISERROR(VLOOKUP($B71,SportslineData!$A:$O,14,0)),"",ROUND(VLOOKUP($B71,SportslineData!$A:$O,14,0),0))</f>
        <v/>
      </c>
      <c r="W71" s="117"/>
      <c r="X71" s="33"/>
      <c r="Y71" s="38">
        <f>IF((E71=""),0,ROUND((((((ROUNDDOWN((E71/5),0)*Settings!$F$3)+(F71*Settings!$I$3))+(G71*Settings!$F$4))+(ROUNDDOWN((H71/5),0)*Settings!$F$7))+(I71*Settings!$I$7)),1))</f>
        <v>0</v>
      </c>
      <c r="Z71" s="38">
        <f>IF((K71=""),0,ROUND((((((ROUNDDOWN((K71/5),0)*Settings!$F$3)+(L71*Settings!$I$3))+(M71*Settings!$F$4))+(ROUNDDOWN((N71/5),0)*Settings!$F$7))+(O71*Settings!$I$7)),1))</f>
        <v>0</v>
      </c>
      <c r="AA71" s="38">
        <f>IF((Q71=""),0,ROUND(((((((ROUNDDOWN((Q71/5),0)*Settings!$F$3)+(R71*Settings!$I$3))+(S71*Settings!$F$4))+(ROUNDDOWN((T71/5),0)*Settings!$F$7))+(U71*Settings!$I$7))+(V71*Settings!$F$15)),1))</f>
        <v>0</v>
      </c>
      <c r="AB71" s="66">
        <f>ROUND((((Y71*Settings!$B$21)+(Z71*Settings!$B$22))+(AA71*Settings!$B$23)),1)</f>
        <v>0</v>
      </c>
      <c r="AC71" s="66">
        <f>IF(ISERROR(VLOOKUP(RANK(AB71,$AB$4:$AB$102),AC$4:AC70,1,0)),RANK(AB71,$AB$4:$AB$102),IF(ISERROR(VLOOKUP((RANK(AB71,$AB$4:$AB$102)+1),AC$4:AC70,1,0)),(RANK(AB71,$AB$4:$AB$102)+1),IF(ISERROR(VLOOKUP((RANK(AB71,$AB$4:$AB$102)+2),AC$4:AC70,1,0)),(RANK(AB71,$AB$4:$AB$102)+2),(RANK(AB71,$AB$4:$AB$102)+3))))</f>
        <v>69</v>
      </c>
      <c r="AD71" t="str">
        <f t="shared" si="8"/>
        <v>Jimmy Garoppolo</v>
      </c>
    </row>
    <row r="72" spans="1:30" ht="12.75" customHeight="1">
      <c r="A72" s="33" t="str">
        <f>ESPNData!B73</f>
        <v>Luke McCown, NO QB</v>
      </c>
      <c r="B72" s="33" t="str">
        <f t="shared" si="6"/>
        <v>Luke McCown</v>
      </c>
      <c r="C72" s="64" t="str">
        <f t="shared" si="7"/>
        <v>NO</v>
      </c>
      <c r="D72" s="117">
        <f>IF(ISERROR(VLOOKUP($B72,FFTodayData!$B:$M,4,0)),"",VLOOKUP($B72,FFTodayData!$B:$M,4,0))</f>
        <v>19</v>
      </c>
      <c r="E72" s="33">
        <f>IF(ISERROR(VLOOKUP($B72,FFTodayData!$B:$M,6,0)),"",VLOOKUP($B72,FFTodayData!$B:$M,6,0))</f>
        <v>212</v>
      </c>
      <c r="F72" s="33">
        <f>IF(ISERROR(VLOOKUP($B72,FFTodayData!$B:$M,7,0)),"",VLOOKUP($B72,FFTodayData!$B:$M,7,0))</f>
        <v>0</v>
      </c>
      <c r="G72" s="33">
        <f>IF(ISERROR(VLOOKUP($B72,FFTodayData!$B:$M,8,0)),"",VLOOKUP($B72,FFTodayData!$B:$M,8,0))</f>
        <v>1</v>
      </c>
      <c r="H72" s="33">
        <f>IF(ISERROR(VLOOKUP($B72,FFTodayData!$B:$M,10,0)),"",VLOOKUP($B72,FFTodayData!$B:$M,10,0))</f>
        <v>5</v>
      </c>
      <c r="I72" s="64">
        <f>IF(ISERROR(VLOOKUP($B72,FFTodayData!$B:$M,11,0)),"",VLOOKUP($B72,FFTodayData!$B:$M,11,0))</f>
        <v>0</v>
      </c>
      <c r="J72" s="117">
        <f>VALUE(IF(ISERROR(VLOOKUP($A72,ESPNData!$B:$O,4,0)),"",IF((VLOOKUP($A72,ESPNData!$B:$O,4,0)="--/--"),0,LEFT(VLOOKUP($A72,ESPNData!$B:$O,4,0),(FIND("/",VLOOKUP($A72,ESPNData!$B:$O,4,0))-1)))))</f>
        <v>0</v>
      </c>
      <c r="K72" s="33">
        <f>IF(ISERROR(VLOOKUP($A72,ESPNData!$B:$O,5,0)),"",IF((VLOOKUP($A72,ESPNData!$B:$O,5,0)="--"),0,VLOOKUP($A72,ESPNData!$B:$O,5,0)))</f>
        <v>0</v>
      </c>
      <c r="L72" s="33">
        <f>IF(ISERROR(VLOOKUP($A72,ESPNData!$B:$O,6,0)),"",IF((VLOOKUP($A72,ESPNData!$B:$O,6,0)="--"),0,VLOOKUP($A72,ESPNData!$B:$O,6,0)))</f>
        <v>0</v>
      </c>
      <c r="M72" s="33">
        <f>IF(ISERROR(VLOOKUP($A72,ESPNData!$B:$O,7,0)),"",IF((VLOOKUP($A72,ESPNData!$B:$O,7,0)="--"),0,VLOOKUP($A72,ESPNData!$B:$O,7,0)))</f>
        <v>0</v>
      </c>
      <c r="N72" s="33">
        <f>IF(ISERROR(VLOOKUP($A72,ESPNData!$B:$O,9,0)),"",IF((VLOOKUP($A72,ESPNData!$B:$O,9,0)="--"),0,VLOOKUP($A72,ESPNData!$B:$O,9,0)))</f>
        <v>0</v>
      </c>
      <c r="O72" s="194">
        <f>IF(ISERROR(VLOOKUP($A72,ESPNData!$B:$O,10,0)),"",IF((VLOOKUP($A72,ESPNData!$B:$O,10,0)="--"),0,VLOOKUP($A72,ESPNData!$B:$O,10,0)))</f>
        <v>0</v>
      </c>
      <c r="P72" s="93" t="str">
        <f>IF(ISERROR(VLOOKUP($B72,SportslineData!$A:$O,4,0)),"",ROUND(VLOOKUP($B72,SportslineData!$A:$O,4,0),0))</f>
        <v/>
      </c>
      <c r="Q72" s="33" t="str">
        <f>IF(ISERROR(VLOOKUP($B72,SportslineData!$A:$O,5,0)),"",VLOOKUP($B72,SportslineData!$A:$O,5,0))</f>
        <v/>
      </c>
      <c r="R72" s="33" t="str">
        <f>IF(ISERROR(VLOOKUP($B72,SportslineData!$A:$O,6,0)),"",ROUND(VLOOKUP($B72,SportslineData!$A:$O,6,0),0))</f>
        <v/>
      </c>
      <c r="S72" s="33" t="str">
        <f>IF(ISERROR(VLOOKUP($B72,SportslineData!$A:$O,7,0)),"",ROUND(VLOOKUP($B72,SportslineData!$A:$O,7,0),0))</f>
        <v/>
      </c>
      <c r="T72" s="33" t="str">
        <f>IF(ISERROR(VLOOKUP($B72,SportslineData!$A:$O,11,0)),"",VLOOKUP($B72,SportslineData!$A:$O,11,0))</f>
        <v/>
      </c>
      <c r="U72" s="33" t="str">
        <f>IF(ISERROR(VLOOKUP($B72,SportslineData!$A:$O,13,0)),"",ROUND(VLOOKUP($B72,SportslineData!$A:$O,13,0),0))</f>
        <v/>
      </c>
      <c r="V72" s="64" t="str">
        <f>IF(ISERROR(VLOOKUP($B72,SportslineData!$A:$O,14,0)),"",ROUND(VLOOKUP($B72,SportslineData!$A:$O,14,0),0))</f>
        <v/>
      </c>
      <c r="W72" s="117"/>
      <c r="X72" s="33"/>
      <c r="Y72" s="38">
        <f>IF((E72=""),0,ROUND((((((ROUNDDOWN((E72/5),0)*Settings!$F$3)+(F72*Settings!$I$3))+(G72*Settings!$F$4))+(ROUNDDOWN((H72/5),0)*Settings!$F$7))+(I72*Settings!$I$7)),1))</f>
        <v>6.9</v>
      </c>
      <c r="Z72" s="38">
        <f>IF((K72=""),0,ROUND((((((ROUNDDOWN((K72/5),0)*Settings!$F$3)+(L72*Settings!$I$3))+(M72*Settings!$F$4))+(ROUNDDOWN((N72/5),0)*Settings!$F$7))+(O72*Settings!$I$7)),1))</f>
        <v>0</v>
      </c>
      <c r="AA72" s="38">
        <f>IF((Q72=""),0,ROUND(((((((ROUNDDOWN((Q72/5),0)*Settings!$F$3)+(R72*Settings!$I$3))+(S72*Settings!$F$4))+(ROUNDDOWN((T72/5),0)*Settings!$F$7))+(U72*Settings!$I$7))+(V72*Settings!$F$15)),1))</f>
        <v>0</v>
      </c>
      <c r="AB72" s="66">
        <f>ROUND((((Y72*Settings!$B$21)+(Z72*Settings!$B$22))+(AA72*Settings!$B$23)),1)</f>
        <v>2.2999999999999998</v>
      </c>
      <c r="AC72" s="66">
        <f>IF(ISERROR(VLOOKUP(RANK(AB72,$AB$4:$AB$102),AC$4:AC71,1,0)),RANK(AB72,$AB$4:$AB$102),IF(ISERROR(VLOOKUP((RANK(AB72,$AB$4:$AB$102)+1),AC$4:AC71,1,0)),(RANK(AB72,$AB$4:$AB$102)+1),IF(ISERROR(VLOOKUP((RANK(AB72,$AB$4:$AB$102)+2),AC$4:AC71,1,0)),(RANK(AB72,$AB$4:$AB$102)+2),(RANK(AB72,$AB$4:$AB$102)+3))))</f>
        <v>61</v>
      </c>
      <c r="AD72" t="str">
        <f t="shared" si="8"/>
        <v>Luke McCown</v>
      </c>
    </row>
    <row r="73" spans="1:30" ht="12.75" customHeight="1">
      <c r="A73" s="33" t="str">
        <f>ESPNData!B74</f>
        <v>Tom Savage, Hou QB</v>
      </c>
      <c r="B73" s="33" t="str">
        <f t="shared" si="6"/>
        <v>Tom Savage</v>
      </c>
      <c r="C73" s="64" t="str">
        <f t="shared" si="7"/>
        <v>HOU</v>
      </c>
      <c r="D73" s="117" t="str">
        <f>IF(ISERROR(VLOOKUP($B73,FFTodayData!$B:$M,4,0)),"",VLOOKUP($B73,FFTodayData!$B:$M,4,0))</f>
        <v/>
      </c>
      <c r="E73" s="33" t="str">
        <f>IF(ISERROR(VLOOKUP($B73,FFTodayData!$B:$M,6,0)),"",VLOOKUP($B73,FFTodayData!$B:$M,6,0))</f>
        <v/>
      </c>
      <c r="F73" s="33" t="str">
        <f>IF(ISERROR(VLOOKUP($B73,FFTodayData!$B:$M,7,0)),"",VLOOKUP($B73,FFTodayData!$B:$M,7,0))</f>
        <v/>
      </c>
      <c r="G73" s="33" t="str">
        <f>IF(ISERROR(VLOOKUP($B73,FFTodayData!$B:$M,8,0)),"",VLOOKUP($B73,FFTodayData!$B:$M,8,0))</f>
        <v/>
      </c>
      <c r="H73" s="33" t="str">
        <f>IF(ISERROR(VLOOKUP($B73,FFTodayData!$B:$M,10,0)),"",VLOOKUP($B73,FFTodayData!$B:$M,10,0))</f>
        <v/>
      </c>
      <c r="I73" s="64" t="str">
        <f>IF(ISERROR(VLOOKUP($B73,FFTodayData!$B:$M,11,0)),"",VLOOKUP($B73,FFTodayData!$B:$M,11,0))</f>
        <v/>
      </c>
      <c r="J73" s="117">
        <f>VALUE(IF(ISERROR(VLOOKUP($A73,ESPNData!$B:$O,4,0)),"",IF((VLOOKUP($A73,ESPNData!$B:$O,4,0)="--/--"),0,LEFT(VLOOKUP($A73,ESPNData!$B:$O,4,0),(FIND("/",VLOOKUP($A73,ESPNData!$B:$O,4,0))-1)))))</f>
        <v>0</v>
      </c>
      <c r="K73" s="33">
        <f>IF(ISERROR(VLOOKUP($A73,ESPNData!$B:$O,5,0)),"",IF((VLOOKUP($A73,ESPNData!$B:$O,5,0)="--"),0,VLOOKUP($A73,ESPNData!$B:$O,5,0)))</f>
        <v>0</v>
      </c>
      <c r="L73" s="33">
        <f>IF(ISERROR(VLOOKUP($A73,ESPNData!$B:$O,6,0)),"",IF((VLOOKUP($A73,ESPNData!$B:$O,6,0)="--"),0,VLOOKUP($A73,ESPNData!$B:$O,6,0)))</f>
        <v>0</v>
      </c>
      <c r="M73" s="33">
        <f>IF(ISERROR(VLOOKUP($A73,ESPNData!$B:$O,7,0)),"",IF((VLOOKUP($A73,ESPNData!$B:$O,7,0)="--"),0,VLOOKUP($A73,ESPNData!$B:$O,7,0)))</f>
        <v>0</v>
      </c>
      <c r="N73" s="33">
        <f>IF(ISERROR(VLOOKUP($A73,ESPNData!$B:$O,9,0)),"",IF((VLOOKUP($A73,ESPNData!$B:$O,9,0)="--"),0,VLOOKUP($A73,ESPNData!$B:$O,9,0)))</f>
        <v>0</v>
      </c>
      <c r="O73" s="194">
        <f>IF(ISERROR(VLOOKUP($A73,ESPNData!$B:$O,10,0)),"",IF((VLOOKUP($A73,ESPNData!$B:$O,10,0)="--"),0,VLOOKUP($A73,ESPNData!$B:$O,10,0)))</f>
        <v>0</v>
      </c>
      <c r="P73" s="93">
        <f>IF(ISERROR(VLOOKUP($B73,SportslineData!$A:$O,4,0)),"",ROUND(VLOOKUP($B73,SportslineData!$A:$O,4,0),0))</f>
        <v>136</v>
      </c>
      <c r="Q73" s="33">
        <f>IF(ISERROR(VLOOKUP($B73,SportslineData!$A:$O,5,0)),"",VLOOKUP($B73,SportslineData!$A:$O,5,0))</f>
        <v>1624</v>
      </c>
      <c r="R73" s="33">
        <f>IF(ISERROR(VLOOKUP($B73,SportslineData!$A:$O,6,0)),"",ROUND(VLOOKUP($B73,SportslineData!$A:$O,6,0),0))</f>
        <v>10</v>
      </c>
      <c r="S73" s="33">
        <f>IF(ISERROR(VLOOKUP($B73,SportslineData!$A:$O,7,0)),"",ROUND(VLOOKUP($B73,SportslineData!$A:$O,7,0),0))</f>
        <v>9</v>
      </c>
      <c r="T73" s="33">
        <f>IF(ISERROR(VLOOKUP($B73,SportslineData!$A:$O,11,0)),"",VLOOKUP($B73,SportslineData!$A:$O,11,0))</f>
        <v>26.5</v>
      </c>
      <c r="U73" s="33">
        <f>IF(ISERROR(VLOOKUP($B73,SportslineData!$A:$O,13,0)),"",ROUND(VLOOKUP($B73,SportslineData!$A:$O,13,0),0))</f>
        <v>0</v>
      </c>
      <c r="V73" s="64">
        <f>IF(ISERROR(VLOOKUP($B73,SportslineData!$A:$O,14,0)),"",ROUND(VLOOKUP($B73,SportslineData!$A:$O,14,0),0))</f>
        <v>2</v>
      </c>
      <c r="W73" s="117"/>
      <c r="X73" s="33"/>
      <c r="Y73" s="38">
        <f>IF((E73=""),0,ROUND((((((ROUNDDOWN((E73/5),0)*Settings!$F$3)+(F73*Settings!$I$3))+(G73*Settings!$F$4))+(ROUNDDOWN((H73/5),0)*Settings!$F$7))+(I73*Settings!$I$7)),1))</f>
        <v>0</v>
      </c>
      <c r="Z73" s="38">
        <f>IF((K73=""),0,ROUND((((((ROUNDDOWN((K73/5),0)*Settings!$F$3)+(L73*Settings!$I$3))+(M73*Settings!$F$4))+(ROUNDDOWN((N73/5),0)*Settings!$F$7))+(O73*Settings!$I$7)),1))</f>
        <v>0</v>
      </c>
      <c r="AA73" s="38">
        <f>IF((Q73=""),0,ROUND(((((((ROUNDDOWN((Q73/5),0)*Settings!$F$3)+(R73*Settings!$I$3))+(S73*Settings!$F$4))+(ROUNDDOWN((T73/5),0)*Settings!$F$7))+(U73*Settings!$I$7))+(V73*Settings!$F$15)),1))</f>
        <v>107.3</v>
      </c>
      <c r="AB73" s="66">
        <f>ROUND((((Y73*Settings!$B$21)+(Z73*Settings!$B$22))+(AA73*Settings!$B$23)),1)</f>
        <v>36.5</v>
      </c>
      <c r="AC73" s="66">
        <f>IF(ISERROR(VLOOKUP(RANK(AB73,$AB$4:$AB$102),AC$4:AC72,1,0)),RANK(AB73,$AB$4:$AB$102),IF(ISERROR(VLOOKUP((RANK(AB73,$AB$4:$AB$102)+1),AC$4:AC72,1,0)),(RANK(AB73,$AB$4:$AB$102)+1),IF(ISERROR(VLOOKUP((RANK(AB73,$AB$4:$AB$102)+2),AC$4:AC72,1,0)),(RANK(AB73,$AB$4:$AB$102)+2),(RANK(AB73,$AB$4:$AB$102)+3))))</f>
        <v>42</v>
      </c>
      <c r="AD73" t="str">
        <f t="shared" si="8"/>
        <v>Tom Savage</v>
      </c>
    </row>
    <row r="74" spans="1:30" ht="12.75" customHeight="1">
      <c r="A74" s="33" t="str">
        <f>ESPNData!B75</f>
        <v>Derek Anderson, Car QB</v>
      </c>
      <c r="B74" s="33" t="str">
        <f t="shared" si="6"/>
        <v>Derek Anderson</v>
      </c>
      <c r="C74" s="64" t="str">
        <f t="shared" si="7"/>
        <v>CAR</v>
      </c>
      <c r="D74" s="117">
        <f>IF(ISERROR(VLOOKUP($B74,FFTodayData!$B:$M,4,0)),"",VLOOKUP($B74,FFTodayData!$B:$M,4,0))</f>
        <v>2</v>
      </c>
      <c r="E74" s="33">
        <f>IF(ISERROR(VLOOKUP($B74,FFTodayData!$B:$M,6,0)),"",VLOOKUP($B74,FFTodayData!$B:$M,6,0))</f>
        <v>26</v>
      </c>
      <c r="F74" s="33">
        <f>IF(ISERROR(VLOOKUP($B74,FFTodayData!$B:$M,7,0)),"",VLOOKUP($B74,FFTodayData!$B:$M,7,0))</f>
        <v>0</v>
      </c>
      <c r="G74" s="33">
        <f>IF(ISERROR(VLOOKUP($B74,FFTodayData!$B:$M,8,0)),"",VLOOKUP($B74,FFTodayData!$B:$M,8,0))</f>
        <v>0</v>
      </c>
      <c r="H74" s="33">
        <f>IF(ISERROR(VLOOKUP($B74,FFTodayData!$B:$M,10,0)),"",VLOOKUP($B74,FFTodayData!$B:$M,10,0))</f>
        <v>2</v>
      </c>
      <c r="I74" s="64">
        <f>IF(ISERROR(VLOOKUP($B74,FFTodayData!$B:$M,11,0)),"",VLOOKUP($B74,FFTodayData!$B:$M,11,0))</f>
        <v>0</v>
      </c>
      <c r="J74" s="117">
        <f>VALUE(IF(ISERROR(VLOOKUP($A74,ESPNData!$B:$O,4,0)),"",IF((VLOOKUP($A74,ESPNData!$B:$O,4,0)="--/--"),0,LEFT(VLOOKUP($A74,ESPNData!$B:$O,4,0),(FIND("/",VLOOKUP($A74,ESPNData!$B:$O,4,0))-1)))))</f>
        <v>0</v>
      </c>
      <c r="K74" s="33">
        <f>IF(ISERROR(VLOOKUP($A74,ESPNData!$B:$O,5,0)),"",IF((VLOOKUP($A74,ESPNData!$B:$O,5,0)="--"),0,VLOOKUP($A74,ESPNData!$B:$O,5,0)))</f>
        <v>0</v>
      </c>
      <c r="L74" s="33">
        <f>IF(ISERROR(VLOOKUP($A74,ESPNData!$B:$O,6,0)),"",IF((VLOOKUP($A74,ESPNData!$B:$O,6,0)="--"),0,VLOOKUP($A74,ESPNData!$B:$O,6,0)))</f>
        <v>0</v>
      </c>
      <c r="M74" s="33">
        <f>IF(ISERROR(VLOOKUP($A74,ESPNData!$B:$O,7,0)),"",IF((VLOOKUP($A74,ESPNData!$B:$O,7,0)="--"),0,VLOOKUP($A74,ESPNData!$B:$O,7,0)))</f>
        <v>0</v>
      </c>
      <c r="N74" s="33">
        <f>IF(ISERROR(VLOOKUP($A74,ESPNData!$B:$O,9,0)),"",IF((VLOOKUP($A74,ESPNData!$B:$O,9,0)="--"),0,VLOOKUP($A74,ESPNData!$B:$O,9,0)))</f>
        <v>0</v>
      </c>
      <c r="O74" s="194">
        <f>IF(ISERROR(VLOOKUP($A74,ESPNData!$B:$O,10,0)),"",IF((VLOOKUP($A74,ESPNData!$B:$O,10,0)="--"),0,VLOOKUP($A74,ESPNData!$B:$O,10,0)))</f>
        <v>0</v>
      </c>
      <c r="P74" s="93">
        <f>IF(ISERROR(VLOOKUP($B74,SportslineData!$A:$O,4,0)),"",ROUND(VLOOKUP($B74,SportslineData!$A:$O,4,0),0))</f>
        <v>11</v>
      </c>
      <c r="Q74" s="33">
        <f>IF(ISERROR(VLOOKUP($B74,SportslineData!$A:$O,5,0)),"",VLOOKUP($B74,SportslineData!$A:$O,5,0))</f>
        <v>122</v>
      </c>
      <c r="R74" s="33">
        <f>IF(ISERROR(VLOOKUP($B74,SportslineData!$A:$O,6,0)),"",ROUND(VLOOKUP($B74,SportslineData!$A:$O,6,0),0))</f>
        <v>2</v>
      </c>
      <c r="S74" s="33">
        <f>IF(ISERROR(VLOOKUP($B74,SportslineData!$A:$O,7,0)),"",ROUND(VLOOKUP($B74,SportslineData!$A:$O,7,0),0))</f>
        <v>1</v>
      </c>
      <c r="T74" s="33">
        <f>IF(ISERROR(VLOOKUP($B74,SportslineData!$A:$O,11,0)),"",VLOOKUP($B74,SportslineData!$A:$O,11,0))</f>
        <v>5.5</v>
      </c>
      <c r="U74" s="33">
        <f>IF(ISERROR(VLOOKUP($B74,SportslineData!$A:$O,13,0)),"",ROUND(VLOOKUP($B74,SportslineData!$A:$O,13,0),0))</f>
        <v>0</v>
      </c>
      <c r="V74" s="64">
        <f>IF(ISERROR(VLOOKUP($B74,SportslineData!$A:$O,14,0)),"",ROUND(VLOOKUP($B74,SportslineData!$A:$O,14,0),0))</f>
        <v>0</v>
      </c>
      <c r="W74" s="117"/>
      <c r="X74" s="33"/>
      <c r="Y74" s="38">
        <f>IF((E74=""),0,ROUND((((((ROUNDDOWN((E74/5),0)*Settings!$F$3)+(F74*Settings!$I$3))+(G74*Settings!$F$4))+(ROUNDDOWN((H74/5),0)*Settings!$F$7))+(I74*Settings!$I$7)),1))</f>
        <v>1</v>
      </c>
      <c r="Z74" s="38">
        <f>IF((K74=""),0,ROUND((((((ROUNDDOWN((K74/5),0)*Settings!$F$3)+(L74*Settings!$I$3))+(M74*Settings!$F$4))+(ROUNDDOWN((N74/5),0)*Settings!$F$7))+(O74*Settings!$I$7)),1))</f>
        <v>0</v>
      </c>
      <c r="AA74" s="38">
        <f>IF((Q74=""),0,ROUND(((((((ROUNDDOWN((Q74/5),0)*Settings!$F$3)+(R74*Settings!$I$3))+(S74*Settings!$F$4))+(ROUNDDOWN((T74/5),0)*Settings!$F$7))+(U74*Settings!$I$7))+(V74*Settings!$F$15)),1))</f>
        <v>15.3</v>
      </c>
      <c r="AB74" s="66">
        <f>ROUND((((Y74*Settings!$B$21)+(Z74*Settings!$B$22))+(AA74*Settings!$B$23)),1)</f>
        <v>5.5</v>
      </c>
      <c r="AC74" s="66">
        <f>IF(ISERROR(VLOOKUP(RANK(AB74,$AB$4:$AB$102),AC$4:AC73,1,0)),RANK(AB74,$AB$4:$AB$102),IF(ISERROR(VLOOKUP((RANK(AB74,$AB$4:$AB$102)+1),AC$4:AC73,1,0)),(RANK(AB74,$AB$4:$AB$102)+1),IF(ISERROR(VLOOKUP((RANK(AB74,$AB$4:$AB$102)+2),AC$4:AC73,1,0)),(RANK(AB74,$AB$4:$AB$102)+2),(RANK(AB74,$AB$4:$AB$102)+3))))</f>
        <v>54</v>
      </c>
      <c r="AD74" t="str">
        <f t="shared" si="8"/>
        <v>Derek Anderson</v>
      </c>
    </row>
    <row r="75" spans="1:30" ht="12.75" customHeight="1">
      <c r="A75" s="33" t="str">
        <f>ESPNData!B76</f>
        <v>Dan Orlovsky, Det QB</v>
      </c>
      <c r="B75" s="33" t="str">
        <f t="shared" si="6"/>
        <v>Dan Orlovsky</v>
      </c>
      <c r="C75" s="64" t="str">
        <f t="shared" si="7"/>
        <v>DET</v>
      </c>
      <c r="D75" s="117" t="str">
        <f>IF(ISERROR(VLOOKUP($B75,FFTodayData!$B:$M,4,0)),"",VLOOKUP($B75,FFTodayData!$B:$M,4,0))</f>
        <v/>
      </c>
      <c r="E75" s="33" t="str">
        <f>IF(ISERROR(VLOOKUP($B75,FFTodayData!$B:$M,6,0)),"",VLOOKUP($B75,FFTodayData!$B:$M,6,0))</f>
        <v/>
      </c>
      <c r="F75" s="33" t="str">
        <f>IF(ISERROR(VLOOKUP($B75,FFTodayData!$B:$M,7,0)),"",VLOOKUP($B75,FFTodayData!$B:$M,7,0))</f>
        <v/>
      </c>
      <c r="G75" s="33" t="str">
        <f>IF(ISERROR(VLOOKUP($B75,FFTodayData!$B:$M,8,0)),"",VLOOKUP($B75,FFTodayData!$B:$M,8,0))</f>
        <v/>
      </c>
      <c r="H75" s="33" t="str">
        <f>IF(ISERROR(VLOOKUP($B75,FFTodayData!$B:$M,10,0)),"",VLOOKUP($B75,FFTodayData!$B:$M,10,0))</f>
        <v/>
      </c>
      <c r="I75" s="64" t="str">
        <f>IF(ISERROR(VLOOKUP($B75,FFTodayData!$B:$M,11,0)),"",VLOOKUP($B75,FFTodayData!$B:$M,11,0))</f>
        <v/>
      </c>
      <c r="J75" s="117">
        <f>VALUE(IF(ISERROR(VLOOKUP($A75,ESPNData!$B:$O,4,0)),"",IF((VLOOKUP($A75,ESPNData!$B:$O,4,0)="--/--"),0,LEFT(VLOOKUP($A75,ESPNData!$B:$O,4,0),(FIND("/",VLOOKUP($A75,ESPNData!$B:$O,4,0))-1)))))</f>
        <v>0</v>
      </c>
      <c r="K75" s="33">
        <f>IF(ISERROR(VLOOKUP($A75,ESPNData!$B:$O,5,0)),"",IF((VLOOKUP($A75,ESPNData!$B:$O,5,0)="--"),0,VLOOKUP($A75,ESPNData!$B:$O,5,0)))</f>
        <v>0</v>
      </c>
      <c r="L75" s="33">
        <f>IF(ISERROR(VLOOKUP($A75,ESPNData!$B:$O,6,0)),"",IF((VLOOKUP($A75,ESPNData!$B:$O,6,0)="--"),0,VLOOKUP($A75,ESPNData!$B:$O,6,0)))</f>
        <v>0</v>
      </c>
      <c r="M75" s="33">
        <f>IF(ISERROR(VLOOKUP($A75,ESPNData!$B:$O,7,0)),"",IF((VLOOKUP($A75,ESPNData!$B:$O,7,0)="--"),0,VLOOKUP($A75,ESPNData!$B:$O,7,0)))</f>
        <v>0</v>
      </c>
      <c r="N75" s="33">
        <f>IF(ISERROR(VLOOKUP($A75,ESPNData!$B:$O,9,0)),"",IF((VLOOKUP($A75,ESPNData!$B:$O,9,0)="--"),0,VLOOKUP($A75,ESPNData!$B:$O,9,0)))</f>
        <v>0</v>
      </c>
      <c r="O75" s="194">
        <f>IF(ISERROR(VLOOKUP($A75,ESPNData!$B:$O,10,0)),"",IF((VLOOKUP($A75,ESPNData!$B:$O,10,0)="--"),0,VLOOKUP($A75,ESPNData!$B:$O,10,0)))</f>
        <v>0</v>
      </c>
      <c r="P75" s="93" t="str">
        <f>IF(ISERROR(VLOOKUP($B75,SportslineData!$A:$O,4,0)),"",ROUND(VLOOKUP($B75,SportslineData!$A:$O,4,0),0))</f>
        <v/>
      </c>
      <c r="Q75" s="33" t="str">
        <f>IF(ISERROR(VLOOKUP($B75,SportslineData!$A:$O,5,0)),"",VLOOKUP($B75,SportslineData!$A:$O,5,0))</f>
        <v/>
      </c>
      <c r="R75" s="33" t="str">
        <f>IF(ISERROR(VLOOKUP($B75,SportslineData!$A:$O,6,0)),"",ROUND(VLOOKUP($B75,SportslineData!$A:$O,6,0),0))</f>
        <v/>
      </c>
      <c r="S75" s="33" t="str">
        <f>IF(ISERROR(VLOOKUP($B75,SportslineData!$A:$O,7,0)),"",ROUND(VLOOKUP($B75,SportslineData!$A:$O,7,0),0))</f>
        <v/>
      </c>
      <c r="T75" s="33" t="str">
        <f>IF(ISERROR(VLOOKUP($B75,SportslineData!$A:$O,11,0)),"",VLOOKUP($B75,SportslineData!$A:$O,11,0))</f>
        <v/>
      </c>
      <c r="U75" s="33" t="str">
        <f>IF(ISERROR(VLOOKUP($B75,SportslineData!$A:$O,13,0)),"",ROUND(VLOOKUP($B75,SportslineData!$A:$O,13,0),0))</f>
        <v/>
      </c>
      <c r="V75" s="64" t="str">
        <f>IF(ISERROR(VLOOKUP($B75,SportslineData!$A:$O,14,0)),"",ROUND(VLOOKUP($B75,SportslineData!$A:$O,14,0),0))</f>
        <v/>
      </c>
      <c r="W75" s="117"/>
      <c r="X75" s="33"/>
      <c r="Y75" s="38">
        <f>IF((E75=""),0,ROUND((((((ROUNDDOWN((E75/5),0)*Settings!$F$3)+(F75*Settings!$I$3))+(G75*Settings!$F$4))+(ROUNDDOWN((H75/5),0)*Settings!$F$7))+(I75*Settings!$I$7)),1))</f>
        <v>0</v>
      </c>
      <c r="Z75" s="38">
        <f>IF((K75=""),0,ROUND((((((ROUNDDOWN((K75/5),0)*Settings!$F$3)+(L75*Settings!$I$3))+(M75*Settings!$F$4))+(ROUNDDOWN((N75/5),0)*Settings!$F$7))+(O75*Settings!$I$7)),1))</f>
        <v>0</v>
      </c>
      <c r="AA75" s="38">
        <f>IF((Q75=""),0,ROUND(((((((ROUNDDOWN((Q75/5),0)*Settings!$F$3)+(R75*Settings!$I$3))+(S75*Settings!$F$4))+(ROUNDDOWN((T75/5),0)*Settings!$F$7))+(U75*Settings!$I$7))+(V75*Settings!$F$15)),1))</f>
        <v>0</v>
      </c>
      <c r="AB75" s="66">
        <f>ROUND((((Y75*Settings!$B$21)+(Z75*Settings!$B$22))+(AA75*Settings!$B$23)),1)</f>
        <v>0</v>
      </c>
      <c r="AC75" s="66">
        <f>IF(ISERROR(VLOOKUP(RANK(AB75,$AB$4:$AB$102),AC$4:AC74,1,0)),RANK(AB75,$AB$4:$AB$102),IF(ISERROR(VLOOKUP((RANK(AB75,$AB$4:$AB$102)+1),AC$4:AC74,1,0)),(RANK(AB75,$AB$4:$AB$102)+1),IF(ISERROR(VLOOKUP((RANK(AB75,$AB$4:$AB$102)+2),AC$4:AC74,1,0)),(RANK(AB75,$AB$4:$AB$102)+2),(RANK(AB75,$AB$4:$AB$102)+3))))</f>
        <v>69</v>
      </c>
      <c r="AD75" t="str">
        <f t="shared" si="8"/>
        <v>Dan Orlovsky</v>
      </c>
    </row>
    <row r="76" spans="1:30" ht="12.75" customHeight="1">
      <c r="A76" s="33" t="str">
        <f>ESPNData!B77</f>
        <v>Aaron Murray, KC QB</v>
      </c>
      <c r="B76" s="33" t="str">
        <f t="shared" si="6"/>
        <v>Aaron Murray</v>
      </c>
      <c r="C76" s="64" t="str">
        <f t="shared" si="7"/>
        <v>KC</v>
      </c>
      <c r="D76" s="117" t="str">
        <f>IF(ISERROR(VLOOKUP($B76,FFTodayData!$B:$M,4,0)),"",VLOOKUP($B76,FFTodayData!$B:$M,4,0))</f>
        <v/>
      </c>
      <c r="E76" s="33" t="str">
        <f>IF(ISERROR(VLOOKUP($B76,FFTodayData!$B:$M,6,0)),"",VLOOKUP($B76,FFTodayData!$B:$M,6,0))</f>
        <v/>
      </c>
      <c r="F76" s="33" t="str">
        <f>IF(ISERROR(VLOOKUP($B76,FFTodayData!$B:$M,7,0)),"",VLOOKUP($B76,FFTodayData!$B:$M,7,0))</f>
        <v/>
      </c>
      <c r="G76" s="33" t="str">
        <f>IF(ISERROR(VLOOKUP($B76,FFTodayData!$B:$M,8,0)),"",VLOOKUP($B76,FFTodayData!$B:$M,8,0))</f>
        <v/>
      </c>
      <c r="H76" s="33" t="str">
        <f>IF(ISERROR(VLOOKUP($B76,FFTodayData!$B:$M,10,0)),"",VLOOKUP($B76,FFTodayData!$B:$M,10,0))</f>
        <v/>
      </c>
      <c r="I76" s="64" t="str">
        <f>IF(ISERROR(VLOOKUP($B76,FFTodayData!$B:$M,11,0)),"",VLOOKUP($B76,FFTodayData!$B:$M,11,0))</f>
        <v/>
      </c>
      <c r="J76" s="117">
        <f>VALUE(IF(ISERROR(VLOOKUP($A76,ESPNData!$B:$O,4,0)),"",IF((VLOOKUP($A76,ESPNData!$B:$O,4,0)="--/--"),0,LEFT(VLOOKUP($A76,ESPNData!$B:$O,4,0),(FIND("/",VLOOKUP($A76,ESPNData!$B:$O,4,0))-1)))))</f>
        <v>0</v>
      </c>
      <c r="K76" s="33">
        <f>IF(ISERROR(VLOOKUP($A76,ESPNData!$B:$O,5,0)),"",IF((VLOOKUP($A76,ESPNData!$B:$O,5,0)="--"),0,VLOOKUP($A76,ESPNData!$B:$O,5,0)))</f>
        <v>0</v>
      </c>
      <c r="L76" s="33">
        <f>IF(ISERROR(VLOOKUP($A76,ESPNData!$B:$O,6,0)),"",IF((VLOOKUP($A76,ESPNData!$B:$O,6,0)="--"),0,VLOOKUP($A76,ESPNData!$B:$O,6,0)))</f>
        <v>0</v>
      </c>
      <c r="M76" s="33">
        <f>IF(ISERROR(VLOOKUP($A76,ESPNData!$B:$O,7,0)),"",IF((VLOOKUP($A76,ESPNData!$B:$O,7,0)="--"),0,VLOOKUP($A76,ESPNData!$B:$O,7,0)))</f>
        <v>0</v>
      </c>
      <c r="N76" s="33">
        <f>IF(ISERROR(VLOOKUP($A76,ESPNData!$B:$O,9,0)),"",IF((VLOOKUP($A76,ESPNData!$B:$O,9,0)="--"),0,VLOOKUP($A76,ESPNData!$B:$O,9,0)))</f>
        <v>0</v>
      </c>
      <c r="O76" s="194">
        <f>IF(ISERROR(VLOOKUP($A76,ESPNData!$B:$O,10,0)),"",IF((VLOOKUP($A76,ESPNData!$B:$O,10,0)="--"),0,VLOOKUP($A76,ESPNData!$B:$O,10,0)))</f>
        <v>0</v>
      </c>
      <c r="P76" s="93" t="str">
        <f>IF(ISERROR(VLOOKUP($B76,SportslineData!$A:$O,4,0)),"",ROUND(VLOOKUP($B76,SportslineData!$A:$O,4,0),0))</f>
        <v/>
      </c>
      <c r="Q76" s="33" t="str">
        <f>IF(ISERROR(VLOOKUP($B76,SportslineData!$A:$O,5,0)),"",VLOOKUP($B76,SportslineData!$A:$O,5,0))</f>
        <v/>
      </c>
      <c r="R76" s="33" t="str">
        <f>IF(ISERROR(VLOOKUP($B76,SportslineData!$A:$O,6,0)),"",ROUND(VLOOKUP($B76,SportslineData!$A:$O,6,0),0))</f>
        <v/>
      </c>
      <c r="S76" s="33" t="str">
        <f>IF(ISERROR(VLOOKUP($B76,SportslineData!$A:$O,7,0)),"",ROUND(VLOOKUP($B76,SportslineData!$A:$O,7,0),0))</f>
        <v/>
      </c>
      <c r="T76" s="33" t="str">
        <f>IF(ISERROR(VLOOKUP($B76,SportslineData!$A:$O,11,0)),"",VLOOKUP($B76,SportslineData!$A:$O,11,0))</f>
        <v/>
      </c>
      <c r="U76" s="33" t="str">
        <f>IF(ISERROR(VLOOKUP($B76,SportslineData!$A:$O,13,0)),"",ROUND(VLOOKUP($B76,SportslineData!$A:$O,13,0),0))</f>
        <v/>
      </c>
      <c r="V76" s="64" t="str">
        <f>IF(ISERROR(VLOOKUP($B76,SportslineData!$A:$O,14,0)),"",ROUND(VLOOKUP($B76,SportslineData!$A:$O,14,0),0))</f>
        <v/>
      </c>
      <c r="W76" s="117"/>
      <c r="X76" s="33"/>
      <c r="Y76" s="38">
        <f>IF((E76=""),0,ROUND((((((ROUNDDOWN((E76/5),0)*Settings!$F$3)+(F76*Settings!$I$3))+(G76*Settings!$F$4))+(ROUNDDOWN((H76/5),0)*Settings!$F$7))+(I76*Settings!$I$7)),1))</f>
        <v>0</v>
      </c>
      <c r="Z76" s="38">
        <f>IF((K76=""),0,ROUND((((((ROUNDDOWN((K76/5),0)*Settings!$F$3)+(L76*Settings!$I$3))+(M76*Settings!$F$4))+(ROUNDDOWN((N76/5),0)*Settings!$F$7))+(O76*Settings!$I$7)),1))</f>
        <v>0</v>
      </c>
      <c r="AA76" s="38">
        <f>IF((Q76=""),0,ROUND(((((((ROUNDDOWN((Q76/5),0)*Settings!$F$3)+(R76*Settings!$I$3))+(S76*Settings!$F$4))+(ROUNDDOWN((T76/5),0)*Settings!$F$7))+(U76*Settings!$I$7))+(V76*Settings!$F$15)),1))</f>
        <v>0</v>
      </c>
      <c r="AB76" s="66">
        <f>ROUND((((Y76*Settings!$B$21)+(Z76*Settings!$B$22))+(AA76*Settings!$B$23)),1)</f>
        <v>0</v>
      </c>
      <c r="AC76" s="66">
        <f>IF(ISERROR(VLOOKUP(RANK(AB76,$AB$4:$AB$102),AC$4:AC75,1,0)),RANK(AB76,$AB$4:$AB$102),IF(ISERROR(VLOOKUP((RANK(AB76,$AB$4:$AB$102)+1),AC$4:AC75,1,0)),(RANK(AB76,$AB$4:$AB$102)+1),IF(ISERROR(VLOOKUP((RANK(AB76,$AB$4:$AB$102)+2),AC$4:AC75,1,0)),(RANK(AB76,$AB$4:$AB$102)+2),(RANK(AB76,$AB$4:$AB$102)+3))))</f>
        <v>69</v>
      </c>
      <c r="AD76" t="str">
        <f t="shared" si="8"/>
        <v>Aaron Murray</v>
      </c>
    </row>
    <row r="77" spans="1:30" ht="12.75" customHeight="1">
      <c r="A77" s="33" t="str">
        <f>ESPNData!B78</f>
        <v>Colt McCoy, Wsh QB</v>
      </c>
      <c r="B77" s="33" t="str">
        <f t="shared" si="6"/>
        <v>Colt McCoy</v>
      </c>
      <c r="C77" s="64" t="str">
        <f t="shared" si="7"/>
        <v>WSH</v>
      </c>
      <c r="D77" s="117">
        <f>IF(ISERROR(VLOOKUP($B77,FFTodayData!$B:$M,4,0)),"",VLOOKUP($B77,FFTodayData!$B:$M,4,0))</f>
        <v>14</v>
      </c>
      <c r="E77" s="33">
        <f>IF(ISERROR(VLOOKUP($B77,FFTodayData!$B:$M,6,0)),"",VLOOKUP($B77,FFTodayData!$B:$M,6,0))</f>
        <v>156</v>
      </c>
      <c r="F77" s="33">
        <f>IF(ISERROR(VLOOKUP($B77,FFTodayData!$B:$M,7,0)),"",VLOOKUP($B77,FFTodayData!$B:$M,7,0))</f>
        <v>0</v>
      </c>
      <c r="G77" s="33">
        <f>IF(ISERROR(VLOOKUP($B77,FFTodayData!$B:$M,8,0)),"",VLOOKUP($B77,FFTodayData!$B:$M,8,0))</f>
        <v>1</v>
      </c>
      <c r="H77" s="33">
        <f>IF(ISERROR(VLOOKUP($B77,FFTodayData!$B:$M,10,0)),"",VLOOKUP($B77,FFTodayData!$B:$M,10,0))</f>
        <v>0</v>
      </c>
      <c r="I77" s="64">
        <f>IF(ISERROR(VLOOKUP($B77,FFTodayData!$B:$M,11,0)),"",VLOOKUP($B77,FFTodayData!$B:$M,11,0))</f>
        <v>0</v>
      </c>
      <c r="J77" s="117">
        <f>VALUE(IF(ISERROR(VLOOKUP($A77,ESPNData!$B:$O,4,0)),"",IF((VLOOKUP($A77,ESPNData!$B:$O,4,0)="--/--"),0,LEFT(VLOOKUP($A77,ESPNData!$B:$O,4,0),(FIND("/",VLOOKUP($A77,ESPNData!$B:$O,4,0))-1)))))</f>
        <v>0</v>
      </c>
      <c r="K77" s="33">
        <f>IF(ISERROR(VLOOKUP($A77,ESPNData!$B:$O,5,0)),"",IF((VLOOKUP($A77,ESPNData!$B:$O,5,0)="--"),0,VLOOKUP($A77,ESPNData!$B:$O,5,0)))</f>
        <v>0</v>
      </c>
      <c r="L77" s="33">
        <f>IF(ISERROR(VLOOKUP($A77,ESPNData!$B:$O,6,0)),"",IF((VLOOKUP($A77,ESPNData!$B:$O,6,0)="--"),0,VLOOKUP($A77,ESPNData!$B:$O,6,0)))</f>
        <v>0</v>
      </c>
      <c r="M77" s="33">
        <f>IF(ISERROR(VLOOKUP($A77,ESPNData!$B:$O,7,0)),"",IF((VLOOKUP($A77,ESPNData!$B:$O,7,0)="--"),0,VLOOKUP($A77,ESPNData!$B:$O,7,0)))</f>
        <v>0</v>
      </c>
      <c r="N77" s="33">
        <f>IF(ISERROR(VLOOKUP($A77,ESPNData!$B:$O,9,0)),"",IF((VLOOKUP($A77,ESPNData!$B:$O,9,0)="--"),0,VLOOKUP($A77,ESPNData!$B:$O,9,0)))</f>
        <v>0</v>
      </c>
      <c r="O77" s="194">
        <f>IF(ISERROR(VLOOKUP($A77,ESPNData!$B:$O,10,0)),"",IF((VLOOKUP($A77,ESPNData!$B:$O,10,0)="--"),0,VLOOKUP($A77,ESPNData!$B:$O,10,0)))</f>
        <v>0</v>
      </c>
      <c r="P77" s="93" t="str">
        <f>IF(ISERROR(VLOOKUP($B77,SportslineData!$A:$O,4,0)),"",ROUND(VLOOKUP($B77,SportslineData!$A:$O,4,0),0))</f>
        <v/>
      </c>
      <c r="Q77" s="33" t="str">
        <f>IF(ISERROR(VLOOKUP($B77,SportslineData!$A:$O,5,0)),"",VLOOKUP($B77,SportslineData!$A:$O,5,0))</f>
        <v/>
      </c>
      <c r="R77" s="33" t="str">
        <f>IF(ISERROR(VLOOKUP($B77,SportslineData!$A:$O,6,0)),"",ROUND(VLOOKUP($B77,SportslineData!$A:$O,6,0),0))</f>
        <v/>
      </c>
      <c r="S77" s="33" t="str">
        <f>IF(ISERROR(VLOOKUP($B77,SportslineData!$A:$O,7,0)),"",ROUND(VLOOKUP($B77,SportslineData!$A:$O,7,0),0))</f>
        <v/>
      </c>
      <c r="T77" s="33" t="str">
        <f>IF(ISERROR(VLOOKUP($B77,SportslineData!$A:$O,11,0)),"",VLOOKUP($B77,SportslineData!$A:$O,11,0))</f>
        <v/>
      </c>
      <c r="U77" s="33" t="str">
        <f>IF(ISERROR(VLOOKUP($B77,SportslineData!$A:$O,13,0)),"",ROUND(VLOOKUP($B77,SportslineData!$A:$O,13,0),0))</f>
        <v/>
      </c>
      <c r="V77" s="64" t="str">
        <f>IF(ISERROR(VLOOKUP($B77,SportslineData!$A:$O,14,0)),"",ROUND(VLOOKUP($B77,SportslineData!$A:$O,14,0),0))</f>
        <v/>
      </c>
      <c r="W77" s="117"/>
      <c r="X77" s="33"/>
      <c r="Y77" s="38">
        <f>IF((E77=""),0,ROUND((((((ROUNDDOWN((E77/5),0)*Settings!$F$3)+(F77*Settings!$I$3))+(G77*Settings!$F$4))+(ROUNDDOWN((H77/5),0)*Settings!$F$7))+(I77*Settings!$I$7)),1))</f>
        <v>4.2</v>
      </c>
      <c r="Z77" s="38">
        <f>IF((K77=""),0,ROUND((((((ROUNDDOWN((K77/5),0)*Settings!$F$3)+(L77*Settings!$I$3))+(M77*Settings!$F$4))+(ROUNDDOWN((N77/5),0)*Settings!$F$7))+(O77*Settings!$I$7)),1))</f>
        <v>0</v>
      </c>
      <c r="AA77" s="38">
        <f>IF((Q77=""),0,ROUND(((((((ROUNDDOWN((Q77/5),0)*Settings!$F$3)+(R77*Settings!$I$3))+(S77*Settings!$F$4))+(ROUNDDOWN((T77/5),0)*Settings!$F$7))+(U77*Settings!$I$7))+(V77*Settings!$F$15)),1))</f>
        <v>0</v>
      </c>
      <c r="AB77" s="66">
        <f>ROUND((((Y77*Settings!$B$21)+(Z77*Settings!$B$22))+(AA77*Settings!$B$23)),1)</f>
        <v>1.4</v>
      </c>
      <c r="AC77" s="66">
        <f>IF(ISERROR(VLOOKUP(RANK(AB77,$AB$4:$AB$102),AC$4:AC76,1,0)),RANK(AB77,$AB$4:$AB$102),IF(ISERROR(VLOOKUP((RANK(AB77,$AB$4:$AB$102)+1),AC$4:AC76,1,0)),(RANK(AB77,$AB$4:$AB$102)+1),IF(ISERROR(VLOOKUP((RANK(AB77,$AB$4:$AB$102)+2),AC$4:AC76,1,0)),(RANK(AB77,$AB$4:$AB$102)+2),(RANK(AB77,$AB$4:$AB$102)+3))))</f>
        <v>63</v>
      </c>
      <c r="AD77" t="str">
        <f t="shared" si="8"/>
        <v>Colt McCoy</v>
      </c>
    </row>
    <row r="78" spans="1:30" ht="12.75" customHeight="1">
      <c r="A78" s="33" t="str">
        <f>ESPNData!B79</f>
        <v>Landry Jones, Pit QB</v>
      </c>
      <c r="B78" s="33" t="str">
        <f t="shared" si="6"/>
        <v>Landry Jones</v>
      </c>
      <c r="C78" s="64" t="str">
        <f t="shared" si="7"/>
        <v>PIT</v>
      </c>
      <c r="D78" s="117" t="str">
        <f>IF(ISERROR(VLOOKUP($B78,FFTodayData!$B:$M,4,0)),"",VLOOKUP($B78,FFTodayData!$B:$M,4,0))</f>
        <v/>
      </c>
      <c r="E78" s="33" t="str">
        <f>IF(ISERROR(VLOOKUP($B78,FFTodayData!$B:$M,6,0)),"",VLOOKUP($B78,FFTodayData!$B:$M,6,0))</f>
        <v/>
      </c>
      <c r="F78" s="33" t="str">
        <f>IF(ISERROR(VLOOKUP($B78,FFTodayData!$B:$M,7,0)),"",VLOOKUP($B78,FFTodayData!$B:$M,7,0))</f>
        <v/>
      </c>
      <c r="G78" s="33" t="str">
        <f>IF(ISERROR(VLOOKUP($B78,FFTodayData!$B:$M,8,0)),"",VLOOKUP($B78,FFTodayData!$B:$M,8,0))</f>
        <v/>
      </c>
      <c r="H78" s="33" t="str">
        <f>IF(ISERROR(VLOOKUP($B78,FFTodayData!$B:$M,10,0)),"",VLOOKUP($B78,FFTodayData!$B:$M,10,0))</f>
        <v/>
      </c>
      <c r="I78" s="64" t="str">
        <f>IF(ISERROR(VLOOKUP($B78,FFTodayData!$B:$M,11,0)),"",VLOOKUP($B78,FFTodayData!$B:$M,11,0))</f>
        <v/>
      </c>
      <c r="J78" s="117">
        <f>VALUE(IF(ISERROR(VLOOKUP($A78,ESPNData!$B:$O,4,0)),"",IF((VLOOKUP($A78,ESPNData!$B:$O,4,0)="--/--"),0,LEFT(VLOOKUP($A78,ESPNData!$B:$O,4,0),(FIND("/",VLOOKUP($A78,ESPNData!$B:$O,4,0))-1)))))</f>
        <v>0</v>
      </c>
      <c r="K78" s="33">
        <f>IF(ISERROR(VLOOKUP($A78,ESPNData!$B:$O,5,0)),"",IF((VLOOKUP($A78,ESPNData!$B:$O,5,0)="--"),0,VLOOKUP($A78,ESPNData!$B:$O,5,0)))</f>
        <v>0</v>
      </c>
      <c r="L78" s="33">
        <f>IF(ISERROR(VLOOKUP($A78,ESPNData!$B:$O,6,0)),"",IF((VLOOKUP($A78,ESPNData!$B:$O,6,0)="--"),0,VLOOKUP($A78,ESPNData!$B:$O,6,0)))</f>
        <v>0</v>
      </c>
      <c r="M78" s="33">
        <f>IF(ISERROR(VLOOKUP($A78,ESPNData!$B:$O,7,0)),"",IF((VLOOKUP($A78,ESPNData!$B:$O,7,0)="--"),0,VLOOKUP($A78,ESPNData!$B:$O,7,0)))</f>
        <v>0</v>
      </c>
      <c r="N78" s="33">
        <f>IF(ISERROR(VLOOKUP($A78,ESPNData!$B:$O,9,0)),"",IF((VLOOKUP($A78,ESPNData!$B:$O,9,0)="--"),0,VLOOKUP($A78,ESPNData!$B:$O,9,0)))</f>
        <v>0</v>
      </c>
      <c r="O78" s="194">
        <f>IF(ISERROR(VLOOKUP($A78,ESPNData!$B:$O,10,0)),"",IF((VLOOKUP($A78,ESPNData!$B:$O,10,0)="--"),0,VLOOKUP($A78,ESPNData!$B:$O,10,0)))</f>
        <v>0</v>
      </c>
      <c r="P78" s="93" t="str">
        <f>IF(ISERROR(VLOOKUP($B78,SportslineData!$A:$O,4,0)),"",ROUND(VLOOKUP($B78,SportslineData!$A:$O,4,0),0))</f>
        <v/>
      </c>
      <c r="Q78" s="33" t="str">
        <f>IF(ISERROR(VLOOKUP($B78,SportslineData!$A:$O,5,0)),"",VLOOKUP($B78,SportslineData!$A:$O,5,0))</f>
        <v/>
      </c>
      <c r="R78" s="33" t="str">
        <f>IF(ISERROR(VLOOKUP($B78,SportslineData!$A:$O,6,0)),"",ROUND(VLOOKUP($B78,SportslineData!$A:$O,6,0),0))</f>
        <v/>
      </c>
      <c r="S78" s="33" t="str">
        <f>IF(ISERROR(VLOOKUP($B78,SportslineData!$A:$O,7,0)),"",ROUND(VLOOKUP($B78,SportslineData!$A:$O,7,0),0))</f>
        <v/>
      </c>
      <c r="T78" s="33" t="str">
        <f>IF(ISERROR(VLOOKUP($B78,SportslineData!$A:$O,11,0)),"",VLOOKUP($B78,SportslineData!$A:$O,11,0))</f>
        <v/>
      </c>
      <c r="U78" s="33" t="str">
        <f>IF(ISERROR(VLOOKUP($B78,SportslineData!$A:$O,13,0)),"",ROUND(VLOOKUP($B78,SportslineData!$A:$O,13,0),0))</f>
        <v/>
      </c>
      <c r="V78" s="64" t="str">
        <f>IF(ISERROR(VLOOKUP($B78,SportslineData!$A:$O,14,0)),"",ROUND(VLOOKUP($B78,SportslineData!$A:$O,14,0),0))</f>
        <v/>
      </c>
      <c r="W78" s="117"/>
      <c r="X78" s="33"/>
      <c r="Y78" s="38">
        <f>IF((E78=""),0,ROUND((((((ROUNDDOWN((E78/5),0)*Settings!$F$3)+(F78*Settings!$I$3))+(G78*Settings!$F$4))+(ROUNDDOWN((H78/5),0)*Settings!$F$7))+(I78*Settings!$I$7)),1))</f>
        <v>0</v>
      </c>
      <c r="Z78" s="38">
        <f>IF((K78=""),0,ROUND((((((ROUNDDOWN((K78/5),0)*Settings!$F$3)+(L78*Settings!$I$3))+(M78*Settings!$F$4))+(ROUNDDOWN((N78/5),0)*Settings!$F$7))+(O78*Settings!$I$7)),1))</f>
        <v>0</v>
      </c>
      <c r="AA78" s="38">
        <f>IF((Q78=""),0,ROUND(((((((ROUNDDOWN((Q78/5),0)*Settings!$F$3)+(R78*Settings!$I$3))+(S78*Settings!$F$4))+(ROUNDDOWN((T78/5),0)*Settings!$F$7))+(U78*Settings!$I$7))+(V78*Settings!$F$15)),1))</f>
        <v>0</v>
      </c>
      <c r="AB78" s="66">
        <f>ROUND((((Y78*Settings!$B$21)+(Z78*Settings!$B$22))+(AA78*Settings!$B$23)),1)</f>
        <v>0</v>
      </c>
      <c r="AC78" s="66">
        <f>IF(ISERROR(VLOOKUP(RANK(AB78,$AB$4:$AB$102),AC$4:AC77,1,0)),RANK(AB78,$AB$4:$AB$102),IF(ISERROR(VLOOKUP((RANK(AB78,$AB$4:$AB$102)+1),AC$4:AC77,1,0)),(RANK(AB78,$AB$4:$AB$102)+1),IF(ISERROR(VLOOKUP((RANK(AB78,$AB$4:$AB$102)+2),AC$4:AC77,1,0)),(RANK(AB78,$AB$4:$AB$102)+2),(RANK(AB78,$AB$4:$AB$102)+3))))</f>
        <v>69</v>
      </c>
      <c r="AD78" t="str">
        <f t="shared" si="8"/>
        <v>Landry Jones</v>
      </c>
    </row>
    <row r="79" spans="1:30" ht="12.75" customHeight="1">
      <c r="A79" s="33" t="str">
        <f>ESPNData!B80</f>
        <v>Logan Thomas, Ari QB</v>
      </c>
      <c r="B79" s="33" t="str">
        <f t="shared" si="6"/>
        <v>Logan Thomas</v>
      </c>
      <c r="C79" s="64" t="str">
        <f t="shared" si="7"/>
        <v>ARI</v>
      </c>
      <c r="D79" s="117" t="str">
        <f>IF(ISERROR(VLOOKUP($B79,FFTodayData!$B:$M,4,0)),"",VLOOKUP($B79,FFTodayData!$B:$M,4,0))</f>
        <v/>
      </c>
      <c r="E79" s="33" t="str">
        <f>IF(ISERROR(VLOOKUP($B79,FFTodayData!$B:$M,6,0)),"",VLOOKUP($B79,FFTodayData!$B:$M,6,0))</f>
        <v/>
      </c>
      <c r="F79" s="33" t="str">
        <f>IF(ISERROR(VLOOKUP($B79,FFTodayData!$B:$M,7,0)),"",VLOOKUP($B79,FFTodayData!$B:$M,7,0))</f>
        <v/>
      </c>
      <c r="G79" s="33" t="str">
        <f>IF(ISERROR(VLOOKUP($B79,FFTodayData!$B:$M,8,0)),"",VLOOKUP($B79,FFTodayData!$B:$M,8,0))</f>
        <v/>
      </c>
      <c r="H79" s="33" t="str">
        <f>IF(ISERROR(VLOOKUP($B79,FFTodayData!$B:$M,10,0)),"",VLOOKUP($B79,FFTodayData!$B:$M,10,0))</f>
        <v/>
      </c>
      <c r="I79" s="64" t="str">
        <f>IF(ISERROR(VLOOKUP($B79,FFTodayData!$B:$M,11,0)),"",VLOOKUP($B79,FFTodayData!$B:$M,11,0))</f>
        <v/>
      </c>
      <c r="J79" s="117">
        <f>VALUE(IF(ISERROR(VLOOKUP($A79,ESPNData!$B:$O,4,0)),"",IF((VLOOKUP($A79,ESPNData!$B:$O,4,0)="--/--"),0,LEFT(VLOOKUP($A79,ESPNData!$B:$O,4,0),(FIND("/",VLOOKUP($A79,ESPNData!$B:$O,4,0))-1)))))</f>
        <v>0</v>
      </c>
      <c r="K79" s="33">
        <f>IF(ISERROR(VLOOKUP($A79,ESPNData!$B:$O,5,0)),"",IF((VLOOKUP($A79,ESPNData!$B:$O,5,0)="--"),0,VLOOKUP($A79,ESPNData!$B:$O,5,0)))</f>
        <v>0</v>
      </c>
      <c r="L79" s="33">
        <f>IF(ISERROR(VLOOKUP($A79,ESPNData!$B:$O,6,0)),"",IF((VLOOKUP($A79,ESPNData!$B:$O,6,0)="--"),0,VLOOKUP($A79,ESPNData!$B:$O,6,0)))</f>
        <v>0</v>
      </c>
      <c r="M79" s="33">
        <f>IF(ISERROR(VLOOKUP($A79,ESPNData!$B:$O,7,0)),"",IF((VLOOKUP($A79,ESPNData!$B:$O,7,0)="--"),0,VLOOKUP($A79,ESPNData!$B:$O,7,0)))</f>
        <v>0</v>
      </c>
      <c r="N79" s="33">
        <f>IF(ISERROR(VLOOKUP($A79,ESPNData!$B:$O,9,0)),"",IF((VLOOKUP($A79,ESPNData!$B:$O,9,0)="--"),0,VLOOKUP($A79,ESPNData!$B:$O,9,0)))</f>
        <v>0</v>
      </c>
      <c r="O79" s="194">
        <f>IF(ISERROR(VLOOKUP($A79,ESPNData!$B:$O,10,0)),"",IF((VLOOKUP($A79,ESPNData!$B:$O,10,0)="--"),0,VLOOKUP($A79,ESPNData!$B:$O,10,0)))</f>
        <v>0</v>
      </c>
      <c r="P79" s="93" t="str">
        <f>IF(ISERROR(VLOOKUP($B79,SportslineData!$A:$O,4,0)),"",ROUND(VLOOKUP($B79,SportslineData!$A:$O,4,0),0))</f>
        <v/>
      </c>
      <c r="Q79" s="33" t="str">
        <f>IF(ISERROR(VLOOKUP($B79,SportslineData!$A:$O,5,0)),"",VLOOKUP($B79,SportslineData!$A:$O,5,0))</f>
        <v/>
      </c>
      <c r="R79" s="33" t="str">
        <f>IF(ISERROR(VLOOKUP($B79,SportslineData!$A:$O,6,0)),"",ROUND(VLOOKUP($B79,SportslineData!$A:$O,6,0),0))</f>
        <v/>
      </c>
      <c r="S79" s="33" t="str">
        <f>IF(ISERROR(VLOOKUP($B79,SportslineData!$A:$O,7,0)),"",ROUND(VLOOKUP($B79,SportslineData!$A:$O,7,0),0))</f>
        <v/>
      </c>
      <c r="T79" s="33" t="str">
        <f>IF(ISERROR(VLOOKUP($B79,SportslineData!$A:$O,11,0)),"",VLOOKUP($B79,SportslineData!$A:$O,11,0))</f>
        <v/>
      </c>
      <c r="U79" s="33" t="str">
        <f>IF(ISERROR(VLOOKUP($B79,SportslineData!$A:$O,13,0)),"",ROUND(VLOOKUP($B79,SportslineData!$A:$O,13,0),0))</f>
        <v/>
      </c>
      <c r="V79" s="64" t="str">
        <f>IF(ISERROR(VLOOKUP($B79,SportslineData!$A:$O,14,0)),"",ROUND(VLOOKUP($B79,SportslineData!$A:$O,14,0),0))</f>
        <v/>
      </c>
      <c r="W79" s="117"/>
      <c r="X79" s="33"/>
      <c r="Y79" s="38">
        <f>IF((E79=""),0,ROUND((((((ROUNDDOWN((E79/5),0)*Settings!$F$3)+(F79*Settings!$I$3))+(G79*Settings!$F$4))+(ROUNDDOWN((H79/5),0)*Settings!$F$7))+(I79*Settings!$I$7)),1))</f>
        <v>0</v>
      </c>
      <c r="Z79" s="38">
        <f>IF((K79=""),0,ROUND((((((ROUNDDOWN((K79/5),0)*Settings!$F$3)+(L79*Settings!$I$3))+(M79*Settings!$F$4))+(ROUNDDOWN((N79/5),0)*Settings!$F$7))+(O79*Settings!$I$7)),1))</f>
        <v>0</v>
      </c>
      <c r="AA79" s="38">
        <f>IF((Q79=""),0,ROUND(((((((ROUNDDOWN((Q79/5),0)*Settings!$F$3)+(R79*Settings!$I$3))+(S79*Settings!$F$4))+(ROUNDDOWN((T79/5),0)*Settings!$F$7))+(U79*Settings!$I$7))+(V79*Settings!$F$15)),1))</f>
        <v>0</v>
      </c>
      <c r="AB79" s="66">
        <f>ROUND((((Y79*Settings!$B$21)+(Z79*Settings!$B$22))+(AA79*Settings!$B$23)),1)</f>
        <v>0</v>
      </c>
      <c r="AC79" s="66">
        <f>IF(ISERROR(VLOOKUP(RANK(AB79,$AB$4:$AB$102),AC$4:AC78,1,0)),RANK(AB79,$AB$4:$AB$102),IF(ISERROR(VLOOKUP((RANK(AB79,$AB$4:$AB$102)+1),AC$4:AC78,1,0)),(RANK(AB79,$AB$4:$AB$102)+1),IF(ISERROR(VLOOKUP((RANK(AB79,$AB$4:$AB$102)+2),AC$4:AC78,1,0)),(RANK(AB79,$AB$4:$AB$102)+2),(RANK(AB79,$AB$4:$AB$102)+3))))</f>
        <v>69</v>
      </c>
      <c r="AD79" t="str">
        <f t="shared" si="8"/>
        <v>Logan Thomas</v>
      </c>
    </row>
    <row r="80" spans="1:30" ht="12.75" customHeight="1">
      <c r="A80" s="33" t="str">
        <f>ESPNData!B81</f>
        <v>Tyler Bray, KC QB</v>
      </c>
      <c r="B80" s="33" t="str">
        <f t="shared" si="6"/>
        <v>Tyler Bray</v>
      </c>
      <c r="C80" s="64" t="str">
        <f t="shared" si="7"/>
        <v>KC</v>
      </c>
      <c r="D80" s="117" t="str">
        <f>IF(ISERROR(VLOOKUP($B80,FFTodayData!$B:$M,4,0)),"",VLOOKUP($B80,FFTodayData!$B:$M,4,0))</f>
        <v/>
      </c>
      <c r="E80" s="33" t="str">
        <f>IF(ISERROR(VLOOKUP($B80,FFTodayData!$B:$M,6,0)),"",VLOOKUP($B80,FFTodayData!$B:$M,6,0))</f>
        <v/>
      </c>
      <c r="F80" s="33" t="str">
        <f>IF(ISERROR(VLOOKUP($B80,FFTodayData!$B:$M,7,0)),"",VLOOKUP($B80,FFTodayData!$B:$M,7,0))</f>
        <v/>
      </c>
      <c r="G80" s="33" t="str">
        <f>IF(ISERROR(VLOOKUP($B80,FFTodayData!$B:$M,8,0)),"",VLOOKUP($B80,FFTodayData!$B:$M,8,0))</f>
        <v/>
      </c>
      <c r="H80" s="33" t="str">
        <f>IF(ISERROR(VLOOKUP($B80,FFTodayData!$B:$M,10,0)),"",VLOOKUP($B80,FFTodayData!$B:$M,10,0))</f>
        <v/>
      </c>
      <c r="I80" s="64" t="str">
        <f>IF(ISERROR(VLOOKUP($B80,FFTodayData!$B:$M,11,0)),"",VLOOKUP($B80,FFTodayData!$B:$M,11,0))</f>
        <v/>
      </c>
      <c r="J80" s="117">
        <f>VALUE(IF(ISERROR(VLOOKUP($A80,ESPNData!$B:$O,4,0)),"",IF((VLOOKUP($A80,ESPNData!$B:$O,4,0)="--/--"),0,LEFT(VLOOKUP($A80,ESPNData!$B:$O,4,0),(FIND("/",VLOOKUP($A80,ESPNData!$B:$O,4,0))-1)))))</f>
        <v>0</v>
      </c>
      <c r="K80" s="33">
        <f>IF(ISERROR(VLOOKUP($A80,ESPNData!$B:$O,5,0)),"",IF((VLOOKUP($A80,ESPNData!$B:$O,5,0)="--"),0,VLOOKUP($A80,ESPNData!$B:$O,5,0)))</f>
        <v>0</v>
      </c>
      <c r="L80" s="33">
        <f>IF(ISERROR(VLOOKUP($A80,ESPNData!$B:$O,6,0)),"",IF((VLOOKUP($A80,ESPNData!$B:$O,6,0)="--"),0,VLOOKUP($A80,ESPNData!$B:$O,6,0)))</f>
        <v>0</v>
      </c>
      <c r="M80" s="33">
        <f>IF(ISERROR(VLOOKUP($A80,ESPNData!$B:$O,7,0)),"",IF((VLOOKUP($A80,ESPNData!$B:$O,7,0)="--"),0,VLOOKUP($A80,ESPNData!$B:$O,7,0)))</f>
        <v>0</v>
      </c>
      <c r="N80" s="33">
        <f>IF(ISERROR(VLOOKUP($A80,ESPNData!$B:$O,9,0)),"",IF((VLOOKUP($A80,ESPNData!$B:$O,9,0)="--"),0,VLOOKUP($A80,ESPNData!$B:$O,9,0)))</f>
        <v>0</v>
      </c>
      <c r="O80" s="194">
        <f>IF(ISERROR(VLOOKUP($A80,ESPNData!$B:$O,10,0)),"",IF((VLOOKUP($A80,ESPNData!$B:$O,10,0)="--"),0,VLOOKUP($A80,ESPNData!$B:$O,10,0)))</f>
        <v>0</v>
      </c>
      <c r="P80" s="93" t="str">
        <f>IF(ISERROR(VLOOKUP($B80,SportslineData!$A:$O,4,0)),"",ROUND(VLOOKUP($B80,SportslineData!$A:$O,4,0),0))</f>
        <v/>
      </c>
      <c r="Q80" s="33" t="str">
        <f>IF(ISERROR(VLOOKUP($B80,SportslineData!$A:$O,5,0)),"",VLOOKUP($B80,SportslineData!$A:$O,5,0))</f>
        <v/>
      </c>
      <c r="R80" s="33" t="str">
        <f>IF(ISERROR(VLOOKUP($B80,SportslineData!$A:$O,6,0)),"",ROUND(VLOOKUP($B80,SportslineData!$A:$O,6,0),0))</f>
        <v/>
      </c>
      <c r="S80" s="33" t="str">
        <f>IF(ISERROR(VLOOKUP($B80,SportslineData!$A:$O,7,0)),"",ROUND(VLOOKUP($B80,SportslineData!$A:$O,7,0),0))</f>
        <v/>
      </c>
      <c r="T80" s="33" t="str">
        <f>IF(ISERROR(VLOOKUP($B80,SportslineData!$A:$O,11,0)),"",VLOOKUP($B80,SportslineData!$A:$O,11,0))</f>
        <v/>
      </c>
      <c r="U80" s="33" t="str">
        <f>IF(ISERROR(VLOOKUP($B80,SportslineData!$A:$O,13,0)),"",ROUND(VLOOKUP($B80,SportslineData!$A:$O,13,0),0))</f>
        <v/>
      </c>
      <c r="V80" s="64" t="str">
        <f>IF(ISERROR(VLOOKUP($B80,SportslineData!$A:$O,14,0)),"",ROUND(VLOOKUP($B80,SportslineData!$A:$O,14,0),0))</f>
        <v/>
      </c>
      <c r="W80" s="117"/>
      <c r="X80" s="33"/>
      <c r="Y80" s="38">
        <f>IF((E80=""),0,ROUND((((((ROUNDDOWN((E80/5),0)*Settings!$F$3)+(F80*Settings!$I$3))+(G80*Settings!$F$4))+(ROUNDDOWN((H80/5),0)*Settings!$F$7))+(I80*Settings!$I$7)),1))</f>
        <v>0</v>
      </c>
      <c r="Z80" s="38">
        <f>IF((K80=""),0,ROUND((((((ROUNDDOWN((K80/5),0)*Settings!$F$3)+(L80*Settings!$I$3))+(M80*Settings!$F$4))+(ROUNDDOWN((N80/5),0)*Settings!$F$7))+(O80*Settings!$I$7)),1))</f>
        <v>0</v>
      </c>
      <c r="AA80" s="38">
        <f>IF((Q80=""),0,ROUND(((((((ROUNDDOWN((Q80/5),0)*Settings!$F$3)+(R80*Settings!$I$3))+(S80*Settings!$F$4))+(ROUNDDOWN((T80/5),0)*Settings!$F$7))+(U80*Settings!$I$7))+(V80*Settings!$F$15)),1))</f>
        <v>0</v>
      </c>
      <c r="AB80" s="66">
        <f>ROUND((((Y80*Settings!$B$21)+(Z80*Settings!$B$22))+(AA80*Settings!$B$23)),1)</f>
        <v>0</v>
      </c>
      <c r="AC80" s="66">
        <f>IF(ISERROR(VLOOKUP(RANK(AB80,$AB$4:$AB$102),AC$4:AC79,1,0)),RANK(AB80,$AB$4:$AB$102),IF(ISERROR(VLOOKUP((RANK(AB80,$AB$4:$AB$102)+1),AC$4:AC79,1,0)),(RANK(AB80,$AB$4:$AB$102)+1),IF(ISERROR(VLOOKUP((RANK(AB80,$AB$4:$AB$102)+2),AC$4:AC79,1,0)),(RANK(AB80,$AB$4:$AB$102)+2),(RANK(AB80,$AB$4:$AB$102)+3))))</f>
        <v>69</v>
      </c>
      <c r="AD80" t="str">
        <f t="shared" si="8"/>
        <v>Tyler Bray</v>
      </c>
    </row>
    <row r="81" spans="1:30" ht="12.75" customHeight="1">
      <c r="A81" s="33" t="str">
        <f>ESPNData!B82</f>
        <v>Zach Mettenberger, Ten QB</v>
      </c>
      <c r="B81" s="33" t="str">
        <f t="shared" si="6"/>
        <v>Zach Mettenberger</v>
      </c>
      <c r="C81" s="64" t="str">
        <f t="shared" si="7"/>
        <v>TEN</v>
      </c>
      <c r="D81" s="117" t="str">
        <f>IF(ISERROR(VLOOKUP($B81,FFTodayData!$B:$M,4,0)),"",VLOOKUP($B81,FFTodayData!$B:$M,4,0))</f>
        <v/>
      </c>
      <c r="E81" s="33" t="str">
        <f>IF(ISERROR(VLOOKUP($B81,FFTodayData!$B:$M,6,0)),"",VLOOKUP($B81,FFTodayData!$B:$M,6,0))</f>
        <v/>
      </c>
      <c r="F81" s="33" t="str">
        <f>IF(ISERROR(VLOOKUP($B81,FFTodayData!$B:$M,7,0)),"",VLOOKUP($B81,FFTodayData!$B:$M,7,0))</f>
        <v/>
      </c>
      <c r="G81" s="33" t="str">
        <f>IF(ISERROR(VLOOKUP($B81,FFTodayData!$B:$M,8,0)),"",VLOOKUP($B81,FFTodayData!$B:$M,8,0))</f>
        <v/>
      </c>
      <c r="H81" s="33" t="str">
        <f>IF(ISERROR(VLOOKUP($B81,FFTodayData!$B:$M,10,0)),"",VLOOKUP($B81,FFTodayData!$B:$M,10,0))</f>
        <v/>
      </c>
      <c r="I81" s="64" t="str">
        <f>IF(ISERROR(VLOOKUP($B81,FFTodayData!$B:$M,11,0)),"",VLOOKUP($B81,FFTodayData!$B:$M,11,0))</f>
        <v/>
      </c>
      <c r="J81" s="117">
        <f>VALUE(IF(ISERROR(VLOOKUP($A81,ESPNData!$B:$O,4,0)),"",IF((VLOOKUP($A81,ESPNData!$B:$O,4,0)="--/--"),0,LEFT(VLOOKUP($A81,ESPNData!$B:$O,4,0),(FIND("/",VLOOKUP($A81,ESPNData!$B:$O,4,0))-1)))))</f>
        <v>14</v>
      </c>
      <c r="K81" s="33">
        <f>IF(ISERROR(VLOOKUP($A81,ESPNData!$B:$O,5,0)),"",IF((VLOOKUP($A81,ESPNData!$B:$O,5,0)="--"),0,VLOOKUP($A81,ESPNData!$B:$O,5,0)))</f>
        <v>150</v>
      </c>
      <c r="L81" s="33">
        <f>IF(ISERROR(VLOOKUP($A81,ESPNData!$B:$O,6,0)),"",IF((VLOOKUP($A81,ESPNData!$B:$O,6,0)="--"),0,VLOOKUP($A81,ESPNData!$B:$O,6,0)))</f>
        <v>1</v>
      </c>
      <c r="M81" s="33">
        <f>IF(ISERROR(VLOOKUP($A81,ESPNData!$B:$O,7,0)),"",IF((VLOOKUP($A81,ESPNData!$B:$O,7,0)="--"),0,VLOOKUP($A81,ESPNData!$B:$O,7,0)))</f>
        <v>2</v>
      </c>
      <c r="N81" s="33">
        <f>IF(ISERROR(VLOOKUP($A81,ESPNData!$B:$O,9,0)),"",IF((VLOOKUP($A81,ESPNData!$B:$O,9,0)="--"),0,VLOOKUP($A81,ESPNData!$B:$O,9,0)))</f>
        <v>2</v>
      </c>
      <c r="O81" s="194">
        <f>IF(ISERROR(VLOOKUP($A81,ESPNData!$B:$O,10,0)),"",IF((VLOOKUP($A81,ESPNData!$B:$O,10,0)="--"),0,VLOOKUP($A81,ESPNData!$B:$O,10,0)))</f>
        <v>0</v>
      </c>
      <c r="P81" s="93">
        <f>IF(ISERROR(VLOOKUP($B81,SportslineData!$A:$O,4,0)),"",ROUND(VLOOKUP($B81,SportslineData!$A:$O,4,0),0))</f>
        <v>24</v>
      </c>
      <c r="Q81" s="33">
        <f>IF(ISERROR(VLOOKUP($B81,SportslineData!$A:$O,5,0)),"",VLOOKUP($B81,SportslineData!$A:$O,5,0))</f>
        <v>283</v>
      </c>
      <c r="R81" s="33">
        <f>IF(ISERROR(VLOOKUP($B81,SportslineData!$A:$O,6,0)),"",ROUND(VLOOKUP($B81,SportslineData!$A:$O,6,0),0))</f>
        <v>3</v>
      </c>
      <c r="S81" s="33">
        <f>IF(ISERROR(VLOOKUP($B81,SportslineData!$A:$O,7,0)),"",ROUND(VLOOKUP($B81,SportslineData!$A:$O,7,0),0))</f>
        <v>2</v>
      </c>
      <c r="T81" s="33">
        <f>IF(ISERROR(VLOOKUP($B81,SportslineData!$A:$O,11,0)),"",VLOOKUP($B81,SportslineData!$A:$O,11,0))</f>
        <v>1.5</v>
      </c>
      <c r="U81" s="33">
        <f>IF(ISERROR(VLOOKUP($B81,SportslineData!$A:$O,13,0)),"",ROUND(VLOOKUP($B81,SportslineData!$A:$O,13,0),0))</f>
        <v>0</v>
      </c>
      <c r="V81" s="64">
        <f>IF(ISERROR(VLOOKUP($B81,SportslineData!$A:$O,14,0)),"",ROUND(VLOOKUP($B81,SportslineData!$A:$O,14,0),0))</f>
        <v>1</v>
      </c>
      <c r="W81" s="117"/>
      <c r="X81" s="33"/>
      <c r="Y81" s="38">
        <f>IF((E81=""),0,ROUND((((((ROUNDDOWN((E81/5),0)*Settings!$F$3)+(F81*Settings!$I$3))+(G81*Settings!$F$4))+(ROUNDDOWN((H81/5),0)*Settings!$F$7))+(I81*Settings!$I$7)),1))</f>
        <v>0</v>
      </c>
      <c r="Z81" s="38">
        <f>IF((K81=""),0,ROUND((((((ROUNDDOWN((K81/5),0)*Settings!$F$3)+(L81*Settings!$I$3))+(M81*Settings!$F$4))+(ROUNDDOWN((N81/5),0)*Settings!$F$7))+(O81*Settings!$I$7)),1))</f>
        <v>8</v>
      </c>
      <c r="AA81" s="38">
        <f>IF((Q81=""),0,ROUND(((((((ROUNDDOWN((Q81/5),0)*Settings!$F$3)+(R81*Settings!$I$3))+(S81*Settings!$F$4))+(ROUNDDOWN((T81/5),0)*Settings!$F$7))+(U81*Settings!$I$7))+(V81*Settings!$F$15)),1))</f>
        <v>24.2</v>
      </c>
      <c r="AB81" s="66">
        <f>ROUND((((Y81*Settings!$B$21)+(Z81*Settings!$B$22))+(AA81*Settings!$B$23)),1)</f>
        <v>10.9</v>
      </c>
      <c r="AC81" s="66">
        <f>IF(ISERROR(VLOOKUP(RANK(AB81,$AB$4:$AB$102),AC$4:AC80,1,0)),RANK(AB81,$AB$4:$AB$102),IF(ISERROR(VLOOKUP((RANK(AB81,$AB$4:$AB$102)+1),AC$4:AC80,1,0)),(RANK(AB81,$AB$4:$AB$102)+1),IF(ISERROR(VLOOKUP((RANK(AB81,$AB$4:$AB$102)+2),AC$4:AC80,1,0)),(RANK(AB81,$AB$4:$AB$102)+2),(RANK(AB81,$AB$4:$AB$102)+3))))</f>
        <v>49</v>
      </c>
      <c r="AD81" t="str">
        <f t="shared" si="8"/>
        <v>Zach Mettenberger</v>
      </c>
    </row>
    <row r="82" spans="1:30" ht="12.75" customHeight="1">
      <c r="A82" s="33" t="str">
        <f>ESPNData!B83</f>
        <v>Brad Sorensen, SD QB</v>
      </c>
      <c r="B82" s="33" t="str">
        <f t="shared" si="6"/>
        <v>Brad Sorensen</v>
      </c>
      <c r="C82" s="64" t="str">
        <f t="shared" si="7"/>
        <v>SD</v>
      </c>
      <c r="D82" s="117" t="str">
        <f>IF(ISERROR(VLOOKUP($B82,FFTodayData!$B:$M,4,0)),"",VLOOKUP($B82,FFTodayData!$B:$M,4,0))</f>
        <v/>
      </c>
      <c r="E82" s="33" t="str">
        <f>IF(ISERROR(VLOOKUP($B82,FFTodayData!$B:$M,6,0)),"",VLOOKUP($B82,FFTodayData!$B:$M,6,0))</f>
        <v/>
      </c>
      <c r="F82" s="33" t="str">
        <f>IF(ISERROR(VLOOKUP($B82,FFTodayData!$B:$M,7,0)),"",VLOOKUP($B82,FFTodayData!$B:$M,7,0))</f>
        <v/>
      </c>
      <c r="G82" s="33" t="str">
        <f>IF(ISERROR(VLOOKUP($B82,FFTodayData!$B:$M,8,0)),"",VLOOKUP($B82,FFTodayData!$B:$M,8,0))</f>
        <v/>
      </c>
      <c r="H82" s="33" t="str">
        <f>IF(ISERROR(VLOOKUP($B82,FFTodayData!$B:$M,10,0)),"",VLOOKUP($B82,FFTodayData!$B:$M,10,0))</f>
        <v/>
      </c>
      <c r="I82" s="64" t="str">
        <f>IF(ISERROR(VLOOKUP($B82,FFTodayData!$B:$M,11,0)),"",VLOOKUP($B82,FFTodayData!$B:$M,11,0))</f>
        <v/>
      </c>
      <c r="J82" s="117">
        <f>VALUE(IF(ISERROR(VLOOKUP($A82,ESPNData!$B:$O,4,0)),"",IF((VLOOKUP($A82,ESPNData!$B:$O,4,0)="--/--"),0,LEFT(VLOOKUP($A82,ESPNData!$B:$O,4,0),(FIND("/",VLOOKUP($A82,ESPNData!$B:$O,4,0))-1)))))</f>
        <v>0</v>
      </c>
      <c r="K82" s="33">
        <f>IF(ISERROR(VLOOKUP($A82,ESPNData!$B:$O,5,0)),"",IF((VLOOKUP($A82,ESPNData!$B:$O,5,0)="--"),0,VLOOKUP($A82,ESPNData!$B:$O,5,0)))</f>
        <v>0</v>
      </c>
      <c r="L82" s="33">
        <f>IF(ISERROR(VLOOKUP($A82,ESPNData!$B:$O,6,0)),"",IF((VLOOKUP($A82,ESPNData!$B:$O,6,0)="--"),0,VLOOKUP($A82,ESPNData!$B:$O,6,0)))</f>
        <v>0</v>
      </c>
      <c r="M82" s="33">
        <f>IF(ISERROR(VLOOKUP($A82,ESPNData!$B:$O,7,0)),"",IF((VLOOKUP($A82,ESPNData!$B:$O,7,0)="--"),0,VLOOKUP($A82,ESPNData!$B:$O,7,0)))</f>
        <v>0</v>
      </c>
      <c r="N82" s="33">
        <f>IF(ISERROR(VLOOKUP($A82,ESPNData!$B:$O,9,0)),"",IF((VLOOKUP($A82,ESPNData!$B:$O,9,0)="--"),0,VLOOKUP($A82,ESPNData!$B:$O,9,0)))</f>
        <v>0</v>
      </c>
      <c r="O82" s="194">
        <f>IF(ISERROR(VLOOKUP($A82,ESPNData!$B:$O,10,0)),"",IF((VLOOKUP($A82,ESPNData!$B:$O,10,0)="--"),0,VLOOKUP($A82,ESPNData!$B:$O,10,0)))</f>
        <v>0</v>
      </c>
      <c r="P82" s="93" t="str">
        <f>IF(ISERROR(VLOOKUP($B82,SportslineData!$A:$O,4,0)),"",ROUND(VLOOKUP($B82,SportslineData!$A:$O,4,0),0))</f>
        <v/>
      </c>
      <c r="Q82" s="33" t="str">
        <f>IF(ISERROR(VLOOKUP($B82,SportslineData!$A:$O,5,0)),"",VLOOKUP($B82,SportslineData!$A:$O,5,0))</f>
        <v/>
      </c>
      <c r="R82" s="33" t="str">
        <f>IF(ISERROR(VLOOKUP($B82,SportslineData!$A:$O,6,0)),"",ROUND(VLOOKUP($B82,SportslineData!$A:$O,6,0),0))</f>
        <v/>
      </c>
      <c r="S82" s="33" t="str">
        <f>IF(ISERROR(VLOOKUP($B82,SportslineData!$A:$O,7,0)),"",ROUND(VLOOKUP($B82,SportslineData!$A:$O,7,0),0))</f>
        <v/>
      </c>
      <c r="T82" s="33" t="str">
        <f>IF(ISERROR(VLOOKUP($B82,SportslineData!$A:$O,11,0)),"",VLOOKUP($B82,SportslineData!$A:$O,11,0))</f>
        <v/>
      </c>
      <c r="U82" s="33" t="str">
        <f>IF(ISERROR(VLOOKUP($B82,SportslineData!$A:$O,13,0)),"",ROUND(VLOOKUP($B82,SportslineData!$A:$O,13,0),0))</f>
        <v/>
      </c>
      <c r="V82" s="64" t="str">
        <f>IF(ISERROR(VLOOKUP($B82,SportslineData!$A:$O,14,0)),"",ROUND(VLOOKUP($B82,SportslineData!$A:$O,14,0),0))</f>
        <v/>
      </c>
      <c r="W82" s="117"/>
      <c r="X82" s="33"/>
      <c r="Y82" s="38">
        <f>IF((E82=""),0,ROUND((((((ROUNDDOWN((E82/5),0)*Settings!$F$3)+(F82*Settings!$I$3))+(G82*Settings!$F$4))+(ROUNDDOWN((H82/5),0)*Settings!$F$7))+(I82*Settings!$I$7)),1))</f>
        <v>0</v>
      </c>
      <c r="Z82" s="38">
        <f>IF((K82=""),0,ROUND((((((ROUNDDOWN((K82/5),0)*Settings!$F$3)+(L82*Settings!$I$3))+(M82*Settings!$F$4))+(ROUNDDOWN((N82/5),0)*Settings!$F$7))+(O82*Settings!$I$7)),1))</f>
        <v>0</v>
      </c>
      <c r="AA82" s="38">
        <f>IF((Q82=""),0,ROUND(((((((ROUNDDOWN((Q82/5),0)*Settings!$F$3)+(R82*Settings!$I$3))+(S82*Settings!$F$4))+(ROUNDDOWN((T82/5),0)*Settings!$F$7))+(U82*Settings!$I$7))+(V82*Settings!$F$15)),1))</f>
        <v>0</v>
      </c>
      <c r="AB82" s="66">
        <f>ROUND((((Y82*Settings!$B$21)+(Z82*Settings!$B$22))+(AA82*Settings!$B$23)),1)</f>
        <v>0</v>
      </c>
      <c r="AC82" s="66">
        <f>IF(ISERROR(VLOOKUP(RANK(AB82,$AB$4:$AB$102),AC$4:AC81,1,0)),RANK(AB82,$AB$4:$AB$102),IF(ISERROR(VLOOKUP((RANK(AB82,$AB$4:$AB$102)+1),AC$4:AC81,1,0)),(RANK(AB82,$AB$4:$AB$102)+1),IF(ISERROR(VLOOKUP((RANK(AB82,$AB$4:$AB$102)+2),AC$4:AC81,1,0)),(RANK(AB82,$AB$4:$AB$102)+2),(RANK(AB82,$AB$4:$AB$102)+3))))</f>
        <v>69</v>
      </c>
      <c r="AD82" t="str">
        <f t="shared" si="8"/>
        <v>Brad Sorensen</v>
      </c>
    </row>
    <row r="83" spans="1:30" ht="12.75" customHeight="1">
      <c r="A83" s="33" t="str">
        <f>ESPNData!B84</f>
        <v>Curtis Painter, NYG QB</v>
      </c>
      <c r="B83" s="33" t="str">
        <f t="shared" si="6"/>
        <v>Curtis Painter</v>
      </c>
      <c r="C83" s="64" t="str">
        <f t="shared" si="7"/>
        <v>NYG</v>
      </c>
      <c r="D83" s="117" t="str">
        <f>IF(ISERROR(VLOOKUP($B83,FFTodayData!$B:$M,4,0)),"",VLOOKUP($B83,FFTodayData!$B:$M,4,0))</f>
        <v/>
      </c>
      <c r="E83" s="33" t="str">
        <f>IF(ISERROR(VLOOKUP($B83,FFTodayData!$B:$M,6,0)),"",VLOOKUP($B83,FFTodayData!$B:$M,6,0))</f>
        <v/>
      </c>
      <c r="F83" s="33" t="str">
        <f>IF(ISERROR(VLOOKUP($B83,FFTodayData!$B:$M,7,0)),"",VLOOKUP($B83,FFTodayData!$B:$M,7,0))</f>
        <v/>
      </c>
      <c r="G83" s="33" t="str">
        <f>IF(ISERROR(VLOOKUP($B83,FFTodayData!$B:$M,8,0)),"",VLOOKUP($B83,FFTodayData!$B:$M,8,0))</f>
        <v/>
      </c>
      <c r="H83" s="33" t="str">
        <f>IF(ISERROR(VLOOKUP($B83,FFTodayData!$B:$M,10,0)),"",VLOOKUP($B83,FFTodayData!$B:$M,10,0))</f>
        <v/>
      </c>
      <c r="I83" s="64" t="str">
        <f>IF(ISERROR(VLOOKUP($B83,FFTodayData!$B:$M,11,0)),"",VLOOKUP($B83,FFTodayData!$B:$M,11,0))</f>
        <v/>
      </c>
      <c r="J83" s="117">
        <f>VALUE(IF(ISERROR(VLOOKUP($A83,ESPNData!$B:$O,4,0)),"",IF((VLOOKUP($A83,ESPNData!$B:$O,4,0)="--/--"),0,LEFT(VLOOKUP($A83,ESPNData!$B:$O,4,0),(FIND("/",VLOOKUP($A83,ESPNData!$B:$O,4,0))-1)))))</f>
        <v>0</v>
      </c>
      <c r="K83" s="33">
        <f>IF(ISERROR(VLOOKUP($A83,ESPNData!$B:$O,5,0)),"",IF((VLOOKUP($A83,ESPNData!$B:$O,5,0)="--"),0,VLOOKUP($A83,ESPNData!$B:$O,5,0)))</f>
        <v>0</v>
      </c>
      <c r="L83" s="33">
        <f>IF(ISERROR(VLOOKUP($A83,ESPNData!$B:$O,6,0)),"",IF((VLOOKUP($A83,ESPNData!$B:$O,6,0)="--"),0,VLOOKUP($A83,ESPNData!$B:$O,6,0)))</f>
        <v>0</v>
      </c>
      <c r="M83" s="33">
        <f>IF(ISERROR(VLOOKUP($A83,ESPNData!$B:$O,7,0)),"",IF((VLOOKUP($A83,ESPNData!$B:$O,7,0)="--"),0,VLOOKUP($A83,ESPNData!$B:$O,7,0)))</f>
        <v>0</v>
      </c>
      <c r="N83" s="33">
        <f>IF(ISERROR(VLOOKUP($A83,ESPNData!$B:$O,9,0)),"",IF((VLOOKUP($A83,ESPNData!$B:$O,9,0)="--"),0,VLOOKUP($A83,ESPNData!$B:$O,9,0)))</f>
        <v>0</v>
      </c>
      <c r="O83" s="194">
        <f>IF(ISERROR(VLOOKUP($A83,ESPNData!$B:$O,10,0)),"",IF((VLOOKUP($A83,ESPNData!$B:$O,10,0)="--"),0,VLOOKUP($A83,ESPNData!$B:$O,10,0)))</f>
        <v>0</v>
      </c>
      <c r="P83" s="93" t="str">
        <f>IF(ISERROR(VLOOKUP($B83,SportslineData!$A:$O,4,0)),"",ROUND(VLOOKUP($B83,SportslineData!$A:$O,4,0),0))</f>
        <v/>
      </c>
      <c r="Q83" s="33" t="str">
        <f>IF(ISERROR(VLOOKUP($B83,SportslineData!$A:$O,5,0)),"",VLOOKUP($B83,SportslineData!$A:$O,5,0))</f>
        <v/>
      </c>
      <c r="R83" s="33" t="str">
        <f>IF(ISERROR(VLOOKUP($B83,SportslineData!$A:$O,6,0)),"",ROUND(VLOOKUP($B83,SportslineData!$A:$O,6,0),0))</f>
        <v/>
      </c>
      <c r="S83" s="33" t="str">
        <f>IF(ISERROR(VLOOKUP($B83,SportslineData!$A:$O,7,0)),"",ROUND(VLOOKUP($B83,SportslineData!$A:$O,7,0),0))</f>
        <v/>
      </c>
      <c r="T83" s="33" t="str">
        <f>IF(ISERROR(VLOOKUP($B83,SportslineData!$A:$O,11,0)),"",VLOOKUP($B83,SportslineData!$A:$O,11,0))</f>
        <v/>
      </c>
      <c r="U83" s="33" t="str">
        <f>IF(ISERROR(VLOOKUP($B83,SportslineData!$A:$O,13,0)),"",ROUND(VLOOKUP($B83,SportslineData!$A:$O,13,0),0))</f>
        <v/>
      </c>
      <c r="V83" s="64" t="str">
        <f>IF(ISERROR(VLOOKUP($B83,SportslineData!$A:$O,14,0)),"",ROUND(VLOOKUP($B83,SportslineData!$A:$O,14,0),0))</f>
        <v/>
      </c>
      <c r="W83" s="117"/>
      <c r="X83" s="33"/>
      <c r="Y83" s="38">
        <f>IF((E83=""),0,ROUND((((((ROUNDDOWN((E83/5),0)*Settings!$F$3)+(F83*Settings!$I$3))+(G83*Settings!$F$4))+(ROUNDDOWN((H83/5),0)*Settings!$F$7))+(I83*Settings!$I$7)),1))</f>
        <v>0</v>
      </c>
      <c r="Z83" s="38">
        <f>IF((K83=""),0,ROUND((((((ROUNDDOWN((K83/5),0)*Settings!$F$3)+(L83*Settings!$I$3))+(M83*Settings!$F$4))+(ROUNDDOWN((N83/5),0)*Settings!$F$7))+(O83*Settings!$I$7)),1))</f>
        <v>0</v>
      </c>
      <c r="AA83" s="38">
        <f>IF((Q83=""),0,ROUND(((((((ROUNDDOWN((Q83/5),0)*Settings!$F$3)+(R83*Settings!$I$3))+(S83*Settings!$F$4))+(ROUNDDOWN((T83/5),0)*Settings!$F$7))+(U83*Settings!$I$7))+(V83*Settings!$F$15)),1))</f>
        <v>0</v>
      </c>
      <c r="AB83" s="66">
        <f>ROUND((((Y83*Settings!$B$21)+(Z83*Settings!$B$22))+(AA83*Settings!$B$23)),1)</f>
        <v>0</v>
      </c>
      <c r="AC83" s="66">
        <f>IF(ISERROR(VLOOKUP(RANK(AB83,$AB$4:$AB$102),AC$4:AC82,1,0)),RANK(AB83,$AB$4:$AB$102),IF(ISERROR(VLOOKUP((RANK(AB83,$AB$4:$AB$102)+1),AC$4:AC82,1,0)),(RANK(AB83,$AB$4:$AB$102)+1),IF(ISERROR(VLOOKUP((RANK(AB83,$AB$4:$AB$102)+2),AC$4:AC82,1,0)),(RANK(AB83,$AB$4:$AB$102)+2),(RANK(AB83,$AB$4:$AB$102)+3))))</f>
        <v>69</v>
      </c>
      <c r="AD83" t="str">
        <f t="shared" si="8"/>
        <v>Curtis Painter</v>
      </c>
    </row>
    <row r="84" spans="1:30" ht="12.75" customHeight="1">
      <c r="A84" s="33">
        <f>ESPNData!B85</f>
        <v>0</v>
      </c>
      <c r="B84" s="33" t="str">
        <f t="shared" si="6"/>
        <v/>
      </c>
      <c r="C84" s="64" t="e">
        <f t="shared" si="7"/>
        <v>#VALUE!</v>
      </c>
      <c r="D84" s="117" t="str">
        <f>IF(ISERROR(VLOOKUP($B84,FFTodayData!$B:$M,4,0)),"",VLOOKUP($B84,FFTodayData!$B:$M,4,0))</f>
        <v/>
      </c>
      <c r="E84" s="33" t="str">
        <f>IF(ISERROR(VLOOKUP($B84,FFTodayData!$B:$M,6,0)),"",VLOOKUP($B84,FFTodayData!$B:$M,6,0))</f>
        <v/>
      </c>
      <c r="F84" s="33" t="str">
        <f>IF(ISERROR(VLOOKUP($B84,FFTodayData!$B:$M,7,0)),"",VLOOKUP($B84,FFTodayData!$B:$M,7,0))</f>
        <v/>
      </c>
      <c r="G84" s="33" t="str">
        <f>IF(ISERROR(VLOOKUP($B84,FFTodayData!$B:$M,8,0)),"",VLOOKUP($B84,FFTodayData!$B:$M,8,0))</f>
        <v/>
      </c>
      <c r="H84" s="33" t="str">
        <f>IF(ISERROR(VLOOKUP($B84,FFTodayData!$B:$M,10,0)),"",VLOOKUP($B84,FFTodayData!$B:$M,10,0))</f>
        <v/>
      </c>
      <c r="I84" s="64" t="str">
        <f>IF(ISERROR(VLOOKUP($B84,FFTodayData!$B:$M,11,0)),"",VLOOKUP($B84,FFTodayData!$B:$M,11,0))</f>
        <v/>
      </c>
      <c r="J84" s="117" t="e">
        <f>VALUE(IF(ISERROR(VLOOKUP($A84,ESPNData!$B:$O,4,0)),"",IF((VLOOKUP($A84,ESPNData!$B:$O,4,0)="--/--"),0,LEFT(VLOOKUP($A84,ESPNData!$B:$O,4,0),(FIND("/",VLOOKUP($A84,ESPNData!$B:$O,4,0))-1)))))</f>
        <v>#VALUE!</v>
      </c>
      <c r="K84" s="33" t="str">
        <f>IF(ISERROR(VLOOKUP($A84,ESPNData!$B:$O,5,0)),"",IF((VLOOKUP($A84,ESPNData!$B:$O,5,0)="--"),0,VLOOKUP($A84,ESPNData!$B:$O,5,0)))</f>
        <v/>
      </c>
      <c r="L84" s="33" t="str">
        <f>IF(ISERROR(VLOOKUP($A84,ESPNData!$B:$O,6,0)),"",IF((VLOOKUP($A84,ESPNData!$B:$O,6,0)="--"),0,VLOOKUP($A84,ESPNData!$B:$O,6,0)))</f>
        <v/>
      </c>
      <c r="M84" s="33" t="str">
        <f>IF(ISERROR(VLOOKUP($A84,ESPNData!$B:$O,7,0)),"",IF((VLOOKUP($A84,ESPNData!$B:$O,7,0)="--"),0,VLOOKUP($A84,ESPNData!$B:$O,7,0)))</f>
        <v/>
      </c>
      <c r="N84" s="33" t="str">
        <f>IF(ISERROR(VLOOKUP($A84,ESPNData!$B:$O,9,0)),"",IF((VLOOKUP($A84,ESPNData!$B:$O,9,0)="--"),0,VLOOKUP($A84,ESPNData!$B:$O,9,0)))</f>
        <v/>
      </c>
      <c r="O84" s="194" t="str">
        <f>IF(ISERROR(VLOOKUP($A84,ESPNData!$B:$O,10,0)),"",IF((VLOOKUP($A84,ESPNData!$B:$O,10,0)="--"),0,VLOOKUP($A84,ESPNData!$B:$O,10,0)))</f>
        <v/>
      </c>
      <c r="P84" s="93" t="str">
        <f>IF(ISERROR(VLOOKUP($B84,SportslineData!$A:$O,4,0)),"",ROUND(VLOOKUP($B84,SportslineData!$A:$O,4,0),0))</f>
        <v/>
      </c>
      <c r="Q84" s="33" t="str">
        <f>IF(ISERROR(VLOOKUP($B84,SportslineData!$A:$O,5,0)),"",VLOOKUP($B84,SportslineData!$A:$O,5,0))</f>
        <v/>
      </c>
      <c r="R84" s="33" t="str">
        <f>IF(ISERROR(VLOOKUP($B84,SportslineData!$A:$O,6,0)),"",ROUND(VLOOKUP($B84,SportslineData!$A:$O,6,0),0))</f>
        <v/>
      </c>
      <c r="S84" s="33" t="str">
        <f>IF(ISERROR(VLOOKUP($B84,SportslineData!$A:$O,7,0)),"",ROUND(VLOOKUP($B84,SportslineData!$A:$O,7,0),0))</f>
        <v/>
      </c>
      <c r="T84" s="33" t="str">
        <f>IF(ISERROR(VLOOKUP($B84,SportslineData!$A:$O,11,0)),"",VLOOKUP($B84,SportslineData!$A:$O,11,0))</f>
        <v/>
      </c>
      <c r="U84" s="33" t="str">
        <f>IF(ISERROR(VLOOKUP($B84,SportslineData!$A:$O,13,0)),"",ROUND(VLOOKUP($B84,SportslineData!$A:$O,13,0),0))</f>
        <v/>
      </c>
      <c r="V84" s="64" t="str">
        <f>IF(ISERROR(VLOOKUP($B84,SportslineData!$A:$O,14,0)),"",ROUND(VLOOKUP($B84,SportslineData!$A:$O,14,0),0))</f>
        <v/>
      </c>
      <c r="W84" s="117"/>
      <c r="X84" s="33"/>
      <c r="Y84" s="38">
        <f>IF((E84=""),0,ROUND((((((ROUNDDOWN((E84/5),0)*Settings!$F$3)+(F84*Settings!$I$3))+(G84*Settings!$F$4))+(ROUNDDOWN((H84/5),0)*Settings!$F$7))+(I84*Settings!$I$7)),1))</f>
        <v>0</v>
      </c>
      <c r="Z84" s="38">
        <f>IF((K84=""),0,ROUND((((((ROUNDDOWN((K84/5),0)*Settings!$F$3)+(L84*Settings!$I$3))+(M84*Settings!$F$4))+(ROUNDDOWN((N84/5),0)*Settings!$F$7))+(O84*Settings!$I$7)),1))</f>
        <v>0</v>
      </c>
      <c r="AA84" s="38">
        <f>IF((Q84=""),0,ROUND(((((((ROUNDDOWN((Q84/5),0)*Settings!$F$3)+(R84*Settings!$I$3))+(S84*Settings!$F$4))+(ROUNDDOWN((T84/5),0)*Settings!$F$7))+(U84*Settings!$I$7))+(V84*Settings!$F$15)),1))</f>
        <v>0</v>
      </c>
      <c r="AB84" s="66">
        <f>ROUND((((Y84*Settings!$B$21)+(Z84*Settings!$B$22))+(AA84*Settings!$B$23)),1)</f>
        <v>0</v>
      </c>
      <c r="AC84" s="66">
        <f>IF(ISERROR(VLOOKUP(RANK(AB84,$AB$4:$AB$102),AC$4:AC83,1,0)),RANK(AB84,$AB$4:$AB$102),IF(ISERROR(VLOOKUP((RANK(AB84,$AB$4:$AB$102)+1),AC$4:AC83,1,0)),(RANK(AB84,$AB$4:$AB$102)+1),IF(ISERROR(VLOOKUP((RANK(AB84,$AB$4:$AB$102)+2),AC$4:AC83,1,0)),(RANK(AB84,$AB$4:$AB$102)+2),(RANK(AB84,$AB$4:$AB$102)+3))))</f>
        <v>69</v>
      </c>
      <c r="AD84" t="str">
        <f t="shared" si="8"/>
        <v/>
      </c>
    </row>
    <row r="85" spans="1:30" ht="12.75" customHeight="1">
      <c r="A85" s="33">
        <f>ESPNData!B86</f>
        <v>0</v>
      </c>
      <c r="B85" s="33" t="str">
        <f t="shared" si="6"/>
        <v/>
      </c>
      <c r="C85" s="64" t="e">
        <f t="shared" si="7"/>
        <v>#VALUE!</v>
      </c>
      <c r="D85" s="117" t="str">
        <f>IF(ISERROR(VLOOKUP($B85,FFTodayData!$B:$M,4,0)),"",VLOOKUP($B85,FFTodayData!$B:$M,4,0))</f>
        <v/>
      </c>
      <c r="E85" s="33" t="str">
        <f>IF(ISERROR(VLOOKUP($B85,FFTodayData!$B:$M,6,0)),"",VLOOKUP($B85,FFTodayData!$B:$M,6,0))</f>
        <v/>
      </c>
      <c r="F85" s="33" t="str">
        <f>IF(ISERROR(VLOOKUP($B85,FFTodayData!$B:$M,7,0)),"",VLOOKUP($B85,FFTodayData!$B:$M,7,0))</f>
        <v/>
      </c>
      <c r="G85" s="33" t="str">
        <f>IF(ISERROR(VLOOKUP($B85,FFTodayData!$B:$M,8,0)),"",VLOOKUP($B85,FFTodayData!$B:$M,8,0))</f>
        <v/>
      </c>
      <c r="H85" s="33" t="str">
        <f>IF(ISERROR(VLOOKUP($B85,FFTodayData!$B:$M,10,0)),"",VLOOKUP($B85,FFTodayData!$B:$M,10,0))</f>
        <v/>
      </c>
      <c r="I85" s="64" t="str">
        <f>IF(ISERROR(VLOOKUP($B85,FFTodayData!$B:$M,11,0)),"",VLOOKUP($B85,FFTodayData!$B:$M,11,0))</f>
        <v/>
      </c>
      <c r="J85" s="117" t="e">
        <f>VALUE(IF(ISERROR(VLOOKUP($A85,ESPNData!$B:$O,4,0)),"",IF((VLOOKUP($A85,ESPNData!$B:$O,4,0)="--/--"),0,LEFT(VLOOKUP($A85,ESPNData!$B:$O,4,0),(FIND("/",VLOOKUP($A85,ESPNData!$B:$O,4,0))-1)))))</f>
        <v>#VALUE!</v>
      </c>
      <c r="K85" s="33" t="str">
        <f>IF(ISERROR(VLOOKUP($A85,ESPNData!$B:$O,5,0)),"",IF((VLOOKUP($A85,ESPNData!$B:$O,5,0)="--"),0,VLOOKUP($A85,ESPNData!$B:$O,5,0)))</f>
        <v/>
      </c>
      <c r="L85" s="33" t="str">
        <f>IF(ISERROR(VLOOKUP($A85,ESPNData!$B:$O,6,0)),"",IF((VLOOKUP($A85,ESPNData!$B:$O,6,0)="--"),0,VLOOKUP($A85,ESPNData!$B:$O,6,0)))</f>
        <v/>
      </c>
      <c r="M85" s="33" t="str">
        <f>IF(ISERROR(VLOOKUP($A85,ESPNData!$B:$O,7,0)),"",IF((VLOOKUP($A85,ESPNData!$B:$O,7,0)="--"),0,VLOOKUP($A85,ESPNData!$B:$O,7,0)))</f>
        <v/>
      </c>
      <c r="N85" s="33" t="str">
        <f>IF(ISERROR(VLOOKUP($A85,ESPNData!$B:$O,9,0)),"",IF((VLOOKUP($A85,ESPNData!$B:$O,9,0)="--"),0,VLOOKUP($A85,ESPNData!$B:$O,9,0)))</f>
        <v/>
      </c>
      <c r="O85" s="194" t="str">
        <f>IF(ISERROR(VLOOKUP($A85,ESPNData!$B:$O,10,0)),"",IF((VLOOKUP($A85,ESPNData!$B:$O,10,0)="--"),0,VLOOKUP($A85,ESPNData!$B:$O,10,0)))</f>
        <v/>
      </c>
      <c r="P85" s="93" t="str">
        <f>IF(ISERROR(VLOOKUP($B85,SportslineData!$A:$O,4,0)),"",ROUND(VLOOKUP($B85,SportslineData!$A:$O,4,0),0))</f>
        <v/>
      </c>
      <c r="Q85" s="33" t="str">
        <f>IF(ISERROR(VLOOKUP($B85,SportslineData!$A:$O,5,0)),"",VLOOKUP($B85,SportslineData!$A:$O,5,0))</f>
        <v/>
      </c>
      <c r="R85" s="33" t="str">
        <f>IF(ISERROR(VLOOKUP($B85,SportslineData!$A:$O,6,0)),"",ROUND(VLOOKUP($B85,SportslineData!$A:$O,6,0),0))</f>
        <v/>
      </c>
      <c r="S85" s="33" t="str">
        <f>IF(ISERROR(VLOOKUP($B85,SportslineData!$A:$O,7,0)),"",ROUND(VLOOKUP($B85,SportslineData!$A:$O,7,0),0))</f>
        <v/>
      </c>
      <c r="T85" s="33" t="str">
        <f>IF(ISERROR(VLOOKUP($B85,SportslineData!$A:$O,11,0)),"",VLOOKUP($B85,SportslineData!$A:$O,11,0))</f>
        <v/>
      </c>
      <c r="U85" s="33" t="str">
        <f>IF(ISERROR(VLOOKUP($B85,SportslineData!$A:$O,13,0)),"",ROUND(VLOOKUP($B85,SportslineData!$A:$O,13,0),0))</f>
        <v/>
      </c>
      <c r="V85" s="64" t="str">
        <f>IF(ISERROR(VLOOKUP($B85,SportslineData!$A:$O,14,0)),"",ROUND(VLOOKUP($B85,SportslineData!$A:$O,14,0),0))</f>
        <v/>
      </c>
      <c r="W85" s="117"/>
      <c r="X85" s="33"/>
      <c r="Y85" s="38">
        <f>IF((E85=""),0,ROUND((((((ROUNDDOWN((E85/5),0)*Settings!$F$3)+(F85*Settings!$I$3))+(G85*Settings!$F$4))+(ROUNDDOWN((H85/5),0)*Settings!$F$7))+(I85*Settings!$I$7)),1))</f>
        <v>0</v>
      </c>
      <c r="Z85" s="38">
        <f>IF((K85=""),0,ROUND((((((ROUNDDOWN((K85/5),0)*Settings!$F$3)+(L85*Settings!$I$3))+(M85*Settings!$F$4))+(ROUNDDOWN((N85/5),0)*Settings!$F$7))+(O85*Settings!$I$7)),1))</f>
        <v>0</v>
      </c>
      <c r="AA85" s="38">
        <f>IF((Q85=""),0,ROUND(((((((ROUNDDOWN((Q85/5),0)*Settings!$F$3)+(R85*Settings!$I$3))+(S85*Settings!$F$4))+(ROUNDDOWN((T85/5),0)*Settings!$F$7))+(U85*Settings!$I$7))+(V85*Settings!$F$15)),1))</f>
        <v>0</v>
      </c>
      <c r="AB85" s="66">
        <f>ROUND((((Y85*Settings!$B$21)+(Z85*Settings!$B$22))+(AA85*Settings!$B$23)),1)</f>
        <v>0</v>
      </c>
      <c r="AC85" s="66">
        <f>IF(ISERROR(VLOOKUP(RANK(AB85,$AB$4:$AB$102),AC$4:AC84,1,0)),RANK(AB85,$AB$4:$AB$102),IF(ISERROR(VLOOKUP((RANK(AB85,$AB$4:$AB$102)+1),AC$4:AC84,1,0)),(RANK(AB85,$AB$4:$AB$102)+1),IF(ISERROR(VLOOKUP((RANK(AB85,$AB$4:$AB$102)+2),AC$4:AC84,1,0)),(RANK(AB85,$AB$4:$AB$102)+2),(RANK(AB85,$AB$4:$AB$102)+3))))</f>
        <v>69</v>
      </c>
      <c r="AD85" t="str">
        <f t="shared" si="8"/>
        <v/>
      </c>
    </row>
    <row r="86" spans="1:30" ht="12.75" customHeight="1">
      <c r="A86" s="33">
        <f>ESPNData!B87</f>
        <v>0</v>
      </c>
      <c r="B86" s="33" t="str">
        <f t="shared" si="6"/>
        <v/>
      </c>
      <c r="C86" s="64" t="e">
        <f t="shared" si="7"/>
        <v>#VALUE!</v>
      </c>
      <c r="D86" s="117" t="str">
        <f>IF(ISERROR(VLOOKUP($B86,FFTodayData!$B:$M,4,0)),"",VLOOKUP($B86,FFTodayData!$B:$M,4,0))</f>
        <v/>
      </c>
      <c r="E86" s="33" t="str">
        <f>IF(ISERROR(VLOOKUP($B86,FFTodayData!$B:$M,6,0)),"",VLOOKUP($B86,FFTodayData!$B:$M,6,0))</f>
        <v/>
      </c>
      <c r="F86" s="33" t="str">
        <f>IF(ISERROR(VLOOKUP($B86,FFTodayData!$B:$M,7,0)),"",VLOOKUP($B86,FFTodayData!$B:$M,7,0))</f>
        <v/>
      </c>
      <c r="G86" s="33" t="str">
        <f>IF(ISERROR(VLOOKUP($B86,FFTodayData!$B:$M,8,0)),"",VLOOKUP($B86,FFTodayData!$B:$M,8,0))</f>
        <v/>
      </c>
      <c r="H86" s="33" t="str">
        <f>IF(ISERROR(VLOOKUP($B86,FFTodayData!$B:$M,10,0)),"",VLOOKUP($B86,FFTodayData!$B:$M,10,0))</f>
        <v/>
      </c>
      <c r="I86" s="64" t="str">
        <f>IF(ISERROR(VLOOKUP($B86,FFTodayData!$B:$M,11,0)),"",VLOOKUP($B86,FFTodayData!$B:$M,11,0))</f>
        <v/>
      </c>
      <c r="J86" s="117" t="e">
        <f>VALUE(IF(ISERROR(VLOOKUP($A86,ESPNData!$B:$O,4,0)),"",IF((VLOOKUP($A86,ESPNData!$B:$O,4,0)="--/--"),0,LEFT(VLOOKUP($A86,ESPNData!$B:$O,4,0),(FIND("/",VLOOKUP($A86,ESPNData!$B:$O,4,0))-1)))))</f>
        <v>#VALUE!</v>
      </c>
      <c r="K86" s="33" t="str">
        <f>IF(ISERROR(VLOOKUP($A86,ESPNData!$B:$O,5,0)),"",IF((VLOOKUP($A86,ESPNData!$B:$O,5,0)="--"),0,VLOOKUP($A86,ESPNData!$B:$O,5,0)))</f>
        <v/>
      </c>
      <c r="L86" s="33" t="str">
        <f>IF(ISERROR(VLOOKUP($A86,ESPNData!$B:$O,6,0)),"",IF((VLOOKUP($A86,ESPNData!$B:$O,6,0)="--"),0,VLOOKUP($A86,ESPNData!$B:$O,6,0)))</f>
        <v/>
      </c>
      <c r="M86" s="33" t="str">
        <f>IF(ISERROR(VLOOKUP($A86,ESPNData!$B:$O,7,0)),"",IF((VLOOKUP($A86,ESPNData!$B:$O,7,0)="--"),0,VLOOKUP($A86,ESPNData!$B:$O,7,0)))</f>
        <v/>
      </c>
      <c r="N86" s="33" t="str">
        <f>IF(ISERROR(VLOOKUP($A86,ESPNData!$B:$O,9,0)),"",IF((VLOOKUP($A86,ESPNData!$B:$O,9,0)="--"),0,VLOOKUP($A86,ESPNData!$B:$O,9,0)))</f>
        <v/>
      </c>
      <c r="O86" s="194" t="str">
        <f>IF(ISERROR(VLOOKUP($A86,ESPNData!$B:$O,10,0)),"",IF((VLOOKUP($A86,ESPNData!$B:$O,10,0)="--"),0,VLOOKUP($A86,ESPNData!$B:$O,10,0)))</f>
        <v/>
      </c>
      <c r="P86" s="93" t="str">
        <f>IF(ISERROR(VLOOKUP($B86,SportslineData!$A:$O,4,0)),"",ROUND(VLOOKUP($B86,SportslineData!$A:$O,4,0),0))</f>
        <v/>
      </c>
      <c r="Q86" s="33" t="str">
        <f>IF(ISERROR(VLOOKUP($B86,SportslineData!$A:$O,5,0)),"",VLOOKUP($B86,SportslineData!$A:$O,5,0))</f>
        <v/>
      </c>
      <c r="R86" s="33" t="str">
        <f>IF(ISERROR(VLOOKUP($B86,SportslineData!$A:$O,6,0)),"",ROUND(VLOOKUP($B86,SportslineData!$A:$O,6,0),0))</f>
        <v/>
      </c>
      <c r="S86" s="33" t="str">
        <f>IF(ISERROR(VLOOKUP($B86,SportslineData!$A:$O,7,0)),"",ROUND(VLOOKUP($B86,SportslineData!$A:$O,7,0),0))</f>
        <v/>
      </c>
      <c r="T86" s="33" t="str">
        <f>IF(ISERROR(VLOOKUP($B86,SportslineData!$A:$O,11,0)),"",VLOOKUP($B86,SportslineData!$A:$O,11,0))</f>
        <v/>
      </c>
      <c r="U86" s="33" t="str">
        <f>IF(ISERROR(VLOOKUP($B86,SportslineData!$A:$O,13,0)),"",ROUND(VLOOKUP($B86,SportslineData!$A:$O,13,0),0))</f>
        <v/>
      </c>
      <c r="V86" s="64" t="str">
        <f>IF(ISERROR(VLOOKUP($B86,SportslineData!$A:$O,14,0)),"",ROUND(VLOOKUP($B86,SportslineData!$A:$O,14,0),0))</f>
        <v/>
      </c>
      <c r="W86" s="117"/>
      <c r="X86" s="33"/>
      <c r="Y86" s="38">
        <f>IF((E86=""),0,ROUND((((((ROUNDDOWN((E86/5),0)*Settings!$F$3)+(F86*Settings!$I$3))+(G86*Settings!$F$4))+(ROUNDDOWN((H86/5),0)*Settings!$F$7))+(I86*Settings!$I$7)),1))</f>
        <v>0</v>
      </c>
      <c r="Z86" s="38">
        <f>IF((K86=""),0,ROUND((((((ROUNDDOWN((K86/5),0)*Settings!$F$3)+(L86*Settings!$I$3))+(M86*Settings!$F$4))+(ROUNDDOWN((N86/5),0)*Settings!$F$7))+(O86*Settings!$I$7)),1))</f>
        <v>0</v>
      </c>
      <c r="AA86" s="38">
        <f>IF((Q86=""),0,ROUND(((((((ROUNDDOWN((Q86/5),0)*Settings!$F$3)+(R86*Settings!$I$3))+(S86*Settings!$F$4))+(ROUNDDOWN((T86/5),0)*Settings!$F$7))+(U86*Settings!$I$7))+(V86*Settings!$F$15)),1))</f>
        <v>0</v>
      </c>
      <c r="AB86" s="66">
        <f>ROUND((((Y86*Settings!$B$21)+(Z86*Settings!$B$22))+(AA86*Settings!$B$23)),1)</f>
        <v>0</v>
      </c>
      <c r="AC86" s="66">
        <f>IF(ISERROR(VLOOKUP(RANK(AB86,$AB$4:$AB$102),AC$4:AC85,1,0)),RANK(AB86,$AB$4:$AB$102),IF(ISERROR(VLOOKUP((RANK(AB86,$AB$4:$AB$102)+1),AC$4:AC85,1,0)),(RANK(AB86,$AB$4:$AB$102)+1),IF(ISERROR(VLOOKUP((RANK(AB86,$AB$4:$AB$102)+2),AC$4:AC85,1,0)),(RANK(AB86,$AB$4:$AB$102)+2),(RANK(AB86,$AB$4:$AB$102)+3))))</f>
        <v>69</v>
      </c>
      <c r="AD86" t="str">
        <f t="shared" si="8"/>
        <v/>
      </c>
    </row>
    <row r="87" spans="1:30" ht="12.75" customHeight="1">
      <c r="A87" s="33">
        <f>ESPNData!B88</f>
        <v>0</v>
      </c>
      <c r="B87" s="33" t="str">
        <f t="shared" si="6"/>
        <v/>
      </c>
      <c r="C87" s="64" t="e">
        <f t="shared" si="7"/>
        <v>#VALUE!</v>
      </c>
      <c r="D87" s="117" t="str">
        <f>IF(ISERROR(VLOOKUP($B87,FFTodayData!$B:$M,4,0)),"",VLOOKUP($B87,FFTodayData!$B:$M,4,0))</f>
        <v/>
      </c>
      <c r="E87" s="33" t="str">
        <f>IF(ISERROR(VLOOKUP($B87,FFTodayData!$B:$M,6,0)),"",VLOOKUP($B87,FFTodayData!$B:$M,6,0))</f>
        <v/>
      </c>
      <c r="F87" s="33" t="str">
        <f>IF(ISERROR(VLOOKUP($B87,FFTodayData!$B:$M,7,0)),"",VLOOKUP($B87,FFTodayData!$B:$M,7,0))</f>
        <v/>
      </c>
      <c r="G87" s="33" t="str">
        <f>IF(ISERROR(VLOOKUP($B87,FFTodayData!$B:$M,8,0)),"",VLOOKUP($B87,FFTodayData!$B:$M,8,0))</f>
        <v/>
      </c>
      <c r="H87" s="33" t="str">
        <f>IF(ISERROR(VLOOKUP($B87,FFTodayData!$B:$M,10,0)),"",VLOOKUP($B87,FFTodayData!$B:$M,10,0))</f>
        <v/>
      </c>
      <c r="I87" s="64" t="str">
        <f>IF(ISERROR(VLOOKUP($B87,FFTodayData!$B:$M,11,0)),"",VLOOKUP($B87,FFTodayData!$B:$M,11,0))</f>
        <v/>
      </c>
      <c r="J87" s="117" t="e">
        <f>VALUE(IF(ISERROR(VLOOKUP($A87,ESPNData!$B:$O,4,0)),"",IF((VLOOKUP($A87,ESPNData!$B:$O,4,0)="--/--"),0,LEFT(VLOOKUP($A87,ESPNData!$B:$O,4,0),(FIND("/",VLOOKUP($A87,ESPNData!$B:$O,4,0))-1)))))</f>
        <v>#VALUE!</v>
      </c>
      <c r="K87" s="33" t="str">
        <f>IF(ISERROR(VLOOKUP($A87,ESPNData!$B:$O,5,0)),"",IF((VLOOKUP($A87,ESPNData!$B:$O,5,0)="--"),0,VLOOKUP($A87,ESPNData!$B:$O,5,0)))</f>
        <v/>
      </c>
      <c r="L87" s="33" t="str">
        <f>IF(ISERROR(VLOOKUP($A87,ESPNData!$B:$O,6,0)),"",IF((VLOOKUP($A87,ESPNData!$B:$O,6,0)="--"),0,VLOOKUP($A87,ESPNData!$B:$O,6,0)))</f>
        <v/>
      </c>
      <c r="M87" s="33" t="str">
        <f>IF(ISERROR(VLOOKUP($A87,ESPNData!$B:$O,7,0)),"",IF((VLOOKUP($A87,ESPNData!$B:$O,7,0)="--"),0,VLOOKUP($A87,ESPNData!$B:$O,7,0)))</f>
        <v/>
      </c>
      <c r="N87" s="33" t="str">
        <f>IF(ISERROR(VLOOKUP($A87,ESPNData!$B:$O,9,0)),"",IF((VLOOKUP($A87,ESPNData!$B:$O,9,0)="--"),0,VLOOKUP($A87,ESPNData!$B:$O,9,0)))</f>
        <v/>
      </c>
      <c r="O87" s="194" t="str">
        <f>IF(ISERROR(VLOOKUP($A87,ESPNData!$B:$O,10,0)),"",IF((VLOOKUP($A87,ESPNData!$B:$O,10,0)="--"),0,VLOOKUP($A87,ESPNData!$B:$O,10,0)))</f>
        <v/>
      </c>
      <c r="P87" s="93" t="str">
        <f>IF(ISERROR(VLOOKUP($B87,SportslineData!$A:$O,4,0)),"",ROUND(VLOOKUP($B87,SportslineData!$A:$O,4,0),0))</f>
        <v/>
      </c>
      <c r="Q87" s="33" t="str">
        <f>IF(ISERROR(VLOOKUP($B87,SportslineData!$A:$O,5,0)),"",VLOOKUP($B87,SportslineData!$A:$O,5,0))</f>
        <v/>
      </c>
      <c r="R87" s="33" t="str">
        <f>IF(ISERROR(VLOOKUP($B87,SportslineData!$A:$O,6,0)),"",ROUND(VLOOKUP($B87,SportslineData!$A:$O,6,0),0))</f>
        <v/>
      </c>
      <c r="S87" s="33" t="str">
        <f>IF(ISERROR(VLOOKUP($B87,SportslineData!$A:$O,7,0)),"",ROUND(VLOOKUP($B87,SportslineData!$A:$O,7,0),0))</f>
        <v/>
      </c>
      <c r="T87" s="33" t="str">
        <f>IF(ISERROR(VLOOKUP($B87,SportslineData!$A:$O,11,0)),"",VLOOKUP($B87,SportslineData!$A:$O,11,0))</f>
        <v/>
      </c>
      <c r="U87" s="33" t="str">
        <f>IF(ISERROR(VLOOKUP($B87,SportslineData!$A:$O,13,0)),"",ROUND(VLOOKUP($B87,SportslineData!$A:$O,13,0),0))</f>
        <v/>
      </c>
      <c r="V87" s="64" t="str">
        <f>IF(ISERROR(VLOOKUP($B87,SportslineData!$A:$O,14,0)),"",ROUND(VLOOKUP($B87,SportslineData!$A:$O,14,0),0))</f>
        <v/>
      </c>
      <c r="W87" s="117"/>
      <c r="X87" s="33"/>
      <c r="Y87" s="38">
        <f>IF((E87=""),0,ROUND((((((ROUNDDOWN((E87/5),0)*Settings!$F$3)+(F87*Settings!$I$3))+(G87*Settings!$F$4))+(ROUNDDOWN((H87/5),0)*Settings!$F$7))+(I87*Settings!$I$7)),1))</f>
        <v>0</v>
      </c>
      <c r="Z87" s="38">
        <f>IF((K87=""),0,ROUND((((((ROUNDDOWN((K87/5),0)*Settings!$F$3)+(L87*Settings!$I$3))+(M87*Settings!$F$4))+(ROUNDDOWN((N87/5),0)*Settings!$F$7))+(O87*Settings!$I$7)),1))</f>
        <v>0</v>
      </c>
      <c r="AA87" s="38">
        <f>IF((Q87=""),0,ROUND(((((((ROUNDDOWN((Q87/5),0)*Settings!$F$3)+(R87*Settings!$I$3))+(S87*Settings!$F$4))+(ROUNDDOWN((T87/5),0)*Settings!$F$7))+(U87*Settings!$I$7))+(V87*Settings!$F$15)),1))</f>
        <v>0</v>
      </c>
      <c r="AB87" s="66">
        <f>ROUND((((Y87*Settings!$B$21)+(Z87*Settings!$B$22))+(AA87*Settings!$B$23)),1)</f>
        <v>0</v>
      </c>
      <c r="AC87" s="66">
        <f>IF(ISERROR(VLOOKUP(RANK(AB87,$AB$4:$AB$102),AC$4:AC86,1,0)),RANK(AB87,$AB$4:$AB$102),IF(ISERROR(VLOOKUP((RANK(AB87,$AB$4:$AB$102)+1),AC$4:AC86,1,0)),(RANK(AB87,$AB$4:$AB$102)+1),IF(ISERROR(VLOOKUP((RANK(AB87,$AB$4:$AB$102)+2),AC$4:AC86,1,0)),(RANK(AB87,$AB$4:$AB$102)+2),(RANK(AB87,$AB$4:$AB$102)+3))))</f>
        <v>69</v>
      </c>
      <c r="AD87" t="str">
        <f t="shared" si="8"/>
        <v/>
      </c>
    </row>
    <row r="88" spans="1:30" ht="12.75" customHeight="1">
      <c r="A88" s="33">
        <f>ESPNData!B89</f>
        <v>0</v>
      </c>
      <c r="B88" s="33" t="str">
        <f t="shared" si="6"/>
        <v/>
      </c>
      <c r="C88" s="64" t="e">
        <f t="shared" si="7"/>
        <v>#VALUE!</v>
      </c>
      <c r="D88" s="117" t="str">
        <f>IF(ISERROR(VLOOKUP($B88,FFTodayData!$B:$M,4,0)),"",VLOOKUP($B88,FFTodayData!$B:$M,4,0))</f>
        <v/>
      </c>
      <c r="E88" s="33" t="str">
        <f>IF(ISERROR(VLOOKUP($B88,FFTodayData!$B:$M,6,0)),"",VLOOKUP($B88,FFTodayData!$B:$M,6,0))</f>
        <v/>
      </c>
      <c r="F88" s="33" t="str">
        <f>IF(ISERROR(VLOOKUP($B88,FFTodayData!$B:$M,7,0)),"",VLOOKUP($B88,FFTodayData!$B:$M,7,0))</f>
        <v/>
      </c>
      <c r="G88" s="33" t="str">
        <f>IF(ISERROR(VLOOKUP($B88,FFTodayData!$B:$M,8,0)),"",VLOOKUP($B88,FFTodayData!$B:$M,8,0))</f>
        <v/>
      </c>
      <c r="H88" s="33" t="str">
        <f>IF(ISERROR(VLOOKUP($B88,FFTodayData!$B:$M,10,0)),"",VLOOKUP($B88,FFTodayData!$B:$M,10,0))</f>
        <v/>
      </c>
      <c r="I88" s="64" t="str">
        <f>IF(ISERROR(VLOOKUP($B88,FFTodayData!$B:$M,11,0)),"",VLOOKUP($B88,FFTodayData!$B:$M,11,0))</f>
        <v/>
      </c>
      <c r="J88" s="117" t="e">
        <f>VALUE(IF(ISERROR(VLOOKUP($A88,ESPNData!$B:$O,4,0)),"",IF((VLOOKUP($A88,ESPNData!$B:$O,4,0)="--/--"),0,LEFT(VLOOKUP($A88,ESPNData!$B:$O,4,0),(FIND("/",VLOOKUP($A88,ESPNData!$B:$O,4,0))-1)))))</f>
        <v>#VALUE!</v>
      </c>
      <c r="K88" s="33" t="str">
        <f>IF(ISERROR(VLOOKUP($A88,ESPNData!$B:$O,5,0)),"",IF((VLOOKUP($A88,ESPNData!$B:$O,5,0)="--"),0,VLOOKUP($A88,ESPNData!$B:$O,5,0)))</f>
        <v/>
      </c>
      <c r="L88" s="33" t="str">
        <f>IF(ISERROR(VLOOKUP($A88,ESPNData!$B:$O,6,0)),"",IF((VLOOKUP($A88,ESPNData!$B:$O,6,0)="--"),0,VLOOKUP($A88,ESPNData!$B:$O,6,0)))</f>
        <v/>
      </c>
      <c r="M88" s="33" t="str">
        <f>IF(ISERROR(VLOOKUP($A88,ESPNData!$B:$O,7,0)),"",IF((VLOOKUP($A88,ESPNData!$B:$O,7,0)="--"),0,VLOOKUP($A88,ESPNData!$B:$O,7,0)))</f>
        <v/>
      </c>
      <c r="N88" s="33" t="str">
        <f>IF(ISERROR(VLOOKUP($A88,ESPNData!$B:$O,9,0)),"",IF((VLOOKUP($A88,ESPNData!$B:$O,9,0)="--"),0,VLOOKUP($A88,ESPNData!$B:$O,9,0)))</f>
        <v/>
      </c>
      <c r="O88" s="194" t="str">
        <f>IF(ISERROR(VLOOKUP($A88,ESPNData!$B:$O,10,0)),"",IF((VLOOKUP($A88,ESPNData!$B:$O,10,0)="--"),0,VLOOKUP($A88,ESPNData!$B:$O,10,0)))</f>
        <v/>
      </c>
      <c r="P88" s="93" t="str">
        <f>IF(ISERROR(VLOOKUP($B88,SportslineData!$A:$O,4,0)),"",ROUND(VLOOKUP($B88,SportslineData!$A:$O,4,0),0))</f>
        <v/>
      </c>
      <c r="Q88" s="33" t="str">
        <f>IF(ISERROR(VLOOKUP($B88,SportslineData!$A:$O,5,0)),"",VLOOKUP($B88,SportslineData!$A:$O,5,0))</f>
        <v/>
      </c>
      <c r="R88" s="33" t="str">
        <f>IF(ISERROR(VLOOKUP($B88,SportslineData!$A:$O,6,0)),"",ROUND(VLOOKUP($B88,SportslineData!$A:$O,6,0),0))</f>
        <v/>
      </c>
      <c r="S88" s="33" t="str">
        <f>IF(ISERROR(VLOOKUP($B88,SportslineData!$A:$O,7,0)),"",ROUND(VLOOKUP($B88,SportslineData!$A:$O,7,0),0))</f>
        <v/>
      </c>
      <c r="T88" s="33" t="str">
        <f>IF(ISERROR(VLOOKUP($B88,SportslineData!$A:$O,11,0)),"",VLOOKUP($B88,SportslineData!$A:$O,11,0))</f>
        <v/>
      </c>
      <c r="U88" s="33" t="str">
        <f>IF(ISERROR(VLOOKUP($B88,SportslineData!$A:$O,13,0)),"",ROUND(VLOOKUP($B88,SportslineData!$A:$O,13,0),0))</f>
        <v/>
      </c>
      <c r="V88" s="64" t="str">
        <f>IF(ISERROR(VLOOKUP($B88,SportslineData!$A:$O,14,0)),"",ROUND(VLOOKUP($B88,SportslineData!$A:$O,14,0),0))</f>
        <v/>
      </c>
      <c r="W88" s="117"/>
      <c r="X88" s="33"/>
      <c r="Y88" s="38">
        <f>IF((E88=""),0,ROUND((((((ROUNDDOWN((E88/5),0)*Settings!$F$3)+(F88*Settings!$I$3))+(G88*Settings!$F$4))+(ROUNDDOWN((H88/5),0)*Settings!$F$7))+(I88*Settings!$I$7)),1))</f>
        <v>0</v>
      </c>
      <c r="Z88" s="38">
        <f>IF((K88=""),0,ROUND((((((ROUNDDOWN((K88/5),0)*Settings!$F$3)+(L88*Settings!$I$3))+(M88*Settings!$F$4))+(ROUNDDOWN((N88/5),0)*Settings!$F$7))+(O88*Settings!$I$7)),1))</f>
        <v>0</v>
      </c>
      <c r="AA88" s="38">
        <f>IF((Q88=""),0,ROUND(((((((ROUNDDOWN((Q88/5),0)*Settings!$F$3)+(R88*Settings!$I$3))+(S88*Settings!$F$4))+(ROUNDDOWN((T88/5),0)*Settings!$F$7))+(U88*Settings!$I$7))+(V88*Settings!$F$15)),1))</f>
        <v>0</v>
      </c>
      <c r="AB88" s="66">
        <f>ROUND((((Y88*Settings!$B$21)+(Z88*Settings!$B$22))+(AA88*Settings!$B$23)),1)</f>
        <v>0</v>
      </c>
      <c r="AC88" s="66">
        <f>IF(ISERROR(VLOOKUP(RANK(AB88,$AB$4:$AB$102),AC$4:AC87,1,0)),RANK(AB88,$AB$4:$AB$102),IF(ISERROR(VLOOKUP((RANK(AB88,$AB$4:$AB$102)+1),AC$4:AC87,1,0)),(RANK(AB88,$AB$4:$AB$102)+1),IF(ISERROR(VLOOKUP((RANK(AB88,$AB$4:$AB$102)+2),AC$4:AC87,1,0)),(RANK(AB88,$AB$4:$AB$102)+2),(RANK(AB88,$AB$4:$AB$102)+3))))</f>
        <v>69</v>
      </c>
      <c r="AD88" t="str">
        <f t="shared" si="8"/>
        <v/>
      </c>
    </row>
    <row r="89" spans="1:30" ht="12.75" customHeight="1">
      <c r="A89" s="33">
        <f>ESPNData!B90</f>
        <v>0</v>
      </c>
      <c r="B89" s="33" t="str">
        <f t="shared" si="6"/>
        <v/>
      </c>
      <c r="C89" s="64" t="e">
        <f t="shared" si="7"/>
        <v>#VALUE!</v>
      </c>
      <c r="D89" s="117" t="str">
        <f>IF(ISERROR(VLOOKUP($B89,FFTodayData!$B:$M,4,0)),"",VLOOKUP($B89,FFTodayData!$B:$M,4,0))</f>
        <v/>
      </c>
      <c r="E89" s="33" t="str">
        <f>IF(ISERROR(VLOOKUP($B89,FFTodayData!$B:$M,6,0)),"",VLOOKUP($B89,FFTodayData!$B:$M,6,0))</f>
        <v/>
      </c>
      <c r="F89" s="33" t="str">
        <f>IF(ISERROR(VLOOKUP($B89,FFTodayData!$B:$M,7,0)),"",VLOOKUP($B89,FFTodayData!$B:$M,7,0))</f>
        <v/>
      </c>
      <c r="G89" s="33" t="str">
        <f>IF(ISERROR(VLOOKUP($B89,FFTodayData!$B:$M,8,0)),"",VLOOKUP($B89,FFTodayData!$B:$M,8,0))</f>
        <v/>
      </c>
      <c r="H89" s="33" t="str">
        <f>IF(ISERROR(VLOOKUP($B89,FFTodayData!$B:$M,10,0)),"",VLOOKUP($B89,FFTodayData!$B:$M,10,0))</f>
        <v/>
      </c>
      <c r="I89" s="64" t="str">
        <f>IF(ISERROR(VLOOKUP($B89,FFTodayData!$B:$M,11,0)),"",VLOOKUP($B89,FFTodayData!$B:$M,11,0))</f>
        <v/>
      </c>
      <c r="J89" s="117" t="e">
        <f>VALUE(IF(ISERROR(VLOOKUP($A89,ESPNData!$B:$O,4,0)),"",IF((VLOOKUP($A89,ESPNData!$B:$O,4,0)="--/--"),0,LEFT(VLOOKUP($A89,ESPNData!$B:$O,4,0),(FIND("/",VLOOKUP($A89,ESPNData!$B:$O,4,0))-1)))))</f>
        <v>#VALUE!</v>
      </c>
      <c r="K89" s="33" t="str">
        <f>IF(ISERROR(VLOOKUP($A89,ESPNData!$B:$O,5,0)),"",IF((VLOOKUP($A89,ESPNData!$B:$O,5,0)="--"),0,VLOOKUP($A89,ESPNData!$B:$O,5,0)))</f>
        <v/>
      </c>
      <c r="L89" s="33" t="str">
        <f>IF(ISERROR(VLOOKUP($A89,ESPNData!$B:$O,6,0)),"",IF((VLOOKUP($A89,ESPNData!$B:$O,6,0)="--"),0,VLOOKUP($A89,ESPNData!$B:$O,6,0)))</f>
        <v/>
      </c>
      <c r="M89" s="33" t="str">
        <f>IF(ISERROR(VLOOKUP($A89,ESPNData!$B:$O,7,0)),"",IF((VLOOKUP($A89,ESPNData!$B:$O,7,0)="--"),0,VLOOKUP($A89,ESPNData!$B:$O,7,0)))</f>
        <v/>
      </c>
      <c r="N89" s="33" t="str">
        <f>IF(ISERROR(VLOOKUP($A89,ESPNData!$B:$O,9,0)),"",IF((VLOOKUP($A89,ESPNData!$B:$O,9,0)="--"),0,VLOOKUP($A89,ESPNData!$B:$O,9,0)))</f>
        <v/>
      </c>
      <c r="O89" s="194" t="str">
        <f>IF(ISERROR(VLOOKUP($A89,ESPNData!$B:$O,10,0)),"",IF((VLOOKUP($A89,ESPNData!$B:$O,10,0)="--"),0,VLOOKUP($A89,ESPNData!$B:$O,10,0)))</f>
        <v/>
      </c>
      <c r="P89" s="93" t="str">
        <f>IF(ISERROR(VLOOKUP($B89,SportslineData!$A:$O,4,0)),"",ROUND(VLOOKUP($B89,SportslineData!$A:$O,4,0),0))</f>
        <v/>
      </c>
      <c r="Q89" s="33" t="str">
        <f>IF(ISERROR(VLOOKUP($B89,SportslineData!$A:$O,5,0)),"",VLOOKUP($B89,SportslineData!$A:$O,5,0))</f>
        <v/>
      </c>
      <c r="R89" s="33" t="str">
        <f>IF(ISERROR(VLOOKUP($B89,SportslineData!$A:$O,6,0)),"",ROUND(VLOOKUP($B89,SportslineData!$A:$O,6,0),0))</f>
        <v/>
      </c>
      <c r="S89" s="33" t="str">
        <f>IF(ISERROR(VLOOKUP($B89,SportslineData!$A:$O,7,0)),"",ROUND(VLOOKUP($B89,SportslineData!$A:$O,7,0),0))</f>
        <v/>
      </c>
      <c r="T89" s="33" t="str">
        <f>IF(ISERROR(VLOOKUP($B89,SportslineData!$A:$O,11,0)),"",VLOOKUP($B89,SportslineData!$A:$O,11,0))</f>
        <v/>
      </c>
      <c r="U89" s="33" t="str">
        <f>IF(ISERROR(VLOOKUP($B89,SportslineData!$A:$O,13,0)),"",ROUND(VLOOKUP($B89,SportslineData!$A:$O,13,0),0))</f>
        <v/>
      </c>
      <c r="V89" s="64" t="str">
        <f>IF(ISERROR(VLOOKUP($B89,SportslineData!$A:$O,14,0)),"",ROUND(VLOOKUP($B89,SportslineData!$A:$O,14,0),0))</f>
        <v/>
      </c>
      <c r="W89" s="117"/>
      <c r="X89" s="33"/>
      <c r="Y89" s="38">
        <f>IF((E89=""),0,ROUND((((((ROUNDDOWN((E89/5),0)*Settings!$F$3)+(F89*Settings!$I$3))+(G89*Settings!$F$4))+(ROUNDDOWN((H89/5),0)*Settings!$F$7))+(I89*Settings!$I$7)),1))</f>
        <v>0</v>
      </c>
      <c r="Z89" s="38">
        <f>IF((K89=""),0,ROUND((((((ROUNDDOWN((K89/5),0)*Settings!$F$3)+(L89*Settings!$I$3))+(M89*Settings!$F$4))+(ROUNDDOWN((N89/5),0)*Settings!$F$7))+(O89*Settings!$I$7)),1))</f>
        <v>0</v>
      </c>
      <c r="AA89" s="38">
        <f>IF((Q89=""),0,ROUND(((((((ROUNDDOWN((Q89/5),0)*Settings!$F$3)+(R89*Settings!$I$3))+(S89*Settings!$F$4))+(ROUNDDOWN((T89/5),0)*Settings!$F$7))+(U89*Settings!$I$7))+(V89*Settings!$F$15)),1))</f>
        <v>0</v>
      </c>
      <c r="AB89" s="66">
        <f>ROUND((((Y89*Settings!$B$21)+(Z89*Settings!$B$22))+(AA89*Settings!$B$23)),1)</f>
        <v>0</v>
      </c>
      <c r="AC89" s="66">
        <f>IF(ISERROR(VLOOKUP(RANK(AB89,$AB$4:$AB$102),AC$4:AC88,1,0)),RANK(AB89,$AB$4:$AB$102),IF(ISERROR(VLOOKUP((RANK(AB89,$AB$4:$AB$102)+1),AC$4:AC88,1,0)),(RANK(AB89,$AB$4:$AB$102)+1),IF(ISERROR(VLOOKUP((RANK(AB89,$AB$4:$AB$102)+2),AC$4:AC88,1,0)),(RANK(AB89,$AB$4:$AB$102)+2),(RANK(AB89,$AB$4:$AB$102)+3))))</f>
        <v>69</v>
      </c>
      <c r="AD89" t="str">
        <f t="shared" si="8"/>
        <v/>
      </c>
    </row>
    <row r="90" spans="1:30" ht="12.75" customHeight="1">
      <c r="A90" s="33">
        <f>ESPNData!B91</f>
        <v>0</v>
      </c>
      <c r="B90" s="33" t="str">
        <f t="shared" si="6"/>
        <v/>
      </c>
      <c r="C90" s="64" t="e">
        <f t="shared" si="7"/>
        <v>#VALUE!</v>
      </c>
      <c r="D90" s="117" t="str">
        <f>IF(ISERROR(VLOOKUP($B90,FFTodayData!$B:$M,4,0)),"",VLOOKUP($B90,FFTodayData!$B:$M,4,0))</f>
        <v/>
      </c>
      <c r="E90" s="33" t="str">
        <f>IF(ISERROR(VLOOKUP($B90,FFTodayData!$B:$M,6,0)),"",VLOOKUP($B90,FFTodayData!$B:$M,6,0))</f>
        <v/>
      </c>
      <c r="F90" s="33" t="str">
        <f>IF(ISERROR(VLOOKUP($B90,FFTodayData!$B:$M,7,0)),"",VLOOKUP($B90,FFTodayData!$B:$M,7,0))</f>
        <v/>
      </c>
      <c r="G90" s="33" t="str">
        <f>IF(ISERROR(VLOOKUP($B90,FFTodayData!$B:$M,8,0)),"",VLOOKUP($B90,FFTodayData!$B:$M,8,0))</f>
        <v/>
      </c>
      <c r="H90" s="33" t="str">
        <f>IF(ISERROR(VLOOKUP($B90,FFTodayData!$B:$M,10,0)),"",VLOOKUP($B90,FFTodayData!$B:$M,10,0))</f>
        <v/>
      </c>
      <c r="I90" s="64" t="str">
        <f>IF(ISERROR(VLOOKUP($B90,FFTodayData!$B:$M,11,0)),"",VLOOKUP($B90,FFTodayData!$B:$M,11,0))</f>
        <v/>
      </c>
      <c r="J90" s="117" t="e">
        <f>VALUE(IF(ISERROR(VLOOKUP($A90,ESPNData!$B:$O,4,0)),"",IF((VLOOKUP($A90,ESPNData!$B:$O,4,0)="--/--"),0,LEFT(VLOOKUP($A90,ESPNData!$B:$O,4,0),(FIND("/",VLOOKUP($A90,ESPNData!$B:$O,4,0))-1)))))</f>
        <v>#VALUE!</v>
      </c>
      <c r="K90" s="33" t="str">
        <f>IF(ISERROR(VLOOKUP($A90,ESPNData!$B:$O,5,0)),"",IF((VLOOKUP($A90,ESPNData!$B:$O,5,0)="--"),0,VLOOKUP($A90,ESPNData!$B:$O,5,0)))</f>
        <v/>
      </c>
      <c r="L90" s="33" t="str">
        <f>IF(ISERROR(VLOOKUP($A90,ESPNData!$B:$O,6,0)),"",IF((VLOOKUP($A90,ESPNData!$B:$O,6,0)="--"),0,VLOOKUP($A90,ESPNData!$B:$O,6,0)))</f>
        <v/>
      </c>
      <c r="M90" s="33" t="str">
        <f>IF(ISERROR(VLOOKUP($A90,ESPNData!$B:$O,7,0)),"",IF((VLOOKUP($A90,ESPNData!$B:$O,7,0)="--"),0,VLOOKUP($A90,ESPNData!$B:$O,7,0)))</f>
        <v/>
      </c>
      <c r="N90" s="33" t="str">
        <f>IF(ISERROR(VLOOKUP($A90,ESPNData!$B:$O,9,0)),"",IF((VLOOKUP($A90,ESPNData!$B:$O,9,0)="--"),0,VLOOKUP($A90,ESPNData!$B:$O,9,0)))</f>
        <v/>
      </c>
      <c r="O90" s="194" t="str">
        <f>IF(ISERROR(VLOOKUP($A90,ESPNData!$B:$O,10,0)),"",IF((VLOOKUP($A90,ESPNData!$B:$O,10,0)="--"),0,VLOOKUP($A90,ESPNData!$B:$O,10,0)))</f>
        <v/>
      </c>
      <c r="P90" s="93" t="str">
        <f>IF(ISERROR(VLOOKUP($B90,SportslineData!$A:$O,4,0)),"",ROUND(VLOOKUP($B90,SportslineData!$A:$O,4,0),0))</f>
        <v/>
      </c>
      <c r="Q90" s="33" t="str">
        <f>IF(ISERROR(VLOOKUP($B90,SportslineData!$A:$O,5,0)),"",VLOOKUP($B90,SportslineData!$A:$O,5,0))</f>
        <v/>
      </c>
      <c r="R90" s="33" t="str">
        <f>IF(ISERROR(VLOOKUP($B90,SportslineData!$A:$O,6,0)),"",ROUND(VLOOKUP($B90,SportslineData!$A:$O,6,0),0))</f>
        <v/>
      </c>
      <c r="S90" s="33" t="str">
        <f>IF(ISERROR(VLOOKUP($B90,SportslineData!$A:$O,7,0)),"",ROUND(VLOOKUP($B90,SportslineData!$A:$O,7,0),0))</f>
        <v/>
      </c>
      <c r="T90" s="33" t="str">
        <f>IF(ISERROR(VLOOKUP($B90,SportslineData!$A:$O,11,0)),"",VLOOKUP($B90,SportslineData!$A:$O,11,0))</f>
        <v/>
      </c>
      <c r="U90" s="33" t="str">
        <f>IF(ISERROR(VLOOKUP($B90,SportslineData!$A:$O,13,0)),"",ROUND(VLOOKUP($B90,SportslineData!$A:$O,13,0),0))</f>
        <v/>
      </c>
      <c r="V90" s="64" t="str">
        <f>IF(ISERROR(VLOOKUP($B90,SportslineData!$A:$O,14,0)),"",ROUND(VLOOKUP($B90,SportslineData!$A:$O,14,0),0))</f>
        <v/>
      </c>
      <c r="W90" s="117"/>
      <c r="X90" s="33"/>
      <c r="Y90" s="38">
        <f>IF((E90=""),0,ROUND((((((ROUNDDOWN((E90/5),0)*Settings!$F$3)+(F90*Settings!$I$3))+(G90*Settings!$F$4))+(ROUNDDOWN((H90/5),0)*Settings!$F$7))+(I90*Settings!$I$7)),1))</f>
        <v>0</v>
      </c>
      <c r="Z90" s="38">
        <f>IF((K90=""),0,ROUND((((((ROUNDDOWN((K90/5),0)*Settings!$F$3)+(L90*Settings!$I$3))+(M90*Settings!$F$4))+(ROUNDDOWN((N90/5),0)*Settings!$F$7))+(O90*Settings!$I$7)),1))</f>
        <v>0</v>
      </c>
      <c r="AA90" s="38">
        <f>IF((Q90=""),0,ROUND(((((((ROUNDDOWN((Q90/5),0)*Settings!$F$3)+(R90*Settings!$I$3))+(S90*Settings!$F$4))+(ROUNDDOWN((T90/5),0)*Settings!$F$7))+(U90*Settings!$I$7))+(V90*Settings!$F$15)),1))</f>
        <v>0</v>
      </c>
      <c r="AB90" s="66">
        <f>ROUND((((Y90*Settings!$B$21)+(Z90*Settings!$B$22))+(AA90*Settings!$B$23)),1)</f>
        <v>0</v>
      </c>
      <c r="AC90" s="66">
        <f>IF(ISERROR(VLOOKUP(RANK(AB90,$AB$4:$AB$102),AC$4:AC89,1,0)),RANK(AB90,$AB$4:$AB$102),IF(ISERROR(VLOOKUP((RANK(AB90,$AB$4:$AB$102)+1),AC$4:AC89,1,0)),(RANK(AB90,$AB$4:$AB$102)+1),IF(ISERROR(VLOOKUP((RANK(AB90,$AB$4:$AB$102)+2),AC$4:AC89,1,0)),(RANK(AB90,$AB$4:$AB$102)+2),(RANK(AB90,$AB$4:$AB$102)+3))))</f>
        <v>69</v>
      </c>
      <c r="AD90" t="str">
        <f t="shared" si="8"/>
        <v/>
      </c>
    </row>
    <row r="91" spans="1:30" ht="12.75" customHeight="1">
      <c r="A91" s="33">
        <f>ESPNData!B92</f>
        <v>0</v>
      </c>
      <c r="B91" s="33" t="str">
        <f t="shared" si="6"/>
        <v/>
      </c>
      <c r="C91" s="64" t="e">
        <f t="shared" si="7"/>
        <v>#VALUE!</v>
      </c>
      <c r="D91" s="117" t="str">
        <f>IF(ISERROR(VLOOKUP($B91,FFTodayData!$B:$M,4,0)),"",VLOOKUP($B91,FFTodayData!$B:$M,4,0))</f>
        <v/>
      </c>
      <c r="E91" s="33" t="str">
        <f>IF(ISERROR(VLOOKUP($B91,FFTodayData!$B:$M,6,0)),"",VLOOKUP($B91,FFTodayData!$B:$M,6,0))</f>
        <v/>
      </c>
      <c r="F91" s="33" t="str">
        <f>IF(ISERROR(VLOOKUP($B91,FFTodayData!$B:$M,7,0)),"",VLOOKUP($B91,FFTodayData!$B:$M,7,0))</f>
        <v/>
      </c>
      <c r="G91" s="33" t="str">
        <f>IF(ISERROR(VLOOKUP($B91,FFTodayData!$B:$M,8,0)),"",VLOOKUP($B91,FFTodayData!$B:$M,8,0))</f>
        <v/>
      </c>
      <c r="H91" s="33" t="str">
        <f>IF(ISERROR(VLOOKUP($B91,FFTodayData!$B:$M,10,0)),"",VLOOKUP($B91,FFTodayData!$B:$M,10,0))</f>
        <v/>
      </c>
      <c r="I91" s="64" t="str">
        <f>IF(ISERROR(VLOOKUP($B91,FFTodayData!$B:$M,11,0)),"",VLOOKUP($B91,FFTodayData!$B:$M,11,0))</f>
        <v/>
      </c>
      <c r="J91" s="117" t="e">
        <f>VALUE(IF(ISERROR(VLOOKUP($A91,ESPNData!$B:$O,4,0)),"",IF((VLOOKUP($A91,ESPNData!$B:$O,4,0)="--/--"),0,LEFT(VLOOKUP($A91,ESPNData!$B:$O,4,0),(FIND("/",VLOOKUP($A91,ESPNData!$B:$O,4,0))-1)))))</f>
        <v>#VALUE!</v>
      </c>
      <c r="K91" s="33" t="str">
        <f>IF(ISERROR(VLOOKUP($A91,ESPNData!$B:$O,5,0)),"",IF((VLOOKUP($A91,ESPNData!$B:$O,5,0)="--"),0,VLOOKUP($A91,ESPNData!$B:$O,5,0)))</f>
        <v/>
      </c>
      <c r="L91" s="33" t="str">
        <f>IF(ISERROR(VLOOKUP($A91,ESPNData!$B:$O,6,0)),"",IF((VLOOKUP($A91,ESPNData!$B:$O,6,0)="--"),0,VLOOKUP($A91,ESPNData!$B:$O,6,0)))</f>
        <v/>
      </c>
      <c r="M91" s="33" t="str">
        <f>IF(ISERROR(VLOOKUP($A91,ESPNData!$B:$O,7,0)),"",IF((VLOOKUP($A91,ESPNData!$B:$O,7,0)="--"),0,VLOOKUP($A91,ESPNData!$B:$O,7,0)))</f>
        <v/>
      </c>
      <c r="N91" s="33" t="str">
        <f>IF(ISERROR(VLOOKUP($A91,ESPNData!$B:$O,9,0)),"",IF((VLOOKUP($A91,ESPNData!$B:$O,9,0)="--"),0,VLOOKUP($A91,ESPNData!$B:$O,9,0)))</f>
        <v/>
      </c>
      <c r="O91" s="194" t="str">
        <f>IF(ISERROR(VLOOKUP($A91,ESPNData!$B:$O,10,0)),"",IF((VLOOKUP($A91,ESPNData!$B:$O,10,0)="--"),0,VLOOKUP($A91,ESPNData!$B:$O,10,0)))</f>
        <v/>
      </c>
      <c r="P91" s="93" t="str">
        <f>IF(ISERROR(VLOOKUP($B91,SportslineData!$A:$O,4,0)),"",ROUND(VLOOKUP($B91,SportslineData!$A:$O,4,0),0))</f>
        <v/>
      </c>
      <c r="Q91" s="33" t="str">
        <f>IF(ISERROR(VLOOKUP($B91,SportslineData!$A:$O,5,0)),"",VLOOKUP($B91,SportslineData!$A:$O,5,0))</f>
        <v/>
      </c>
      <c r="R91" s="33" t="str">
        <f>IF(ISERROR(VLOOKUP($B91,SportslineData!$A:$O,6,0)),"",ROUND(VLOOKUP($B91,SportslineData!$A:$O,6,0),0))</f>
        <v/>
      </c>
      <c r="S91" s="33" t="str">
        <f>IF(ISERROR(VLOOKUP($B91,SportslineData!$A:$O,7,0)),"",ROUND(VLOOKUP($B91,SportslineData!$A:$O,7,0),0))</f>
        <v/>
      </c>
      <c r="T91" s="33" t="str">
        <f>IF(ISERROR(VLOOKUP($B91,SportslineData!$A:$O,11,0)),"",VLOOKUP($B91,SportslineData!$A:$O,11,0))</f>
        <v/>
      </c>
      <c r="U91" s="33" t="str">
        <f>IF(ISERROR(VLOOKUP($B91,SportslineData!$A:$O,13,0)),"",ROUND(VLOOKUP($B91,SportslineData!$A:$O,13,0),0))</f>
        <v/>
      </c>
      <c r="V91" s="64" t="str">
        <f>IF(ISERROR(VLOOKUP($B91,SportslineData!$A:$O,14,0)),"",ROUND(VLOOKUP($B91,SportslineData!$A:$O,14,0),0))</f>
        <v/>
      </c>
      <c r="W91" s="117"/>
      <c r="X91" s="33"/>
      <c r="Y91" s="38">
        <f>IF((E91=""),0,ROUND((((((ROUNDDOWN((E91/5),0)*Settings!$F$3)+(F91*Settings!$I$3))+(G91*Settings!$F$4))+(ROUNDDOWN((H91/5),0)*Settings!$F$7))+(I91*Settings!$I$7)),1))</f>
        <v>0</v>
      </c>
      <c r="Z91" s="38">
        <f>IF((K91=""),0,ROUND((((((ROUNDDOWN((K91/5),0)*Settings!$F$3)+(L91*Settings!$I$3))+(M91*Settings!$F$4))+(ROUNDDOWN((N91/5),0)*Settings!$F$7))+(O91*Settings!$I$7)),1))</f>
        <v>0</v>
      </c>
      <c r="AA91" s="38">
        <f>IF((Q91=""),0,ROUND(((((((ROUNDDOWN((Q91/5),0)*Settings!$F$3)+(R91*Settings!$I$3))+(S91*Settings!$F$4))+(ROUNDDOWN((T91/5),0)*Settings!$F$7))+(U91*Settings!$I$7))+(V91*Settings!$F$15)),1))</f>
        <v>0</v>
      </c>
      <c r="AB91" s="66">
        <f>ROUND((((Y91*Settings!$B$21)+(Z91*Settings!$B$22))+(AA91*Settings!$B$23)),1)</f>
        <v>0</v>
      </c>
      <c r="AC91" s="66">
        <f>IF(ISERROR(VLOOKUP(RANK(AB91,$AB$4:$AB$102),AC$4:AC90,1,0)),RANK(AB91,$AB$4:$AB$102),IF(ISERROR(VLOOKUP((RANK(AB91,$AB$4:$AB$102)+1),AC$4:AC90,1,0)),(RANK(AB91,$AB$4:$AB$102)+1),IF(ISERROR(VLOOKUP((RANK(AB91,$AB$4:$AB$102)+2),AC$4:AC90,1,0)),(RANK(AB91,$AB$4:$AB$102)+2),(RANK(AB91,$AB$4:$AB$102)+3))))</f>
        <v>69</v>
      </c>
      <c r="AD91" t="str">
        <f t="shared" si="8"/>
        <v/>
      </c>
    </row>
    <row r="92" spans="1:30" ht="12.75" customHeight="1">
      <c r="A92" s="33">
        <f>ESPNData!B93</f>
        <v>0</v>
      </c>
      <c r="B92" s="33" t="str">
        <f t="shared" si="6"/>
        <v/>
      </c>
      <c r="C92" s="64" t="e">
        <f t="shared" si="7"/>
        <v>#VALUE!</v>
      </c>
      <c r="D92" s="117" t="str">
        <f>IF(ISERROR(VLOOKUP($B92,FFTodayData!$B:$M,4,0)),"",VLOOKUP($B92,FFTodayData!$B:$M,4,0))</f>
        <v/>
      </c>
      <c r="E92" s="33" t="str">
        <f>IF(ISERROR(VLOOKUP($B92,FFTodayData!$B:$M,6,0)),"",VLOOKUP($B92,FFTodayData!$B:$M,6,0))</f>
        <v/>
      </c>
      <c r="F92" s="33" t="str">
        <f>IF(ISERROR(VLOOKUP($B92,FFTodayData!$B:$M,7,0)),"",VLOOKUP($B92,FFTodayData!$B:$M,7,0))</f>
        <v/>
      </c>
      <c r="G92" s="33" t="str">
        <f>IF(ISERROR(VLOOKUP($B92,FFTodayData!$B:$M,8,0)),"",VLOOKUP($B92,FFTodayData!$B:$M,8,0))</f>
        <v/>
      </c>
      <c r="H92" s="33" t="str">
        <f>IF(ISERROR(VLOOKUP($B92,FFTodayData!$B:$M,10,0)),"",VLOOKUP($B92,FFTodayData!$B:$M,10,0))</f>
        <v/>
      </c>
      <c r="I92" s="64" t="str">
        <f>IF(ISERROR(VLOOKUP($B92,FFTodayData!$B:$M,11,0)),"",VLOOKUP($B92,FFTodayData!$B:$M,11,0))</f>
        <v/>
      </c>
      <c r="J92" s="117" t="e">
        <f>VALUE(IF(ISERROR(VLOOKUP($A92,ESPNData!$B:$O,4,0)),"",IF((VLOOKUP($A92,ESPNData!$B:$O,4,0)="--/--"),0,LEFT(VLOOKUP($A92,ESPNData!$B:$O,4,0),(FIND("/",VLOOKUP($A92,ESPNData!$B:$O,4,0))-1)))))</f>
        <v>#VALUE!</v>
      </c>
      <c r="K92" s="33" t="str">
        <f>IF(ISERROR(VLOOKUP($A92,ESPNData!$B:$O,5,0)),"",IF((VLOOKUP($A92,ESPNData!$B:$O,5,0)="--"),0,VLOOKUP($A92,ESPNData!$B:$O,5,0)))</f>
        <v/>
      </c>
      <c r="L92" s="33" t="str">
        <f>IF(ISERROR(VLOOKUP($A92,ESPNData!$B:$O,6,0)),"",IF((VLOOKUP($A92,ESPNData!$B:$O,6,0)="--"),0,VLOOKUP($A92,ESPNData!$B:$O,6,0)))</f>
        <v/>
      </c>
      <c r="M92" s="33" t="str">
        <f>IF(ISERROR(VLOOKUP($A92,ESPNData!$B:$O,7,0)),"",IF((VLOOKUP($A92,ESPNData!$B:$O,7,0)="--"),0,VLOOKUP($A92,ESPNData!$B:$O,7,0)))</f>
        <v/>
      </c>
      <c r="N92" s="33" t="str">
        <f>IF(ISERROR(VLOOKUP($A92,ESPNData!$B:$O,9,0)),"",IF((VLOOKUP($A92,ESPNData!$B:$O,9,0)="--"),0,VLOOKUP($A92,ESPNData!$B:$O,9,0)))</f>
        <v/>
      </c>
      <c r="O92" s="194" t="str">
        <f>IF(ISERROR(VLOOKUP($A92,ESPNData!$B:$O,10,0)),"",IF((VLOOKUP($A92,ESPNData!$B:$O,10,0)="--"),0,VLOOKUP($A92,ESPNData!$B:$O,10,0)))</f>
        <v/>
      </c>
      <c r="P92" s="93" t="str">
        <f>IF(ISERROR(VLOOKUP($B92,SportslineData!$A:$O,4,0)),"",ROUND(VLOOKUP($B92,SportslineData!$A:$O,4,0),0))</f>
        <v/>
      </c>
      <c r="Q92" s="33" t="str">
        <f>IF(ISERROR(VLOOKUP($B92,SportslineData!$A:$O,5,0)),"",VLOOKUP($B92,SportslineData!$A:$O,5,0))</f>
        <v/>
      </c>
      <c r="R92" s="33" t="str">
        <f>IF(ISERROR(VLOOKUP($B92,SportslineData!$A:$O,6,0)),"",ROUND(VLOOKUP($B92,SportslineData!$A:$O,6,0),0))</f>
        <v/>
      </c>
      <c r="S92" s="33" t="str">
        <f>IF(ISERROR(VLOOKUP($B92,SportslineData!$A:$O,7,0)),"",ROUND(VLOOKUP($B92,SportslineData!$A:$O,7,0),0))</f>
        <v/>
      </c>
      <c r="T92" s="33" t="str">
        <f>IF(ISERROR(VLOOKUP($B92,SportslineData!$A:$O,11,0)),"",VLOOKUP($B92,SportslineData!$A:$O,11,0))</f>
        <v/>
      </c>
      <c r="U92" s="33" t="str">
        <f>IF(ISERROR(VLOOKUP($B92,SportslineData!$A:$O,13,0)),"",ROUND(VLOOKUP($B92,SportslineData!$A:$O,13,0),0))</f>
        <v/>
      </c>
      <c r="V92" s="64" t="str">
        <f>IF(ISERROR(VLOOKUP($B92,SportslineData!$A:$O,14,0)),"",ROUND(VLOOKUP($B92,SportslineData!$A:$O,14,0),0))</f>
        <v/>
      </c>
      <c r="W92" s="117"/>
      <c r="X92" s="33"/>
      <c r="Y92" s="38">
        <f>IF((E92=""),0,ROUND((((((ROUNDDOWN((E92/5),0)*Settings!$F$3)+(F92*Settings!$I$3))+(G92*Settings!$F$4))+(ROUNDDOWN((H92/5),0)*Settings!$F$7))+(I92*Settings!$I$7)),1))</f>
        <v>0</v>
      </c>
      <c r="Z92" s="38">
        <f>IF((K92=""),0,ROUND((((((ROUNDDOWN((K92/5),0)*Settings!$F$3)+(L92*Settings!$I$3))+(M92*Settings!$F$4))+(ROUNDDOWN((N92/5),0)*Settings!$F$7))+(O92*Settings!$I$7)),1))</f>
        <v>0</v>
      </c>
      <c r="AA92" s="38">
        <f>IF((Q92=""),0,ROUND(((((((ROUNDDOWN((Q92/5),0)*Settings!$F$3)+(R92*Settings!$I$3))+(S92*Settings!$F$4))+(ROUNDDOWN((T92/5),0)*Settings!$F$7))+(U92*Settings!$I$7))+(V92*Settings!$F$15)),1))</f>
        <v>0</v>
      </c>
      <c r="AB92" s="66">
        <f>ROUND((((Y92*Settings!$B$21)+(Z92*Settings!$B$22))+(AA92*Settings!$B$23)),1)</f>
        <v>0</v>
      </c>
      <c r="AC92" s="66">
        <f>IF(ISERROR(VLOOKUP(RANK(AB92,$AB$4:$AB$102),AC$4:AC91,1,0)),RANK(AB92,$AB$4:$AB$102),IF(ISERROR(VLOOKUP((RANK(AB92,$AB$4:$AB$102)+1),AC$4:AC91,1,0)),(RANK(AB92,$AB$4:$AB$102)+1),IF(ISERROR(VLOOKUP((RANK(AB92,$AB$4:$AB$102)+2),AC$4:AC91,1,0)),(RANK(AB92,$AB$4:$AB$102)+2),(RANK(AB92,$AB$4:$AB$102)+3))))</f>
        <v>69</v>
      </c>
      <c r="AD92" t="str">
        <f t="shared" si="8"/>
        <v/>
      </c>
    </row>
    <row r="93" spans="1:30" ht="12.75" customHeight="1">
      <c r="A93" s="33">
        <f>ESPNData!B94</f>
        <v>0</v>
      </c>
      <c r="B93" s="33" t="str">
        <f t="shared" si="6"/>
        <v/>
      </c>
      <c r="C93" s="64" t="e">
        <f t="shared" si="7"/>
        <v>#VALUE!</v>
      </c>
      <c r="D93" s="117" t="str">
        <f>IF(ISERROR(VLOOKUP($B93,FFTodayData!$B:$M,4,0)),"",VLOOKUP($B93,FFTodayData!$B:$M,4,0))</f>
        <v/>
      </c>
      <c r="E93" s="33" t="str">
        <f>IF(ISERROR(VLOOKUP($B93,FFTodayData!$B:$M,6,0)),"",VLOOKUP($B93,FFTodayData!$B:$M,6,0))</f>
        <v/>
      </c>
      <c r="F93" s="33" t="str">
        <f>IF(ISERROR(VLOOKUP($B93,FFTodayData!$B:$M,7,0)),"",VLOOKUP($B93,FFTodayData!$B:$M,7,0))</f>
        <v/>
      </c>
      <c r="G93" s="33" t="str">
        <f>IF(ISERROR(VLOOKUP($B93,FFTodayData!$B:$M,8,0)),"",VLOOKUP($B93,FFTodayData!$B:$M,8,0))</f>
        <v/>
      </c>
      <c r="H93" s="33" t="str">
        <f>IF(ISERROR(VLOOKUP($B93,FFTodayData!$B:$M,10,0)),"",VLOOKUP($B93,FFTodayData!$B:$M,10,0))</f>
        <v/>
      </c>
      <c r="I93" s="64" t="str">
        <f>IF(ISERROR(VLOOKUP($B93,FFTodayData!$B:$M,11,0)),"",VLOOKUP($B93,FFTodayData!$B:$M,11,0))</f>
        <v/>
      </c>
      <c r="J93" s="117" t="e">
        <f>VALUE(IF(ISERROR(VLOOKUP($A93,ESPNData!$B:$O,4,0)),"",IF((VLOOKUP($A93,ESPNData!$B:$O,4,0)="--/--"),0,LEFT(VLOOKUP($A93,ESPNData!$B:$O,4,0),(FIND("/",VLOOKUP($A93,ESPNData!$B:$O,4,0))-1)))))</f>
        <v>#VALUE!</v>
      </c>
      <c r="K93" s="33" t="str">
        <f>IF(ISERROR(VLOOKUP($A93,ESPNData!$B:$O,5,0)),"",IF((VLOOKUP($A93,ESPNData!$B:$O,5,0)="--"),0,VLOOKUP($A93,ESPNData!$B:$O,5,0)))</f>
        <v/>
      </c>
      <c r="L93" s="33" t="str">
        <f>IF(ISERROR(VLOOKUP($A93,ESPNData!$B:$O,6,0)),"",IF((VLOOKUP($A93,ESPNData!$B:$O,6,0)="--"),0,VLOOKUP($A93,ESPNData!$B:$O,6,0)))</f>
        <v/>
      </c>
      <c r="M93" s="33" t="str">
        <f>IF(ISERROR(VLOOKUP($A93,ESPNData!$B:$O,7,0)),"",IF((VLOOKUP($A93,ESPNData!$B:$O,7,0)="--"),0,VLOOKUP($A93,ESPNData!$B:$O,7,0)))</f>
        <v/>
      </c>
      <c r="N93" s="33" t="str">
        <f>IF(ISERROR(VLOOKUP($A93,ESPNData!$B:$O,9,0)),"",IF((VLOOKUP($A93,ESPNData!$B:$O,9,0)="--"),0,VLOOKUP($A93,ESPNData!$B:$O,9,0)))</f>
        <v/>
      </c>
      <c r="O93" s="194" t="str">
        <f>IF(ISERROR(VLOOKUP($A93,ESPNData!$B:$O,10,0)),"",IF((VLOOKUP($A93,ESPNData!$B:$O,10,0)="--"),0,VLOOKUP($A93,ESPNData!$B:$O,10,0)))</f>
        <v/>
      </c>
      <c r="P93" s="93" t="str">
        <f>IF(ISERROR(VLOOKUP($B93,SportslineData!$A:$O,4,0)),"",ROUND(VLOOKUP($B93,SportslineData!$A:$O,4,0),0))</f>
        <v/>
      </c>
      <c r="Q93" s="33" t="str">
        <f>IF(ISERROR(VLOOKUP($B93,SportslineData!$A:$O,5,0)),"",VLOOKUP($B93,SportslineData!$A:$O,5,0))</f>
        <v/>
      </c>
      <c r="R93" s="33" t="str">
        <f>IF(ISERROR(VLOOKUP($B93,SportslineData!$A:$O,6,0)),"",ROUND(VLOOKUP($B93,SportslineData!$A:$O,6,0),0))</f>
        <v/>
      </c>
      <c r="S93" s="33" t="str">
        <f>IF(ISERROR(VLOOKUP($B93,SportslineData!$A:$O,7,0)),"",ROUND(VLOOKUP($B93,SportslineData!$A:$O,7,0),0))</f>
        <v/>
      </c>
      <c r="T93" s="33" t="str">
        <f>IF(ISERROR(VLOOKUP($B93,SportslineData!$A:$O,11,0)),"",VLOOKUP($B93,SportslineData!$A:$O,11,0))</f>
        <v/>
      </c>
      <c r="U93" s="33" t="str">
        <f>IF(ISERROR(VLOOKUP($B93,SportslineData!$A:$O,13,0)),"",ROUND(VLOOKUP($B93,SportslineData!$A:$O,13,0),0))</f>
        <v/>
      </c>
      <c r="V93" s="64" t="str">
        <f>IF(ISERROR(VLOOKUP($B93,SportslineData!$A:$O,14,0)),"",ROUND(VLOOKUP($B93,SportslineData!$A:$O,14,0),0))</f>
        <v/>
      </c>
      <c r="W93" s="117"/>
      <c r="X93" s="33"/>
      <c r="Y93" s="38">
        <f>IF((E93=""),0,ROUND((((((ROUNDDOWN((E93/5),0)*Settings!$F$3)+(F93*Settings!$I$3))+(G93*Settings!$F$4))+(ROUNDDOWN((H93/5),0)*Settings!$F$7))+(I93*Settings!$I$7)),1))</f>
        <v>0</v>
      </c>
      <c r="Z93" s="38">
        <f>IF((K93=""),0,ROUND((((((ROUNDDOWN((K93/5),0)*Settings!$F$3)+(L93*Settings!$I$3))+(M93*Settings!$F$4))+(ROUNDDOWN((N93/5),0)*Settings!$F$7))+(O93*Settings!$I$7)),1))</f>
        <v>0</v>
      </c>
      <c r="AA93" s="38">
        <f>IF((Q93=""),0,ROUND(((((((ROUNDDOWN((Q93/5),0)*Settings!$F$3)+(R93*Settings!$I$3))+(S93*Settings!$F$4))+(ROUNDDOWN((T93/5),0)*Settings!$F$7))+(U93*Settings!$I$7))+(V93*Settings!$F$15)),1))</f>
        <v>0</v>
      </c>
      <c r="AB93" s="66">
        <f>ROUND((((Y93*Settings!$B$21)+(Z93*Settings!$B$22))+(AA93*Settings!$B$23)),1)</f>
        <v>0</v>
      </c>
      <c r="AC93" s="66">
        <f>IF(ISERROR(VLOOKUP(RANK(AB93,$AB$4:$AB$102),AC$4:AC92,1,0)),RANK(AB93,$AB$4:$AB$102),IF(ISERROR(VLOOKUP((RANK(AB93,$AB$4:$AB$102)+1),AC$4:AC92,1,0)),(RANK(AB93,$AB$4:$AB$102)+1),IF(ISERROR(VLOOKUP((RANK(AB93,$AB$4:$AB$102)+2),AC$4:AC92,1,0)),(RANK(AB93,$AB$4:$AB$102)+2),(RANK(AB93,$AB$4:$AB$102)+3))))</f>
        <v>69</v>
      </c>
      <c r="AD93" t="str">
        <f t="shared" si="8"/>
        <v/>
      </c>
    </row>
    <row r="94" spans="1:30" ht="12.75" customHeight="1">
      <c r="A94" s="33">
        <f>ESPNData!B95</f>
        <v>0</v>
      </c>
      <c r="B94" s="33" t="str">
        <f t="shared" si="6"/>
        <v/>
      </c>
      <c r="C94" s="64" t="e">
        <f t="shared" si="7"/>
        <v>#VALUE!</v>
      </c>
      <c r="D94" s="117" t="str">
        <f>IF(ISERROR(VLOOKUP($B94,FFTodayData!$B:$M,4,0)),"",VLOOKUP($B94,FFTodayData!$B:$M,4,0))</f>
        <v/>
      </c>
      <c r="E94" s="33" t="str">
        <f>IF(ISERROR(VLOOKUP($B94,FFTodayData!$B:$M,6,0)),"",VLOOKUP($B94,FFTodayData!$B:$M,6,0))</f>
        <v/>
      </c>
      <c r="F94" s="33" t="str">
        <f>IF(ISERROR(VLOOKUP($B94,FFTodayData!$B:$M,7,0)),"",VLOOKUP($B94,FFTodayData!$B:$M,7,0))</f>
        <v/>
      </c>
      <c r="G94" s="33" t="str">
        <f>IF(ISERROR(VLOOKUP($B94,FFTodayData!$B:$M,8,0)),"",VLOOKUP($B94,FFTodayData!$B:$M,8,0))</f>
        <v/>
      </c>
      <c r="H94" s="33" t="str">
        <f>IF(ISERROR(VLOOKUP($B94,FFTodayData!$B:$M,10,0)),"",VLOOKUP($B94,FFTodayData!$B:$M,10,0))</f>
        <v/>
      </c>
      <c r="I94" s="64" t="str">
        <f>IF(ISERROR(VLOOKUP($B94,FFTodayData!$B:$M,11,0)),"",VLOOKUP($B94,FFTodayData!$B:$M,11,0))</f>
        <v/>
      </c>
      <c r="J94" s="117" t="e">
        <f>VALUE(IF(ISERROR(VLOOKUP($A94,ESPNData!$B:$O,4,0)),"",IF((VLOOKUP($A94,ESPNData!$B:$O,4,0)="--/--"),0,LEFT(VLOOKUP($A94,ESPNData!$B:$O,4,0),(FIND("/",VLOOKUP($A94,ESPNData!$B:$O,4,0))-1)))))</f>
        <v>#VALUE!</v>
      </c>
      <c r="K94" s="33" t="str">
        <f>IF(ISERROR(VLOOKUP($A94,ESPNData!$B:$O,5,0)),"",IF((VLOOKUP($A94,ESPNData!$B:$O,5,0)="--"),0,VLOOKUP($A94,ESPNData!$B:$O,5,0)))</f>
        <v/>
      </c>
      <c r="L94" s="33" t="str">
        <f>IF(ISERROR(VLOOKUP($A94,ESPNData!$B:$O,6,0)),"",IF((VLOOKUP($A94,ESPNData!$B:$O,6,0)="--"),0,VLOOKUP($A94,ESPNData!$B:$O,6,0)))</f>
        <v/>
      </c>
      <c r="M94" s="33" t="str">
        <f>IF(ISERROR(VLOOKUP($A94,ESPNData!$B:$O,7,0)),"",IF((VLOOKUP($A94,ESPNData!$B:$O,7,0)="--"),0,VLOOKUP($A94,ESPNData!$B:$O,7,0)))</f>
        <v/>
      </c>
      <c r="N94" s="33" t="str">
        <f>IF(ISERROR(VLOOKUP($A94,ESPNData!$B:$O,9,0)),"",IF((VLOOKUP($A94,ESPNData!$B:$O,9,0)="--"),0,VLOOKUP($A94,ESPNData!$B:$O,9,0)))</f>
        <v/>
      </c>
      <c r="O94" s="194" t="str">
        <f>IF(ISERROR(VLOOKUP($A94,ESPNData!$B:$O,10,0)),"",IF((VLOOKUP($A94,ESPNData!$B:$O,10,0)="--"),0,VLOOKUP($A94,ESPNData!$B:$O,10,0)))</f>
        <v/>
      </c>
      <c r="P94" s="93" t="str">
        <f>IF(ISERROR(VLOOKUP($B94,SportslineData!$A:$O,4,0)),"",ROUND(VLOOKUP($B94,SportslineData!$A:$O,4,0),0))</f>
        <v/>
      </c>
      <c r="Q94" s="33" t="str">
        <f>IF(ISERROR(VLOOKUP($B94,SportslineData!$A:$O,5,0)),"",VLOOKUP($B94,SportslineData!$A:$O,5,0))</f>
        <v/>
      </c>
      <c r="R94" s="33" t="str">
        <f>IF(ISERROR(VLOOKUP($B94,SportslineData!$A:$O,6,0)),"",ROUND(VLOOKUP($B94,SportslineData!$A:$O,6,0),0))</f>
        <v/>
      </c>
      <c r="S94" s="33" t="str">
        <f>IF(ISERROR(VLOOKUP($B94,SportslineData!$A:$O,7,0)),"",ROUND(VLOOKUP($B94,SportslineData!$A:$O,7,0),0))</f>
        <v/>
      </c>
      <c r="T94" s="33" t="str">
        <f>IF(ISERROR(VLOOKUP($B94,SportslineData!$A:$O,11,0)),"",VLOOKUP($B94,SportslineData!$A:$O,11,0))</f>
        <v/>
      </c>
      <c r="U94" s="33" t="str">
        <f>IF(ISERROR(VLOOKUP($B94,SportslineData!$A:$O,13,0)),"",ROUND(VLOOKUP($B94,SportslineData!$A:$O,13,0),0))</f>
        <v/>
      </c>
      <c r="V94" s="64" t="str">
        <f>IF(ISERROR(VLOOKUP($B94,SportslineData!$A:$O,14,0)),"",ROUND(VLOOKUP($B94,SportslineData!$A:$O,14,0),0))</f>
        <v/>
      </c>
      <c r="W94" s="117"/>
      <c r="X94" s="33"/>
      <c r="Y94" s="38">
        <f>IF((E94=""),0,ROUND((((((ROUNDDOWN((E94/5),0)*Settings!$F$3)+(F94*Settings!$I$3))+(G94*Settings!$F$4))+(ROUNDDOWN((H94/5),0)*Settings!$F$7))+(I94*Settings!$I$7)),1))</f>
        <v>0</v>
      </c>
      <c r="Z94" s="38">
        <f>IF((K94=""),0,ROUND((((((ROUNDDOWN((K94/5),0)*Settings!$F$3)+(L94*Settings!$I$3))+(M94*Settings!$F$4))+(ROUNDDOWN((N94/5),0)*Settings!$F$7))+(O94*Settings!$I$7)),1))</f>
        <v>0</v>
      </c>
      <c r="AA94" s="38">
        <f>IF((Q94=""),0,ROUND(((((((ROUNDDOWN((Q94/5),0)*Settings!$F$3)+(R94*Settings!$I$3))+(S94*Settings!$F$4))+(ROUNDDOWN((T94/5),0)*Settings!$F$7))+(U94*Settings!$I$7))+(V94*Settings!$F$15)),1))</f>
        <v>0</v>
      </c>
      <c r="AB94" s="66">
        <f>ROUND((((Y94*Settings!$B$21)+(Z94*Settings!$B$22))+(AA94*Settings!$B$23)),1)</f>
        <v>0</v>
      </c>
      <c r="AC94" s="66">
        <f>IF(ISERROR(VLOOKUP(RANK(AB94,$AB$4:$AB$102),AC$4:AC93,1,0)),RANK(AB94,$AB$4:$AB$102),IF(ISERROR(VLOOKUP((RANK(AB94,$AB$4:$AB$102)+1),AC$4:AC93,1,0)),(RANK(AB94,$AB$4:$AB$102)+1),IF(ISERROR(VLOOKUP((RANK(AB94,$AB$4:$AB$102)+2),AC$4:AC93,1,0)),(RANK(AB94,$AB$4:$AB$102)+2),(RANK(AB94,$AB$4:$AB$102)+3))))</f>
        <v>69</v>
      </c>
      <c r="AD94" t="str">
        <f t="shared" si="8"/>
        <v/>
      </c>
    </row>
    <row r="95" spans="1:30" ht="12.75" customHeight="1">
      <c r="A95" s="33">
        <f>ESPNData!B96</f>
        <v>0</v>
      </c>
      <c r="B95" s="33" t="str">
        <f t="shared" si="6"/>
        <v/>
      </c>
      <c r="C95" s="64" t="e">
        <f t="shared" si="7"/>
        <v>#VALUE!</v>
      </c>
      <c r="D95" s="117" t="str">
        <f>IF(ISERROR(VLOOKUP($B95,FFTodayData!$B:$M,4,0)),"",VLOOKUP($B95,FFTodayData!$B:$M,4,0))</f>
        <v/>
      </c>
      <c r="E95" s="33" t="str">
        <f>IF(ISERROR(VLOOKUP($B95,FFTodayData!$B:$M,6,0)),"",VLOOKUP($B95,FFTodayData!$B:$M,6,0))</f>
        <v/>
      </c>
      <c r="F95" s="33" t="str">
        <f>IF(ISERROR(VLOOKUP($B95,FFTodayData!$B:$M,7,0)),"",VLOOKUP($B95,FFTodayData!$B:$M,7,0))</f>
        <v/>
      </c>
      <c r="G95" s="33" t="str">
        <f>IF(ISERROR(VLOOKUP($B95,FFTodayData!$B:$M,8,0)),"",VLOOKUP($B95,FFTodayData!$B:$M,8,0))</f>
        <v/>
      </c>
      <c r="H95" s="33" t="str">
        <f>IF(ISERROR(VLOOKUP($B95,FFTodayData!$B:$M,10,0)),"",VLOOKUP($B95,FFTodayData!$B:$M,10,0))</f>
        <v/>
      </c>
      <c r="I95" s="64" t="str">
        <f>IF(ISERROR(VLOOKUP($B95,FFTodayData!$B:$M,11,0)),"",VLOOKUP($B95,FFTodayData!$B:$M,11,0))</f>
        <v/>
      </c>
      <c r="J95" s="117" t="e">
        <f>VALUE(IF(ISERROR(VLOOKUP($A95,ESPNData!$B:$O,4,0)),"",IF((VLOOKUP($A95,ESPNData!$B:$O,4,0)="--/--"),0,LEFT(VLOOKUP($A95,ESPNData!$B:$O,4,0),(FIND("/",VLOOKUP($A95,ESPNData!$B:$O,4,0))-1)))))</f>
        <v>#VALUE!</v>
      </c>
      <c r="K95" s="33" t="str">
        <f>IF(ISERROR(VLOOKUP($A95,ESPNData!$B:$O,5,0)),"",IF((VLOOKUP($A95,ESPNData!$B:$O,5,0)="--"),0,VLOOKUP($A95,ESPNData!$B:$O,5,0)))</f>
        <v/>
      </c>
      <c r="L95" s="33" t="str">
        <f>IF(ISERROR(VLOOKUP($A95,ESPNData!$B:$O,6,0)),"",IF((VLOOKUP($A95,ESPNData!$B:$O,6,0)="--"),0,VLOOKUP($A95,ESPNData!$B:$O,6,0)))</f>
        <v/>
      </c>
      <c r="M95" s="33" t="str">
        <f>IF(ISERROR(VLOOKUP($A95,ESPNData!$B:$O,7,0)),"",IF((VLOOKUP($A95,ESPNData!$B:$O,7,0)="--"),0,VLOOKUP($A95,ESPNData!$B:$O,7,0)))</f>
        <v/>
      </c>
      <c r="N95" s="33" t="str">
        <f>IF(ISERROR(VLOOKUP($A95,ESPNData!$B:$O,9,0)),"",IF((VLOOKUP($A95,ESPNData!$B:$O,9,0)="--"),0,VLOOKUP($A95,ESPNData!$B:$O,9,0)))</f>
        <v/>
      </c>
      <c r="O95" s="194" t="str">
        <f>IF(ISERROR(VLOOKUP($A95,ESPNData!$B:$O,10,0)),"",IF((VLOOKUP($A95,ESPNData!$B:$O,10,0)="--"),0,VLOOKUP($A95,ESPNData!$B:$O,10,0)))</f>
        <v/>
      </c>
      <c r="P95" s="93" t="str">
        <f>IF(ISERROR(VLOOKUP($B95,SportslineData!$A:$O,4,0)),"",ROUND(VLOOKUP($B95,SportslineData!$A:$O,4,0),0))</f>
        <v/>
      </c>
      <c r="Q95" s="33" t="str">
        <f>IF(ISERROR(VLOOKUP($B95,SportslineData!$A:$O,5,0)),"",VLOOKUP($B95,SportslineData!$A:$O,5,0))</f>
        <v/>
      </c>
      <c r="R95" s="33" t="str">
        <f>IF(ISERROR(VLOOKUP($B95,SportslineData!$A:$O,6,0)),"",ROUND(VLOOKUP($B95,SportslineData!$A:$O,6,0),0))</f>
        <v/>
      </c>
      <c r="S95" s="33" t="str">
        <f>IF(ISERROR(VLOOKUP($B95,SportslineData!$A:$O,7,0)),"",ROUND(VLOOKUP($B95,SportslineData!$A:$O,7,0),0))</f>
        <v/>
      </c>
      <c r="T95" s="33" t="str">
        <f>IF(ISERROR(VLOOKUP($B95,SportslineData!$A:$O,11,0)),"",VLOOKUP($B95,SportslineData!$A:$O,11,0))</f>
        <v/>
      </c>
      <c r="U95" s="33" t="str">
        <f>IF(ISERROR(VLOOKUP($B95,SportslineData!$A:$O,13,0)),"",ROUND(VLOOKUP($B95,SportslineData!$A:$O,13,0),0))</f>
        <v/>
      </c>
      <c r="V95" s="64" t="str">
        <f>IF(ISERROR(VLOOKUP($B95,SportslineData!$A:$O,14,0)),"",ROUND(VLOOKUP($B95,SportslineData!$A:$O,14,0),0))</f>
        <v/>
      </c>
      <c r="W95" s="117"/>
      <c r="X95" s="33"/>
      <c r="Y95" s="38">
        <f>IF((E95=""),0,ROUND((((((ROUNDDOWN((E95/5),0)*Settings!$F$3)+(F95*Settings!$I$3))+(G95*Settings!$F$4))+(ROUNDDOWN((H95/5),0)*Settings!$F$7))+(I95*Settings!$I$7)),1))</f>
        <v>0</v>
      </c>
      <c r="Z95" s="38">
        <f>IF((K95=""),0,ROUND((((((ROUNDDOWN((K95/5),0)*Settings!$F$3)+(L95*Settings!$I$3))+(M95*Settings!$F$4))+(ROUNDDOWN((N95/5),0)*Settings!$F$7))+(O95*Settings!$I$7)),1))</f>
        <v>0</v>
      </c>
      <c r="AA95" s="38">
        <f>IF((Q95=""),0,ROUND(((((((ROUNDDOWN((Q95/5),0)*Settings!$F$3)+(R95*Settings!$I$3))+(S95*Settings!$F$4))+(ROUNDDOWN((T95/5),0)*Settings!$F$7))+(U95*Settings!$I$7))+(V95*Settings!$F$15)),1))</f>
        <v>0</v>
      </c>
      <c r="AB95" s="66">
        <f>ROUND((((Y95*Settings!$B$21)+(Z95*Settings!$B$22))+(AA95*Settings!$B$23)),1)</f>
        <v>0</v>
      </c>
      <c r="AC95" s="66">
        <f>IF(ISERROR(VLOOKUP(RANK(AB95,$AB$4:$AB$102),AC$4:AC94,1,0)),RANK(AB95,$AB$4:$AB$102),IF(ISERROR(VLOOKUP((RANK(AB95,$AB$4:$AB$102)+1),AC$4:AC94,1,0)),(RANK(AB95,$AB$4:$AB$102)+1),IF(ISERROR(VLOOKUP((RANK(AB95,$AB$4:$AB$102)+2),AC$4:AC94,1,0)),(RANK(AB95,$AB$4:$AB$102)+2),(RANK(AB95,$AB$4:$AB$102)+3))))</f>
        <v>69</v>
      </c>
      <c r="AD95" t="str">
        <f t="shared" si="8"/>
        <v/>
      </c>
    </row>
    <row r="96" spans="1:30" ht="12.75" customHeight="1">
      <c r="A96" s="33">
        <f>ESPNData!B97</f>
        <v>0</v>
      </c>
      <c r="B96" s="33" t="str">
        <f t="shared" si="6"/>
        <v/>
      </c>
      <c r="C96" s="64" t="e">
        <f t="shared" si="7"/>
        <v>#VALUE!</v>
      </c>
      <c r="D96" s="117" t="str">
        <f>IF(ISERROR(VLOOKUP($B96,FFTodayData!$B:$M,4,0)),"",VLOOKUP($B96,FFTodayData!$B:$M,4,0))</f>
        <v/>
      </c>
      <c r="E96" s="33" t="str">
        <f>IF(ISERROR(VLOOKUP($B96,FFTodayData!$B:$M,6,0)),"",VLOOKUP($B96,FFTodayData!$B:$M,6,0))</f>
        <v/>
      </c>
      <c r="F96" s="33" t="str">
        <f>IF(ISERROR(VLOOKUP($B96,FFTodayData!$B:$M,7,0)),"",VLOOKUP($B96,FFTodayData!$B:$M,7,0))</f>
        <v/>
      </c>
      <c r="G96" s="33" t="str">
        <f>IF(ISERROR(VLOOKUP($B96,FFTodayData!$B:$M,8,0)),"",VLOOKUP($B96,FFTodayData!$B:$M,8,0))</f>
        <v/>
      </c>
      <c r="H96" s="33" t="str">
        <f>IF(ISERROR(VLOOKUP($B96,FFTodayData!$B:$M,10,0)),"",VLOOKUP($B96,FFTodayData!$B:$M,10,0))</f>
        <v/>
      </c>
      <c r="I96" s="64" t="str">
        <f>IF(ISERROR(VLOOKUP($B96,FFTodayData!$B:$M,11,0)),"",VLOOKUP($B96,FFTodayData!$B:$M,11,0))</f>
        <v/>
      </c>
      <c r="J96" s="117" t="e">
        <f>VALUE(IF(ISERROR(VLOOKUP($A96,ESPNData!$B:$O,4,0)),"",IF((VLOOKUP($A96,ESPNData!$B:$O,4,0)="--/--"),0,LEFT(VLOOKUP($A96,ESPNData!$B:$O,4,0),(FIND("/",VLOOKUP($A96,ESPNData!$B:$O,4,0))-1)))))</f>
        <v>#VALUE!</v>
      </c>
      <c r="K96" s="33" t="str">
        <f>IF(ISERROR(VLOOKUP($A96,ESPNData!$B:$O,5,0)),"",IF((VLOOKUP($A96,ESPNData!$B:$O,5,0)="--"),0,VLOOKUP($A96,ESPNData!$B:$O,5,0)))</f>
        <v/>
      </c>
      <c r="L96" s="33" t="str">
        <f>IF(ISERROR(VLOOKUP($A96,ESPNData!$B:$O,6,0)),"",IF((VLOOKUP($A96,ESPNData!$B:$O,6,0)="--"),0,VLOOKUP($A96,ESPNData!$B:$O,6,0)))</f>
        <v/>
      </c>
      <c r="M96" s="33" t="str">
        <f>IF(ISERROR(VLOOKUP($A96,ESPNData!$B:$O,7,0)),"",IF((VLOOKUP($A96,ESPNData!$B:$O,7,0)="--"),0,VLOOKUP($A96,ESPNData!$B:$O,7,0)))</f>
        <v/>
      </c>
      <c r="N96" s="33" t="str">
        <f>IF(ISERROR(VLOOKUP($A96,ESPNData!$B:$O,9,0)),"",IF((VLOOKUP($A96,ESPNData!$B:$O,9,0)="--"),0,VLOOKUP($A96,ESPNData!$B:$O,9,0)))</f>
        <v/>
      </c>
      <c r="O96" s="194" t="str">
        <f>IF(ISERROR(VLOOKUP($A96,ESPNData!$B:$O,10,0)),"",IF((VLOOKUP($A96,ESPNData!$B:$O,10,0)="--"),0,VLOOKUP($A96,ESPNData!$B:$O,10,0)))</f>
        <v/>
      </c>
      <c r="P96" s="93" t="str">
        <f>IF(ISERROR(VLOOKUP($B96,SportslineData!$A:$O,4,0)),"",ROUND(VLOOKUP($B96,SportslineData!$A:$O,4,0),0))</f>
        <v/>
      </c>
      <c r="Q96" s="33" t="str">
        <f>IF(ISERROR(VLOOKUP($B96,SportslineData!$A:$O,5,0)),"",VLOOKUP($B96,SportslineData!$A:$O,5,0))</f>
        <v/>
      </c>
      <c r="R96" s="33" t="str">
        <f>IF(ISERROR(VLOOKUP($B96,SportslineData!$A:$O,6,0)),"",ROUND(VLOOKUP($B96,SportslineData!$A:$O,6,0),0))</f>
        <v/>
      </c>
      <c r="S96" s="33" t="str">
        <f>IF(ISERROR(VLOOKUP($B96,SportslineData!$A:$O,7,0)),"",ROUND(VLOOKUP($B96,SportslineData!$A:$O,7,0),0))</f>
        <v/>
      </c>
      <c r="T96" s="33" t="str">
        <f>IF(ISERROR(VLOOKUP($B96,SportslineData!$A:$O,11,0)),"",VLOOKUP($B96,SportslineData!$A:$O,11,0))</f>
        <v/>
      </c>
      <c r="U96" s="33" t="str">
        <f>IF(ISERROR(VLOOKUP($B96,SportslineData!$A:$O,13,0)),"",ROUND(VLOOKUP($B96,SportslineData!$A:$O,13,0),0))</f>
        <v/>
      </c>
      <c r="V96" s="64" t="str">
        <f>IF(ISERROR(VLOOKUP($B96,SportslineData!$A:$O,14,0)),"",ROUND(VLOOKUP($B96,SportslineData!$A:$O,14,0),0))</f>
        <v/>
      </c>
      <c r="W96" s="117"/>
      <c r="X96" s="33"/>
      <c r="Y96" s="38">
        <f>IF((E96=""),0,ROUND((((((ROUNDDOWN((E96/5),0)*Settings!$F$3)+(F96*Settings!$I$3))+(G96*Settings!$F$4))+(ROUNDDOWN((H96/5),0)*Settings!$F$7))+(I96*Settings!$I$7)),1))</f>
        <v>0</v>
      </c>
      <c r="Z96" s="38">
        <f>IF((K96=""),0,ROUND((((((ROUNDDOWN((K96/5),0)*Settings!$F$3)+(L96*Settings!$I$3))+(M96*Settings!$F$4))+(ROUNDDOWN((N96/5),0)*Settings!$F$7))+(O96*Settings!$I$7)),1))</f>
        <v>0</v>
      </c>
      <c r="AA96" s="38">
        <f>IF((Q96=""),0,ROUND(((((((ROUNDDOWN((Q96/5),0)*Settings!$F$3)+(R96*Settings!$I$3))+(S96*Settings!$F$4))+(ROUNDDOWN((T96/5),0)*Settings!$F$7))+(U96*Settings!$I$7))+(V96*Settings!$F$15)),1))</f>
        <v>0</v>
      </c>
      <c r="AB96" s="66">
        <f>ROUND((((Y96*Settings!$B$21)+(Z96*Settings!$B$22))+(AA96*Settings!$B$23)),1)</f>
        <v>0</v>
      </c>
      <c r="AC96" s="66">
        <f>IF(ISERROR(VLOOKUP(RANK(AB96,$AB$4:$AB$102),AC$4:AC95,1,0)),RANK(AB96,$AB$4:$AB$102),IF(ISERROR(VLOOKUP((RANK(AB96,$AB$4:$AB$102)+1),AC$4:AC95,1,0)),(RANK(AB96,$AB$4:$AB$102)+1),IF(ISERROR(VLOOKUP((RANK(AB96,$AB$4:$AB$102)+2),AC$4:AC95,1,0)),(RANK(AB96,$AB$4:$AB$102)+2),(RANK(AB96,$AB$4:$AB$102)+3))))</f>
        <v>69</v>
      </c>
      <c r="AD96" t="str">
        <f t="shared" si="8"/>
        <v/>
      </c>
    </row>
    <row r="97" spans="1:30" ht="12.75" customHeight="1">
      <c r="A97" s="33">
        <f>ESPNData!B98</f>
        <v>0</v>
      </c>
      <c r="B97" s="33" t="str">
        <f t="shared" si="6"/>
        <v/>
      </c>
      <c r="C97" s="64" t="e">
        <f t="shared" si="7"/>
        <v>#VALUE!</v>
      </c>
      <c r="D97" s="117" t="str">
        <f>IF(ISERROR(VLOOKUP($B97,FFTodayData!$B:$M,4,0)),"",VLOOKUP($B97,FFTodayData!$B:$M,4,0))</f>
        <v/>
      </c>
      <c r="E97" s="33" t="str">
        <f>IF(ISERROR(VLOOKUP($B97,FFTodayData!$B:$M,6,0)),"",VLOOKUP($B97,FFTodayData!$B:$M,6,0))</f>
        <v/>
      </c>
      <c r="F97" s="33" t="str">
        <f>IF(ISERROR(VLOOKUP($B97,FFTodayData!$B:$M,7,0)),"",VLOOKUP($B97,FFTodayData!$B:$M,7,0))</f>
        <v/>
      </c>
      <c r="G97" s="33" t="str">
        <f>IF(ISERROR(VLOOKUP($B97,FFTodayData!$B:$M,8,0)),"",VLOOKUP($B97,FFTodayData!$B:$M,8,0))</f>
        <v/>
      </c>
      <c r="H97" s="33" t="str">
        <f>IF(ISERROR(VLOOKUP($B97,FFTodayData!$B:$M,10,0)),"",VLOOKUP($B97,FFTodayData!$B:$M,10,0))</f>
        <v/>
      </c>
      <c r="I97" s="64" t="str">
        <f>IF(ISERROR(VLOOKUP($B97,FFTodayData!$B:$M,11,0)),"",VLOOKUP($B97,FFTodayData!$B:$M,11,0))</f>
        <v/>
      </c>
      <c r="J97" s="117" t="e">
        <f>VALUE(IF(ISERROR(VLOOKUP($A97,ESPNData!$B:$O,4,0)),"",IF((VLOOKUP($A97,ESPNData!$B:$O,4,0)="--/--"),0,LEFT(VLOOKUP($A97,ESPNData!$B:$O,4,0),(FIND("/",VLOOKUP($A97,ESPNData!$B:$O,4,0))-1)))))</f>
        <v>#VALUE!</v>
      </c>
      <c r="K97" s="33" t="str">
        <f>IF(ISERROR(VLOOKUP($A97,ESPNData!$B:$O,5,0)),"",IF((VLOOKUP($A97,ESPNData!$B:$O,5,0)="--"),0,VLOOKUP($A97,ESPNData!$B:$O,5,0)))</f>
        <v/>
      </c>
      <c r="L97" s="33" t="str">
        <f>IF(ISERROR(VLOOKUP($A97,ESPNData!$B:$O,6,0)),"",IF((VLOOKUP($A97,ESPNData!$B:$O,6,0)="--"),0,VLOOKUP($A97,ESPNData!$B:$O,6,0)))</f>
        <v/>
      </c>
      <c r="M97" s="33" t="str">
        <f>IF(ISERROR(VLOOKUP($A97,ESPNData!$B:$O,7,0)),"",IF((VLOOKUP($A97,ESPNData!$B:$O,7,0)="--"),0,VLOOKUP($A97,ESPNData!$B:$O,7,0)))</f>
        <v/>
      </c>
      <c r="N97" s="33" t="str">
        <f>IF(ISERROR(VLOOKUP($A97,ESPNData!$B:$O,9,0)),"",IF((VLOOKUP($A97,ESPNData!$B:$O,9,0)="--"),0,VLOOKUP($A97,ESPNData!$B:$O,9,0)))</f>
        <v/>
      </c>
      <c r="O97" s="194" t="str">
        <f>IF(ISERROR(VLOOKUP($A97,ESPNData!$B:$O,10,0)),"",IF((VLOOKUP($A97,ESPNData!$B:$O,10,0)="--"),0,VLOOKUP($A97,ESPNData!$B:$O,10,0)))</f>
        <v/>
      </c>
      <c r="P97" s="93" t="str">
        <f>IF(ISERROR(VLOOKUP($B97,SportslineData!$A:$O,4,0)),"",ROUND(VLOOKUP($B97,SportslineData!$A:$O,4,0),0))</f>
        <v/>
      </c>
      <c r="Q97" s="33" t="str">
        <f>IF(ISERROR(VLOOKUP($B97,SportslineData!$A:$O,5,0)),"",VLOOKUP($B97,SportslineData!$A:$O,5,0))</f>
        <v/>
      </c>
      <c r="R97" s="33" t="str">
        <f>IF(ISERROR(VLOOKUP($B97,SportslineData!$A:$O,6,0)),"",ROUND(VLOOKUP($B97,SportslineData!$A:$O,6,0),0))</f>
        <v/>
      </c>
      <c r="S97" s="33" t="str">
        <f>IF(ISERROR(VLOOKUP($B97,SportslineData!$A:$O,7,0)),"",ROUND(VLOOKUP($B97,SportslineData!$A:$O,7,0),0))</f>
        <v/>
      </c>
      <c r="T97" s="33" t="str">
        <f>IF(ISERROR(VLOOKUP($B97,SportslineData!$A:$O,11,0)),"",VLOOKUP($B97,SportslineData!$A:$O,11,0))</f>
        <v/>
      </c>
      <c r="U97" s="33" t="str">
        <f>IF(ISERROR(VLOOKUP($B97,SportslineData!$A:$O,13,0)),"",ROUND(VLOOKUP($B97,SportslineData!$A:$O,13,0),0))</f>
        <v/>
      </c>
      <c r="V97" s="64" t="str">
        <f>IF(ISERROR(VLOOKUP($B97,SportslineData!$A:$O,14,0)),"",ROUND(VLOOKUP($B97,SportslineData!$A:$O,14,0),0))</f>
        <v/>
      </c>
      <c r="W97" s="117"/>
      <c r="X97" s="33"/>
      <c r="Y97" s="38">
        <f>IF((E97=""),0,ROUND((((((ROUNDDOWN((E97/5),0)*Settings!$F$3)+(F97*Settings!$I$3))+(G97*Settings!$F$4))+(ROUNDDOWN((H97/5),0)*Settings!$F$7))+(I97*Settings!$I$7)),1))</f>
        <v>0</v>
      </c>
      <c r="Z97" s="38">
        <f>IF((K97=""),0,ROUND((((((ROUNDDOWN((K97/5),0)*Settings!$F$3)+(L97*Settings!$I$3))+(M97*Settings!$F$4))+(ROUNDDOWN((N97/5),0)*Settings!$F$7))+(O97*Settings!$I$7)),1))</f>
        <v>0</v>
      </c>
      <c r="AA97" s="38">
        <f>IF((Q97=""),0,ROUND(((((((ROUNDDOWN((Q97/5),0)*Settings!$F$3)+(R97*Settings!$I$3))+(S97*Settings!$F$4))+(ROUNDDOWN((T97/5),0)*Settings!$F$7))+(U97*Settings!$I$7))+(V97*Settings!$F$15)),1))</f>
        <v>0</v>
      </c>
      <c r="AB97" s="66">
        <f>ROUND((((Y97*Settings!$B$21)+(Z97*Settings!$B$22))+(AA97*Settings!$B$23)),1)</f>
        <v>0</v>
      </c>
      <c r="AC97" s="66">
        <f>IF(ISERROR(VLOOKUP(RANK(AB97,$AB$4:$AB$102),AC$4:AC96,1,0)),RANK(AB97,$AB$4:$AB$102),IF(ISERROR(VLOOKUP((RANK(AB97,$AB$4:$AB$102)+1),AC$4:AC96,1,0)),(RANK(AB97,$AB$4:$AB$102)+1),IF(ISERROR(VLOOKUP((RANK(AB97,$AB$4:$AB$102)+2),AC$4:AC96,1,0)),(RANK(AB97,$AB$4:$AB$102)+2),(RANK(AB97,$AB$4:$AB$102)+3))))</f>
        <v>69</v>
      </c>
      <c r="AD97" t="str">
        <f t="shared" si="8"/>
        <v/>
      </c>
    </row>
    <row r="98" spans="1:30" ht="12.75" customHeight="1">
      <c r="A98" s="33">
        <f>ESPNData!B99</f>
        <v>0</v>
      </c>
      <c r="B98" s="33" t="str">
        <f t="shared" si="6"/>
        <v/>
      </c>
      <c r="C98" s="64" t="e">
        <f t="shared" si="7"/>
        <v>#VALUE!</v>
      </c>
      <c r="D98" s="117" t="str">
        <f>IF(ISERROR(VLOOKUP($B98,FFTodayData!$B:$M,4,0)),"",VLOOKUP($B98,FFTodayData!$B:$M,4,0))</f>
        <v/>
      </c>
      <c r="E98" s="33" t="str">
        <f>IF(ISERROR(VLOOKUP($B98,FFTodayData!$B:$M,6,0)),"",VLOOKUP($B98,FFTodayData!$B:$M,6,0))</f>
        <v/>
      </c>
      <c r="F98" s="33" t="str">
        <f>IF(ISERROR(VLOOKUP($B98,FFTodayData!$B:$M,7,0)),"",VLOOKUP($B98,FFTodayData!$B:$M,7,0))</f>
        <v/>
      </c>
      <c r="G98" s="33" t="str">
        <f>IF(ISERROR(VLOOKUP($B98,FFTodayData!$B:$M,8,0)),"",VLOOKUP($B98,FFTodayData!$B:$M,8,0))</f>
        <v/>
      </c>
      <c r="H98" s="33" t="str">
        <f>IF(ISERROR(VLOOKUP($B98,FFTodayData!$B:$M,10,0)),"",VLOOKUP($B98,FFTodayData!$B:$M,10,0))</f>
        <v/>
      </c>
      <c r="I98" s="64" t="str">
        <f>IF(ISERROR(VLOOKUP($B98,FFTodayData!$B:$M,11,0)),"",VLOOKUP($B98,FFTodayData!$B:$M,11,0))</f>
        <v/>
      </c>
      <c r="J98" s="117" t="e">
        <f>VALUE(IF(ISERROR(VLOOKUP($A98,ESPNData!$B:$O,4,0)),"",IF((VLOOKUP($A98,ESPNData!$B:$O,4,0)="--/--"),0,LEFT(VLOOKUP($A98,ESPNData!$B:$O,4,0),(FIND("/",VLOOKUP($A98,ESPNData!$B:$O,4,0))-1)))))</f>
        <v>#VALUE!</v>
      </c>
      <c r="K98" s="33" t="str">
        <f>IF(ISERROR(VLOOKUP($A98,ESPNData!$B:$O,5,0)),"",IF((VLOOKUP($A98,ESPNData!$B:$O,5,0)="--"),0,VLOOKUP($A98,ESPNData!$B:$O,5,0)))</f>
        <v/>
      </c>
      <c r="L98" s="33" t="str">
        <f>IF(ISERROR(VLOOKUP($A98,ESPNData!$B:$O,6,0)),"",IF((VLOOKUP($A98,ESPNData!$B:$O,6,0)="--"),0,VLOOKUP($A98,ESPNData!$B:$O,6,0)))</f>
        <v/>
      </c>
      <c r="M98" s="33" t="str">
        <f>IF(ISERROR(VLOOKUP($A98,ESPNData!$B:$O,7,0)),"",IF((VLOOKUP($A98,ESPNData!$B:$O,7,0)="--"),0,VLOOKUP($A98,ESPNData!$B:$O,7,0)))</f>
        <v/>
      </c>
      <c r="N98" s="33" t="str">
        <f>IF(ISERROR(VLOOKUP($A98,ESPNData!$B:$O,9,0)),"",IF((VLOOKUP($A98,ESPNData!$B:$O,9,0)="--"),0,VLOOKUP($A98,ESPNData!$B:$O,9,0)))</f>
        <v/>
      </c>
      <c r="O98" s="194" t="str">
        <f>IF(ISERROR(VLOOKUP($A98,ESPNData!$B:$O,10,0)),"",IF((VLOOKUP($A98,ESPNData!$B:$O,10,0)="--"),0,VLOOKUP($A98,ESPNData!$B:$O,10,0)))</f>
        <v/>
      </c>
      <c r="P98" s="93" t="str">
        <f>IF(ISERROR(VLOOKUP($B98,SportslineData!$A:$O,4,0)),"",ROUND(VLOOKUP($B98,SportslineData!$A:$O,4,0),0))</f>
        <v/>
      </c>
      <c r="Q98" s="33" t="str">
        <f>IF(ISERROR(VLOOKUP($B98,SportslineData!$A:$O,5,0)),"",VLOOKUP($B98,SportslineData!$A:$O,5,0))</f>
        <v/>
      </c>
      <c r="R98" s="33" t="str">
        <f>IF(ISERROR(VLOOKUP($B98,SportslineData!$A:$O,6,0)),"",ROUND(VLOOKUP($B98,SportslineData!$A:$O,6,0),0))</f>
        <v/>
      </c>
      <c r="S98" s="33" t="str">
        <f>IF(ISERROR(VLOOKUP($B98,SportslineData!$A:$O,7,0)),"",ROUND(VLOOKUP($B98,SportslineData!$A:$O,7,0),0))</f>
        <v/>
      </c>
      <c r="T98" s="33" t="str">
        <f>IF(ISERROR(VLOOKUP($B98,SportslineData!$A:$O,11,0)),"",VLOOKUP($B98,SportslineData!$A:$O,11,0))</f>
        <v/>
      </c>
      <c r="U98" s="33" t="str">
        <f>IF(ISERROR(VLOOKUP($B98,SportslineData!$A:$O,13,0)),"",ROUND(VLOOKUP($B98,SportslineData!$A:$O,13,0),0))</f>
        <v/>
      </c>
      <c r="V98" s="64" t="str">
        <f>IF(ISERROR(VLOOKUP($B98,SportslineData!$A:$O,14,0)),"",ROUND(VLOOKUP($B98,SportslineData!$A:$O,14,0),0))</f>
        <v/>
      </c>
      <c r="W98" s="117"/>
      <c r="X98" s="33"/>
      <c r="Y98" s="38">
        <f>IF((E98=""),0,ROUND((((((ROUNDDOWN((E98/5),0)*Settings!$F$3)+(F98*Settings!$I$3))+(G98*Settings!$F$4))+(ROUNDDOWN((H98/5),0)*Settings!$F$7))+(I98*Settings!$I$7)),1))</f>
        <v>0</v>
      </c>
      <c r="Z98" s="38">
        <f>IF((K98=""),0,ROUND((((((ROUNDDOWN((K98/5),0)*Settings!$F$3)+(L98*Settings!$I$3))+(M98*Settings!$F$4))+(ROUNDDOWN((N98/5),0)*Settings!$F$7))+(O98*Settings!$I$7)),1))</f>
        <v>0</v>
      </c>
      <c r="AA98" s="38">
        <f>IF((Q98=""),0,ROUND(((((((ROUNDDOWN((Q98/5),0)*Settings!$F$3)+(R98*Settings!$I$3))+(S98*Settings!$F$4))+(ROUNDDOWN((T98/5),0)*Settings!$F$7))+(U98*Settings!$I$7))+(V98*Settings!$F$15)),1))</f>
        <v>0</v>
      </c>
      <c r="AB98" s="66">
        <f>ROUND((((Y98*Settings!$B$21)+(Z98*Settings!$B$22))+(AA98*Settings!$B$23)),1)</f>
        <v>0</v>
      </c>
      <c r="AC98" s="66">
        <f>IF(ISERROR(VLOOKUP(RANK(AB98,$AB$4:$AB$102),AC$4:AC97,1,0)),RANK(AB98,$AB$4:$AB$102),IF(ISERROR(VLOOKUP((RANK(AB98,$AB$4:$AB$102)+1),AC$4:AC97,1,0)),(RANK(AB98,$AB$4:$AB$102)+1),IF(ISERROR(VLOOKUP((RANK(AB98,$AB$4:$AB$102)+2),AC$4:AC97,1,0)),(RANK(AB98,$AB$4:$AB$102)+2),(RANK(AB98,$AB$4:$AB$102)+3))))</f>
        <v>69</v>
      </c>
      <c r="AD98" t="str">
        <f t="shared" si="8"/>
        <v/>
      </c>
    </row>
    <row r="99" spans="1:30" ht="12.75" customHeight="1">
      <c r="A99" s="33">
        <f>ESPNData!B100</f>
        <v>0</v>
      </c>
      <c r="B99" s="33" t="str">
        <f t="shared" si="6"/>
        <v/>
      </c>
      <c r="C99" s="64" t="e">
        <f t="shared" si="7"/>
        <v>#VALUE!</v>
      </c>
      <c r="D99" s="117" t="str">
        <f>IF(ISERROR(VLOOKUP($B99,FFTodayData!$B:$M,4,0)),"",VLOOKUP($B99,FFTodayData!$B:$M,4,0))</f>
        <v/>
      </c>
      <c r="E99" s="33" t="str">
        <f>IF(ISERROR(VLOOKUP($B99,FFTodayData!$B:$M,6,0)),"",VLOOKUP($B99,FFTodayData!$B:$M,6,0))</f>
        <v/>
      </c>
      <c r="F99" s="33" t="str">
        <f>IF(ISERROR(VLOOKUP($B99,FFTodayData!$B:$M,7,0)),"",VLOOKUP($B99,FFTodayData!$B:$M,7,0))</f>
        <v/>
      </c>
      <c r="G99" s="33" t="str">
        <f>IF(ISERROR(VLOOKUP($B99,FFTodayData!$B:$M,8,0)),"",VLOOKUP($B99,FFTodayData!$B:$M,8,0))</f>
        <v/>
      </c>
      <c r="H99" s="33" t="str">
        <f>IF(ISERROR(VLOOKUP($B99,FFTodayData!$B:$M,10,0)),"",VLOOKUP($B99,FFTodayData!$B:$M,10,0))</f>
        <v/>
      </c>
      <c r="I99" s="64" t="str">
        <f>IF(ISERROR(VLOOKUP($B99,FFTodayData!$B:$M,11,0)),"",VLOOKUP($B99,FFTodayData!$B:$M,11,0))</f>
        <v/>
      </c>
      <c r="J99" s="117" t="e">
        <f>VALUE(IF(ISERROR(VLOOKUP($A99,ESPNData!$B:$O,4,0)),"",IF((VLOOKUP($A99,ESPNData!$B:$O,4,0)="--/--"),0,LEFT(VLOOKUP($A99,ESPNData!$B:$O,4,0),(FIND("/",VLOOKUP($A99,ESPNData!$B:$O,4,0))-1)))))</f>
        <v>#VALUE!</v>
      </c>
      <c r="K99" s="33" t="str">
        <f>IF(ISERROR(VLOOKUP($A99,ESPNData!$B:$O,5,0)),"",IF((VLOOKUP($A99,ESPNData!$B:$O,5,0)="--"),0,VLOOKUP($A99,ESPNData!$B:$O,5,0)))</f>
        <v/>
      </c>
      <c r="L99" s="33" t="str">
        <f>IF(ISERROR(VLOOKUP($A99,ESPNData!$B:$O,6,0)),"",IF((VLOOKUP($A99,ESPNData!$B:$O,6,0)="--"),0,VLOOKUP($A99,ESPNData!$B:$O,6,0)))</f>
        <v/>
      </c>
      <c r="M99" s="33" t="str">
        <f>IF(ISERROR(VLOOKUP($A99,ESPNData!$B:$O,7,0)),"",IF((VLOOKUP($A99,ESPNData!$B:$O,7,0)="--"),0,VLOOKUP($A99,ESPNData!$B:$O,7,0)))</f>
        <v/>
      </c>
      <c r="N99" s="33" t="str">
        <f>IF(ISERROR(VLOOKUP($A99,ESPNData!$B:$O,9,0)),"",IF((VLOOKUP($A99,ESPNData!$B:$O,9,0)="--"),0,VLOOKUP($A99,ESPNData!$B:$O,9,0)))</f>
        <v/>
      </c>
      <c r="O99" s="194" t="str">
        <f>IF(ISERROR(VLOOKUP($A99,ESPNData!$B:$O,10,0)),"",IF((VLOOKUP($A99,ESPNData!$B:$O,10,0)="--"),0,VLOOKUP($A99,ESPNData!$B:$O,10,0)))</f>
        <v/>
      </c>
      <c r="P99" s="93" t="str">
        <f>IF(ISERROR(VLOOKUP($B99,SportslineData!$A:$O,4,0)),"",ROUND(VLOOKUP($B99,SportslineData!$A:$O,4,0),0))</f>
        <v/>
      </c>
      <c r="Q99" s="33" t="str">
        <f>IF(ISERROR(VLOOKUP($B99,SportslineData!$A:$O,5,0)),"",VLOOKUP($B99,SportslineData!$A:$O,5,0))</f>
        <v/>
      </c>
      <c r="R99" s="33" t="str">
        <f>IF(ISERROR(VLOOKUP($B99,SportslineData!$A:$O,6,0)),"",ROUND(VLOOKUP($B99,SportslineData!$A:$O,6,0),0))</f>
        <v/>
      </c>
      <c r="S99" s="33" t="str">
        <f>IF(ISERROR(VLOOKUP($B99,SportslineData!$A:$O,7,0)),"",ROUND(VLOOKUP($B99,SportslineData!$A:$O,7,0),0))</f>
        <v/>
      </c>
      <c r="T99" s="33" t="str">
        <f>IF(ISERROR(VLOOKUP($B99,SportslineData!$A:$O,11,0)),"",VLOOKUP($B99,SportslineData!$A:$O,11,0))</f>
        <v/>
      </c>
      <c r="U99" s="33" t="str">
        <f>IF(ISERROR(VLOOKUP($B99,SportslineData!$A:$O,13,0)),"",ROUND(VLOOKUP($B99,SportslineData!$A:$O,13,0),0))</f>
        <v/>
      </c>
      <c r="V99" s="64" t="str">
        <f>IF(ISERROR(VLOOKUP($B99,SportslineData!$A:$O,14,0)),"",ROUND(VLOOKUP($B99,SportslineData!$A:$O,14,0),0))</f>
        <v/>
      </c>
      <c r="W99" s="117"/>
      <c r="X99" s="33"/>
      <c r="Y99" s="38">
        <f>IF((E99=""),0,ROUND((((((ROUNDDOWN((E99/5),0)*Settings!$F$3)+(F99*Settings!$I$3))+(G99*Settings!$F$4))+(ROUNDDOWN((H99/5),0)*Settings!$F$7))+(I99*Settings!$I$7)),1))</f>
        <v>0</v>
      </c>
      <c r="Z99" s="38">
        <f>IF((K99=""),0,ROUND((((((ROUNDDOWN((K99/5),0)*Settings!$F$3)+(L99*Settings!$I$3))+(M99*Settings!$F$4))+(ROUNDDOWN((N99/5),0)*Settings!$F$7))+(O99*Settings!$I$7)),1))</f>
        <v>0</v>
      </c>
      <c r="AA99" s="38">
        <f>IF((Q99=""),0,ROUND(((((((ROUNDDOWN((Q99/5),0)*Settings!$F$3)+(R99*Settings!$I$3))+(S99*Settings!$F$4))+(ROUNDDOWN((T99/5),0)*Settings!$F$7))+(U99*Settings!$I$7))+(V99*Settings!$F$15)),1))</f>
        <v>0</v>
      </c>
      <c r="AB99" s="66">
        <f>ROUND((((Y99*Settings!$B$21)+(Z99*Settings!$B$22))+(AA99*Settings!$B$23)),1)</f>
        <v>0</v>
      </c>
      <c r="AC99" s="66">
        <f>IF(ISERROR(VLOOKUP(RANK(AB99,$AB$4:$AB$102),AC$4:AC98,1,0)),RANK(AB99,$AB$4:$AB$102),IF(ISERROR(VLOOKUP((RANK(AB99,$AB$4:$AB$102)+1),AC$4:AC98,1,0)),(RANK(AB99,$AB$4:$AB$102)+1),IF(ISERROR(VLOOKUP((RANK(AB99,$AB$4:$AB$102)+2),AC$4:AC98,1,0)),(RANK(AB99,$AB$4:$AB$102)+2),(RANK(AB99,$AB$4:$AB$102)+3))))</f>
        <v>69</v>
      </c>
      <c r="AD99" t="str">
        <f t="shared" si="8"/>
        <v/>
      </c>
    </row>
    <row r="100" spans="1:30" ht="12.75" customHeight="1">
      <c r="A100" s="33">
        <f>ESPNData!B101</f>
        <v>0</v>
      </c>
      <c r="B100" s="33" t="str">
        <f t="shared" ref="B100:B131" si="9">IF(OR((A100=""),(A100=0)),"",IF(ISERROR(FIND("*",A100)),LEFT(A100,(FIND(",",A100)-1)),LEFT(A100,(FIND("*",A100)-1))))</f>
        <v/>
      </c>
      <c r="C100" s="64" t="e">
        <f t="shared" si="7"/>
        <v>#VALUE!</v>
      </c>
      <c r="D100" s="117" t="str">
        <f>IF(ISERROR(VLOOKUP($B100,FFTodayData!$B:$M,4,0)),"",VLOOKUP($B100,FFTodayData!$B:$M,4,0))</f>
        <v/>
      </c>
      <c r="E100" s="33" t="str">
        <f>IF(ISERROR(VLOOKUP($B100,FFTodayData!$B:$M,6,0)),"",VLOOKUP($B100,FFTodayData!$B:$M,6,0))</f>
        <v/>
      </c>
      <c r="F100" s="33" t="str">
        <f>IF(ISERROR(VLOOKUP($B100,FFTodayData!$B:$M,7,0)),"",VLOOKUP($B100,FFTodayData!$B:$M,7,0))</f>
        <v/>
      </c>
      <c r="G100" s="33" t="str">
        <f>IF(ISERROR(VLOOKUP($B100,FFTodayData!$B:$M,8,0)),"",VLOOKUP($B100,FFTodayData!$B:$M,8,0))</f>
        <v/>
      </c>
      <c r="H100" s="33" t="str">
        <f>IF(ISERROR(VLOOKUP($B100,FFTodayData!$B:$M,10,0)),"",VLOOKUP($B100,FFTodayData!$B:$M,10,0))</f>
        <v/>
      </c>
      <c r="I100" s="64" t="str">
        <f>IF(ISERROR(VLOOKUP($B100,FFTodayData!$B:$M,11,0)),"",VLOOKUP($B100,FFTodayData!$B:$M,11,0))</f>
        <v/>
      </c>
      <c r="J100" s="117" t="e">
        <f>VALUE(IF(ISERROR(VLOOKUP($A100,ESPNData!$B:$O,4,0)),"",IF((VLOOKUP($A100,ESPNData!$B:$O,4,0)="--/--"),0,LEFT(VLOOKUP($A100,ESPNData!$B:$O,4,0),(FIND("/",VLOOKUP($A100,ESPNData!$B:$O,4,0))-1)))))</f>
        <v>#VALUE!</v>
      </c>
      <c r="K100" s="33" t="str">
        <f>IF(ISERROR(VLOOKUP($A100,ESPNData!$B:$O,5,0)),"",IF((VLOOKUP($A100,ESPNData!$B:$O,5,0)="--"),0,VLOOKUP($A100,ESPNData!$B:$O,5,0)))</f>
        <v/>
      </c>
      <c r="L100" s="33" t="str">
        <f>IF(ISERROR(VLOOKUP($A100,ESPNData!$B:$O,6,0)),"",IF((VLOOKUP($A100,ESPNData!$B:$O,6,0)="--"),0,VLOOKUP($A100,ESPNData!$B:$O,6,0)))</f>
        <v/>
      </c>
      <c r="M100" s="33" t="str">
        <f>IF(ISERROR(VLOOKUP($A100,ESPNData!$B:$O,7,0)),"",IF((VLOOKUP($A100,ESPNData!$B:$O,7,0)="--"),0,VLOOKUP($A100,ESPNData!$B:$O,7,0)))</f>
        <v/>
      </c>
      <c r="N100" s="33" t="str">
        <f>IF(ISERROR(VLOOKUP($A100,ESPNData!$B:$O,9,0)),"",IF((VLOOKUP($A100,ESPNData!$B:$O,9,0)="--"),0,VLOOKUP($A100,ESPNData!$B:$O,9,0)))</f>
        <v/>
      </c>
      <c r="O100" s="194" t="str">
        <f>IF(ISERROR(VLOOKUP($A100,ESPNData!$B:$O,10,0)),"",IF((VLOOKUP($A100,ESPNData!$B:$O,10,0)="--"),0,VLOOKUP($A100,ESPNData!$B:$O,10,0)))</f>
        <v/>
      </c>
      <c r="P100" s="93" t="str">
        <f>IF(ISERROR(VLOOKUP($B100,SportslineData!$A:$O,4,0)),"",ROUND(VLOOKUP($B100,SportslineData!$A:$O,4,0),0))</f>
        <v/>
      </c>
      <c r="Q100" s="33" t="str">
        <f>IF(ISERROR(VLOOKUP($B100,SportslineData!$A:$O,5,0)),"",VLOOKUP($B100,SportslineData!$A:$O,5,0))</f>
        <v/>
      </c>
      <c r="R100" s="33" t="str">
        <f>IF(ISERROR(VLOOKUP($B100,SportslineData!$A:$O,6,0)),"",ROUND(VLOOKUP($B100,SportslineData!$A:$O,6,0),0))</f>
        <v/>
      </c>
      <c r="S100" s="33" t="str">
        <f>IF(ISERROR(VLOOKUP($B100,SportslineData!$A:$O,7,0)),"",ROUND(VLOOKUP($B100,SportslineData!$A:$O,7,0),0))</f>
        <v/>
      </c>
      <c r="T100" s="33" t="str">
        <f>IF(ISERROR(VLOOKUP($B100,SportslineData!$A:$O,11,0)),"",VLOOKUP($B100,SportslineData!$A:$O,11,0))</f>
        <v/>
      </c>
      <c r="U100" s="33" t="str">
        <f>IF(ISERROR(VLOOKUP($B100,SportslineData!$A:$O,13,0)),"",ROUND(VLOOKUP($B100,SportslineData!$A:$O,13,0),0))</f>
        <v/>
      </c>
      <c r="V100" s="64" t="str">
        <f>IF(ISERROR(VLOOKUP($B100,SportslineData!$A:$O,14,0)),"",ROUND(VLOOKUP($B100,SportslineData!$A:$O,14,0),0))</f>
        <v/>
      </c>
      <c r="W100" s="117"/>
      <c r="X100" s="33"/>
      <c r="Y100" s="38">
        <f>IF((E100=""),0,ROUND((((((ROUNDDOWN((E100/5),0)*Settings!$F$3)+(F100*Settings!$I$3))+(G100*Settings!$F$4))+(ROUNDDOWN((H100/5),0)*Settings!$F$7))+(I100*Settings!$I$7)),1))</f>
        <v>0</v>
      </c>
      <c r="Z100" s="38">
        <f>IF((K100=""),0,ROUND((((((ROUNDDOWN((K100/5),0)*Settings!$F$3)+(L100*Settings!$I$3))+(M100*Settings!$F$4))+(ROUNDDOWN((N100/5),0)*Settings!$F$7))+(O100*Settings!$I$7)),1))</f>
        <v>0</v>
      </c>
      <c r="AA100" s="38">
        <f>IF((Q100=""),0,ROUND(((((((ROUNDDOWN((Q100/5),0)*Settings!$F$3)+(R100*Settings!$I$3))+(S100*Settings!$F$4))+(ROUNDDOWN((T100/5),0)*Settings!$F$7))+(U100*Settings!$I$7))+(V100*Settings!$F$15)),1))</f>
        <v>0</v>
      </c>
      <c r="AB100" s="66">
        <f>ROUND((((Y100*Settings!$B$21)+(Z100*Settings!$B$22))+(AA100*Settings!$B$23)),1)</f>
        <v>0</v>
      </c>
      <c r="AC100" s="66">
        <f>IF(ISERROR(VLOOKUP(RANK(AB100,$AB$4:$AB$102),AC$4:AC99,1,0)),RANK(AB100,$AB$4:$AB$102),IF(ISERROR(VLOOKUP((RANK(AB100,$AB$4:$AB$102)+1),AC$4:AC99,1,0)),(RANK(AB100,$AB$4:$AB$102)+1),IF(ISERROR(VLOOKUP((RANK(AB100,$AB$4:$AB$102)+2),AC$4:AC99,1,0)),(RANK(AB100,$AB$4:$AB$102)+2),(RANK(AB100,$AB$4:$AB$102)+3))))</f>
        <v>69</v>
      </c>
      <c r="AD100" t="str">
        <f t="shared" si="8"/>
        <v/>
      </c>
    </row>
    <row r="101" spans="1:30" ht="12.75" customHeight="1">
      <c r="A101" s="33">
        <f>ESPNData!B102</f>
        <v>0</v>
      </c>
      <c r="B101" s="33" t="str">
        <f t="shared" si="9"/>
        <v/>
      </c>
      <c r="C101" s="64" t="e">
        <f t="shared" si="7"/>
        <v>#VALUE!</v>
      </c>
      <c r="D101" s="117" t="str">
        <f>IF(ISERROR(VLOOKUP($B101,FFTodayData!$B:$M,4,0)),"",VLOOKUP($B101,FFTodayData!$B:$M,4,0))</f>
        <v/>
      </c>
      <c r="E101" s="33" t="str">
        <f>IF(ISERROR(VLOOKUP($B101,FFTodayData!$B:$M,6,0)),"",VLOOKUP($B101,FFTodayData!$B:$M,6,0))</f>
        <v/>
      </c>
      <c r="F101" s="33" t="str">
        <f>IF(ISERROR(VLOOKUP($B101,FFTodayData!$B:$M,7,0)),"",VLOOKUP($B101,FFTodayData!$B:$M,7,0))</f>
        <v/>
      </c>
      <c r="G101" s="33" t="str">
        <f>IF(ISERROR(VLOOKUP($B101,FFTodayData!$B:$M,8,0)),"",VLOOKUP($B101,FFTodayData!$B:$M,8,0))</f>
        <v/>
      </c>
      <c r="H101" s="33" t="str">
        <f>IF(ISERROR(VLOOKUP($B101,FFTodayData!$B:$M,10,0)),"",VLOOKUP($B101,FFTodayData!$B:$M,10,0))</f>
        <v/>
      </c>
      <c r="I101" s="64" t="str">
        <f>IF(ISERROR(VLOOKUP($B101,FFTodayData!$B:$M,11,0)),"",VLOOKUP($B101,FFTodayData!$B:$M,11,0))</f>
        <v/>
      </c>
      <c r="J101" s="117" t="e">
        <f>VALUE(IF(ISERROR(VLOOKUP($A101,ESPNData!$B:$O,4,0)),"",IF((VLOOKUP($A101,ESPNData!$B:$O,4,0)="--/--"),0,LEFT(VLOOKUP($A101,ESPNData!$B:$O,4,0),(FIND("/",VLOOKUP($A101,ESPNData!$B:$O,4,0))-1)))))</f>
        <v>#VALUE!</v>
      </c>
      <c r="K101" s="33" t="str">
        <f>IF(ISERROR(VLOOKUP($A101,ESPNData!$B:$O,5,0)),"",IF((VLOOKUP($A101,ESPNData!$B:$O,5,0)="--"),0,VLOOKUP($A101,ESPNData!$B:$O,5,0)))</f>
        <v/>
      </c>
      <c r="L101" s="33" t="str">
        <f>IF(ISERROR(VLOOKUP($A101,ESPNData!$B:$O,6,0)),"",IF((VLOOKUP($A101,ESPNData!$B:$O,6,0)="--"),0,VLOOKUP($A101,ESPNData!$B:$O,6,0)))</f>
        <v/>
      </c>
      <c r="M101" s="33" t="str">
        <f>IF(ISERROR(VLOOKUP($A101,ESPNData!$B:$O,7,0)),"",IF((VLOOKUP($A101,ESPNData!$B:$O,7,0)="--"),0,VLOOKUP($A101,ESPNData!$B:$O,7,0)))</f>
        <v/>
      </c>
      <c r="N101" s="33" t="str">
        <f>IF(ISERROR(VLOOKUP($A101,ESPNData!$B:$O,9,0)),"",IF((VLOOKUP($A101,ESPNData!$B:$O,9,0)="--"),0,VLOOKUP($A101,ESPNData!$B:$O,9,0)))</f>
        <v/>
      </c>
      <c r="O101" s="194" t="str">
        <f>IF(ISERROR(VLOOKUP($A101,ESPNData!$B:$O,10,0)),"",IF((VLOOKUP($A101,ESPNData!$B:$O,10,0)="--"),0,VLOOKUP($A101,ESPNData!$B:$O,10,0)))</f>
        <v/>
      </c>
      <c r="P101" s="93" t="str">
        <f>IF(ISERROR(VLOOKUP($B101,SportslineData!$A:$O,4,0)),"",ROUND(VLOOKUP($B101,SportslineData!$A:$O,4,0),0))</f>
        <v/>
      </c>
      <c r="Q101" s="33" t="str">
        <f>IF(ISERROR(VLOOKUP($B101,SportslineData!$A:$O,5,0)),"",VLOOKUP($B101,SportslineData!$A:$O,5,0))</f>
        <v/>
      </c>
      <c r="R101" s="33" t="str">
        <f>IF(ISERROR(VLOOKUP($B101,SportslineData!$A:$O,6,0)),"",ROUND(VLOOKUP($B101,SportslineData!$A:$O,6,0),0))</f>
        <v/>
      </c>
      <c r="S101" s="33" t="str">
        <f>IF(ISERROR(VLOOKUP($B101,SportslineData!$A:$O,7,0)),"",ROUND(VLOOKUP($B101,SportslineData!$A:$O,7,0),0))</f>
        <v/>
      </c>
      <c r="T101" s="33" t="str">
        <f>IF(ISERROR(VLOOKUP($B101,SportslineData!$A:$O,11,0)),"",VLOOKUP($B101,SportslineData!$A:$O,11,0))</f>
        <v/>
      </c>
      <c r="U101" s="33" t="str">
        <f>IF(ISERROR(VLOOKUP($B101,SportslineData!$A:$O,13,0)),"",ROUND(VLOOKUP($B101,SportslineData!$A:$O,13,0),0))</f>
        <v/>
      </c>
      <c r="V101" s="64" t="str">
        <f>IF(ISERROR(VLOOKUP($B101,SportslineData!$A:$O,14,0)),"",ROUND(VLOOKUP($B101,SportslineData!$A:$O,14,0),0))</f>
        <v/>
      </c>
      <c r="W101" s="117"/>
      <c r="X101" s="33"/>
      <c r="Y101" s="38">
        <f>IF((E101=""),0,ROUND((((((ROUNDDOWN((E101/5),0)*Settings!$F$3)+(F101*Settings!$I$3))+(G101*Settings!$F$4))+(ROUNDDOWN((H101/5),0)*Settings!$F$7))+(I101*Settings!$I$7)),1))</f>
        <v>0</v>
      </c>
      <c r="Z101" s="38">
        <f>IF((K101=""),0,ROUND((((((ROUNDDOWN((K101/5),0)*Settings!$F$3)+(L101*Settings!$I$3))+(M101*Settings!$F$4))+(ROUNDDOWN((N101/5),0)*Settings!$F$7))+(O101*Settings!$I$7)),1))</f>
        <v>0</v>
      </c>
      <c r="AA101" s="38">
        <f>IF((Q101=""),0,ROUND(((((((ROUNDDOWN((Q101/5),0)*Settings!$F$3)+(R101*Settings!$I$3))+(S101*Settings!$F$4))+(ROUNDDOWN((T101/5),0)*Settings!$F$7))+(U101*Settings!$I$7))+(V101*Settings!$F$15)),1))</f>
        <v>0</v>
      </c>
      <c r="AB101" s="66">
        <f>ROUND((((Y101*Settings!$B$21)+(Z101*Settings!$B$22))+(AA101*Settings!$B$23)),1)</f>
        <v>0</v>
      </c>
      <c r="AC101" s="66">
        <f>IF(ISERROR(VLOOKUP(RANK(AB101,$AB$4:$AB$102),AC$4:AC100,1,0)),RANK(AB101,$AB$4:$AB$102),IF(ISERROR(VLOOKUP((RANK(AB101,$AB$4:$AB$102)+1),AC$4:AC100,1,0)),(RANK(AB101,$AB$4:$AB$102)+1),IF(ISERROR(VLOOKUP((RANK(AB101,$AB$4:$AB$102)+2),AC$4:AC100,1,0)),(RANK(AB101,$AB$4:$AB$102)+2),(RANK(AB101,$AB$4:$AB$102)+3))))</f>
        <v>69</v>
      </c>
      <c r="AD101" t="str">
        <f t="shared" si="8"/>
        <v/>
      </c>
    </row>
    <row r="102" spans="1:30" ht="12.75" customHeight="1">
      <c r="A102" s="33">
        <f>ESPNData!B103</f>
        <v>0</v>
      </c>
      <c r="B102" s="33" t="str">
        <f t="shared" si="9"/>
        <v/>
      </c>
      <c r="C102" s="64" t="e">
        <f t="shared" si="7"/>
        <v>#VALUE!</v>
      </c>
      <c r="D102" s="164" t="str">
        <f>IF(ISERROR(VLOOKUP($B102,FFTodayData!$B:$M,4,0)),"",VLOOKUP($B102,FFTodayData!$B:$M,4,0))</f>
        <v/>
      </c>
      <c r="E102" s="121" t="str">
        <f>IF(ISERROR(VLOOKUP($B102,FFTodayData!$B:$M,6,0)),"",VLOOKUP($B102,FFTodayData!$B:$M,6,0))</f>
        <v/>
      </c>
      <c r="F102" s="121" t="str">
        <f>IF(ISERROR(VLOOKUP($B102,FFTodayData!$B:$M,7,0)),"",VLOOKUP($B102,FFTodayData!$B:$M,7,0))</f>
        <v/>
      </c>
      <c r="G102" s="121" t="str">
        <f>IF(ISERROR(VLOOKUP($B102,FFTodayData!$B:$M,8,0)),"",VLOOKUP($B102,FFTodayData!$B:$M,8,0))</f>
        <v/>
      </c>
      <c r="H102" s="121" t="str">
        <f>IF(ISERROR(VLOOKUP($B102,FFTodayData!$B:$M,10,0)),"",VLOOKUP($B102,FFTodayData!$B:$M,10,0))</f>
        <v/>
      </c>
      <c r="I102" s="56" t="str">
        <f>IF(ISERROR(VLOOKUP($B102,FFTodayData!$B:$M,11,0)),"",VLOOKUP($B102,FFTodayData!$B:$M,11,0))</f>
        <v/>
      </c>
      <c r="J102" s="117" t="e">
        <f>VALUE(IF(ISERROR(VLOOKUP($A102,ESPNData!$B:$O,4,0)),"",IF((VLOOKUP($A102,ESPNData!$B:$O,4,0)="--/--"),0,LEFT(VLOOKUP($A102,ESPNData!$B:$O,4,0),(FIND("/",VLOOKUP($A102,ESPNData!$B:$O,4,0))-1)))))</f>
        <v>#VALUE!</v>
      </c>
      <c r="K102" s="33" t="str">
        <f>IF(ISERROR(VLOOKUP($A102,ESPNData!$B:$O,5,0)),"",IF((VLOOKUP($A102,ESPNData!$B:$O,5,0)="--"),0,VLOOKUP($A102,ESPNData!$B:$O,5,0)))</f>
        <v/>
      </c>
      <c r="L102" s="33" t="str">
        <f>IF(ISERROR(VLOOKUP($A102,ESPNData!$B:$O,6,0)),"",IF((VLOOKUP($A102,ESPNData!$B:$O,6,0)="--"),0,VLOOKUP($A102,ESPNData!$B:$O,6,0)))</f>
        <v/>
      </c>
      <c r="M102" s="33" t="str">
        <f>IF(ISERROR(VLOOKUP($A102,ESPNData!$B:$O,7,0)),"",IF((VLOOKUP($A102,ESPNData!$B:$O,7,0)="--"),0,VLOOKUP($A102,ESPNData!$B:$O,7,0)))</f>
        <v/>
      </c>
      <c r="N102" s="33" t="str">
        <f>IF(ISERROR(VLOOKUP($A102,ESPNData!$B:$O,9,0)),"",IF((VLOOKUP($A102,ESPNData!$B:$O,9,0)="--"),0,VLOOKUP($A102,ESPNData!$B:$O,9,0)))</f>
        <v/>
      </c>
      <c r="O102" s="194" t="str">
        <f>IF(ISERROR(VLOOKUP($A102,ESPNData!$B:$O,10,0)),"",IF((VLOOKUP($A102,ESPNData!$B:$O,10,0)="--"),0,VLOOKUP($A102,ESPNData!$B:$O,10,0)))</f>
        <v/>
      </c>
      <c r="P102" s="93" t="str">
        <f>IF(ISERROR(VLOOKUP($B102,SportslineData!$A:$O,4,0)),"",ROUND(VLOOKUP($B102,SportslineData!$A:$O,4,0),0))</f>
        <v/>
      </c>
      <c r="Q102" s="121" t="str">
        <f>IF(ISERROR(VLOOKUP($B102,SportslineData!$A:$O,5,0)),"",VLOOKUP($B102,SportslineData!$A:$O,5,0))</f>
        <v/>
      </c>
      <c r="R102" s="33" t="str">
        <f>IF(ISERROR(VLOOKUP($B102,SportslineData!$A:$O,6,0)),"",ROUND(VLOOKUP($B102,SportslineData!$A:$O,6,0),0))</f>
        <v/>
      </c>
      <c r="S102" s="33" t="str">
        <f>IF(ISERROR(VLOOKUP($B102,SportslineData!$A:$O,7,0)),"",ROUND(VLOOKUP($B102,SportslineData!$A:$O,7,0),0))</f>
        <v/>
      </c>
      <c r="T102" s="121" t="str">
        <f>IF(ISERROR(VLOOKUP($B102,SportslineData!$A:$O,11,0)),"",VLOOKUP($B102,SportslineData!$A:$O,11,0))</f>
        <v/>
      </c>
      <c r="U102" s="33" t="str">
        <f>IF(ISERROR(VLOOKUP($B102,SportslineData!$A:$O,13,0)),"",ROUND(VLOOKUP($B102,SportslineData!$A:$O,13,0),0))</f>
        <v/>
      </c>
      <c r="V102" s="64" t="str">
        <f>IF(ISERROR(VLOOKUP($B102,SportslineData!$A:$O,14,0)),"",ROUND(VLOOKUP($B102,SportslineData!$A:$O,14,0),0))</f>
        <v/>
      </c>
      <c r="W102" s="117"/>
      <c r="X102" s="33"/>
      <c r="Y102" s="38">
        <f>IF((E102=""),0,ROUND((((((ROUNDDOWN((E102/5),0)*Settings!$F$3)+(F102*Settings!$I$3))+(G102*Settings!$F$4))+(ROUNDDOWN((H102/5),0)*Settings!$F$7))+(I102*Settings!$I$7)),1))</f>
        <v>0</v>
      </c>
      <c r="Z102" s="38">
        <f>IF((K102=""),0,ROUND((((((ROUNDDOWN((K102/5),0)*Settings!$F$3)+(L102*Settings!$I$3))+(M102*Settings!$F$4))+(ROUNDDOWN((N102/5),0)*Settings!$F$7))+(O102*Settings!$I$7)),1))</f>
        <v>0</v>
      </c>
      <c r="AA102" s="38">
        <f>IF((Q102=""),0,ROUND(((((((ROUNDDOWN((Q102/5),0)*Settings!$F$3)+(R102*Settings!$I$3))+(S102*Settings!$F$4))+(ROUNDDOWN((T102/5),0)*Settings!$F$7))+(U102*Settings!$I$7))+(V102*Settings!$F$15)),1))</f>
        <v>0</v>
      </c>
      <c r="AB102" s="66">
        <f>ROUND((((Y102*Settings!$B$21)+(Z102*Settings!$B$22))+(AA102*Settings!$B$23)),1)</f>
        <v>0</v>
      </c>
      <c r="AC102" s="66">
        <f>IF(ISERROR(VLOOKUP(RANK(AB102,$AB$4:$AB$102),AC$4:AC101,1,0)),RANK(AB102,$AB$4:$AB$102),IF(ISERROR(VLOOKUP((RANK(AB102,$AB$4:$AB$102)+1),AC$4:AC101,1,0)),(RANK(AB102,$AB$4:$AB$102)+1),IF(ISERROR(VLOOKUP((RANK(AB102,$AB$4:$AB$102)+2),AC$4:AC101,1,0)),(RANK(AB102,$AB$4:$AB$102)+2),(RANK(AB102,$AB$4:$AB$102)+3))))</f>
        <v>69</v>
      </c>
      <c r="AD102" t="str">
        <f t="shared" si="8"/>
        <v/>
      </c>
    </row>
  </sheetData>
  <mergeCells count="9">
    <mergeCell ref="D1:I1"/>
    <mergeCell ref="J1:O1"/>
    <mergeCell ref="P1:V1"/>
    <mergeCell ref="D2:G2"/>
    <mergeCell ref="H2:I2"/>
    <mergeCell ref="J2:M2"/>
    <mergeCell ref="N2:O2"/>
    <mergeCell ref="P2:S2"/>
    <mergeCell ref="T2:U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Cheatsheet</vt:lpstr>
      <vt:lpstr>Draft Board</vt:lpstr>
      <vt:lpstr>Bank</vt:lpstr>
      <vt:lpstr>Settings</vt:lpstr>
      <vt:lpstr>Rosters</vt:lpstr>
      <vt:lpstr>Depth Charts</vt:lpstr>
      <vt:lpstr>VBD</vt:lpstr>
      <vt:lpstr>Charts</vt:lpstr>
      <vt:lpstr>QB</vt:lpstr>
      <vt:lpstr>RB</vt:lpstr>
      <vt:lpstr>WR</vt:lpstr>
      <vt:lpstr>TE</vt:lpstr>
      <vt:lpstr>K</vt:lpstr>
      <vt:lpstr>DST</vt:lpstr>
      <vt:lpstr>FFTodayData</vt:lpstr>
      <vt:lpstr>ESPNData</vt:lpstr>
      <vt:lpstr>SportslineData</vt:lpstr>
      <vt:lpstr>Taken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 Lovell</cp:lastModifiedBy>
  <dcterms:modified xsi:type="dcterms:W3CDTF">2014-08-20T21:21:24Z</dcterms:modified>
</cp:coreProperties>
</file>